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thilkumarsundaram/Desktop/EasyLeases/PPT DECKS/FINANCIAL MODELING/"/>
    </mc:Choice>
  </mc:AlternateContent>
  <xr:revisionPtr revIDLastSave="0" documentId="8_{37D0C227-90FF-E648-AFF9-7E3BA0CD16FE}" xr6:coauthVersionLast="45" xr6:coauthVersionMax="45" xr10:uidLastSave="{00000000-0000-0000-0000-000000000000}"/>
  <bookViews>
    <workbookView xWindow="380" yWindow="460" windowWidth="28040" windowHeight="16320" activeTab="5" xr2:uid="{C717103C-0FAA-9A45-8BFB-5F67BBB8F3E1}"/>
  </bookViews>
  <sheets>
    <sheet name="Sheet1" sheetId="1" r:id="rId1"/>
    <sheet name="PMS" sheetId="2" r:id="rId2"/>
    <sheet name="PG" sheetId="3" r:id="rId3"/>
    <sheet name="Expense" sheetId="4" r:id="rId4"/>
    <sheet name="PMS-New" sheetId="5" r:id="rId5"/>
    <sheet name="B2B2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6" l="1"/>
  <c r="D8" i="6"/>
  <c r="E8" i="6"/>
  <c r="F8" i="6" s="1"/>
  <c r="G8" i="6" s="1"/>
  <c r="H8" i="6" s="1"/>
  <c r="I8" i="6" s="1"/>
  <c r="J8" i="6" s="1"/>
  <c r="K8" i="6" s="1"/>
  <c r="L8" i="6" s="1"/>
  <c r="M8" i="6" s="1"/>
  <c r="N8" i="6" s="1"/>
  <c r="C46" i="6"/>
  <c r="D42" i="6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D40" i="6"/>
  <c r="E40" i="6" s="1"/>
  <c r="E35" i="6"/>
  <c r="D35" i="6"/>
  <c r="D31" i="6"/>
  <c r="D34" i="6" s="1"/>
  <c r="C31" i="6"/>
  <c r="C34" i="6" s="1"/>
  <c r="C30" i="6"/>
  <c r="D29" i="6"/>
  <c r="E29" i="6" s="1"/>
  <c r="D28" i="6"/>
  <c r="E28" i="6" s="1"/>
  <c r="C26" i="6"/>
  <c r="D26" i="6" s="1"/>
  <c r="C24" i="6"/>
  <c r="F23" i="6"/>
  <c r="E23" i="6"/>
  <c r="E24" i="6" s="1"/>
  <c r="D23" i="6"/>
  <c r="D24" i="6" s="1"/>
  <c r="C21" i="6"/>
  <c r="E20" i="6"/>
  <c r="F20" i="6" s="1"/>
  <c r="D20" i="6"/>
  <c r="D21" i="6" s="1"/>
  <c r="D13" i="6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D10" i="6"/>
  <c r="E10" i="6" s="1"/>
  <c r="D53" i="5"/>
  <c r="E53" i="5"/>
  <c r="F53" i="5"/>
  <c r="G53" i="5"/>
  <c r="H53" i="5"/>
  <c r="I53" i="5"/>
  <c r="J53" i="5"/>
  <c r="K53" i="5"/>
  <c r="L53" i="5"/>
  <c r="M53" i="5"/>
  <c r="N53" i="5"/>
  <c r="C53" i="5"/>
  <c r="D51" i="5"/>
  <c r="E51" i="5"/>
  <c r="F51" i="5"/>
  <c r="G51" i="5"/>
  <c r="H51" i="5"/>
  <c r="I51" i="5"/>
  <c r="J51" i="5"/>
  <c r="K51" i="5"/>
  <c r="L51" i="5"/>
  <c r="M51" i="5"/>
  <c r="N51" i="5"/>
  <c r="C51" i="5"/>
  <c r="D46" i="5"/>
  <c r="E46" i="5"/>
  <c r="F46" i="5"/>
  <c r="G46" i="5"/>
  <c r="H46" i="5"/>
  <c r="I46" i="5"/>
  <c r="J46" i="5"/>
  <c r="K46" i="5"/>
  <c r="L46" i="5"/>
  <c r="M46" i="5"/>
  <c r="N46" i="5"/>
  <c r="C46" i="5"/>
  <c r="E42" i="5"/>
  <c r="F42" i="5" s="1"/>
  <c r="G42" i="5" s="1"/>
  <c r="H42" i="5" s="1"/>
  <c r="I42" i="5" s="1"/>
  <c r="J42" i="5" s="1"/>
  <c r="K42" i="5" s="1"/>
  <c r="L42" i="5" s="1"/>
  <c r="M42" i="5" s="1"/>
  <c r="N42" i="5" s="1"/>
  <c r="D42" i="5"/>
  <c r="E40" i="5"/>
  <c r="F40" i="5" s="1"/>
  <c r="G40" i="5" s="1"/>
  <c r="H40" i="5" s="1"/>
  <c r="I40" i="5" s="1"/>
  <c r="J40" i="5" s="1"/>
  <c r="K40" i="5" s="1"/>
  <c r="L40" i="5" s="1"/>
  <c r="M40" i="5" s="1"/>
  <c r="N40" i="5" s="1"/>
  <c r="D40" i="5"/>
  <c r="D36" i="5"/>
  <c r="E36" i="5"/>
  <c r="F36" i="5"/>
  <c r="G36" i="5"/>
  <c r="H36" i="5"/>
  <c r="I36" i="5"/>
  <c r="J36" i="5"/>
  <c r="K36" i="5"/>
  <c r="L36" i="5"/>
  <c r="M36" i="5"/>
  <c r="N36" i="5"/>
  <c r="C36" i="5"/>
  <c r="E35" i="5"/>
  <c r="F35" i="5" s="1"/>
  <c r="G35" i="5" s="1"/>
  <c r="H35" i="5" s="1"/>
  <c r="I35" i="5" s="1"/>
  <c r="J35" i="5" s="1"/>
  <c r="K35" i="5" s="1"/>
  <c r="L35" i="5" s="1"/>
  <c r="M35" i="5" s="1"/>
  <c r="N35" i="5" s="1"/>
  <c r="D35" i="5"/>
  <c r="D34" i="5"/>
  <c r="E34" i="5"/>
  <c r="F34" i="5"/>
  <c r="G34" i="5"/>
  <c r="H34" i="5"/>
  <c r="I34" i="5"/>
  <c r="J34" i="5"/>
  <c r="K34" i="5"/>
  <c r="L34" i="5"/>
  <c r="M34" i="5"/>
  <c r="N34" i="5"/>
  <c r="C34" i="5"/>
  <c r="D31" i="5"/>
  <c r="E31" i="5"/>
  <c r="F31" i="5"/>
  <c r="G31" i="5"/>
  <c r="H31" i="5"/>
  <c r="I31" i="5"/>
  <c r="J31" i="5"/>
  <c r="K31" i="5"/>
  <c r="L31" i="5"/>
  <c r="M31" i="5"/>
  <c r="N31" i="5"/>
  <c r="C31" i="5"/>
  <c r="D32" i="5"/>
  <c r="E32" i="5"/>
  <c r="F32" i="5"/>
  <c r="G32" i="5"/>
  <c r="H32" i="5"/>
  <c r="I32" i="5"/>
  <c r="J32" i="5"/>
  <c r="K32" i="5"/>
  <c r="L32" i="5"/>
  <c r="M32" i="5"/>
  <c r="N32" i="5"/>
  <c r="C32" i="5"/>
  <c r="D30" i="5"/>
  <c r="E30" i="5"/>
  <c r="F30" i="5"/>
  <c r="G30" i="5"/>
  <c r="H30" i="5"/>
  <c r="I30" i="5"/>
  <c r="J30" i="5"/>
  <c r="K30" i="5"/>
  <c r="L30" i="5"/>
  <c r="M30" i="5"/>
  <c r="N30" i="5"/>
  <c r="C30" i="5"/>
  <c r="E29" i="5"/>
  <c r="F29" i="5" s="1"/>
  <c r="G29" i="5" s="1"/>
  <c r="H29" i="5" s="1"/>
  <c r="I29" i="5" s="1"/>
  <c r="J29" i="5" s="1"/>
  <c r="K29" i="5" s="1"/>
  <c r="L29" i="5" s="1"/>
  <c r="M29" i="5" s="1"/>
  <c r="N29" i="5" s="1"/>
  <c r="D29" i="5"/>
  <c r="E28" i="5"/>
  <c r="F28" i="5"/>
  <c r="G28" i="5" s="1"/>
  <c r="H28" i="5" s="1"/>
  <c r="I28" i="5" s="1"/>
  <c r="J28" i="5" s="1"/>
  <c r="K28" i="5" s="1"/>
  <c r="L28" i="5" s="1"/>
  <c r="M28" i="5" s="1"/>
  <c r="N28" i="5" s="1"/>
  <c r="D28" i="5"/>
  <c r="D27" i="5"/>
  <c r="E27" i="5"/>
  <c r="F27" i="5"/>
  <c r="G27" i="5"/>
  <c r="H27" i="5"/>
  <c r="I27" i="5"/>
  <c r="J27" i="5"/>
  <c r="K27" i="5"/>
  <c r="L27" i="5"/>
  <c r="M27" i="5"/>
  <c r="N27" i="5"/>
  <c r="C27" i="5"/>
  <c r="E26" i="5"/>
  <c r="F26" i="5" s="1"/>
  <c r="G26" i="5" s="1"/>
  <c r="H26" i="5" s="1"/>
  <c r="I26" i="5" s="1"/>
  <c r="J26" i="5" s="1"/>
  <c r="K26" i="5" s="1"/>
  <c r="L26" i="5" s="1"/>
  <c r="M26" i="5" s="1"/>
  <c r="N26" i="5" s="1"/>
  <c r="D26" i="5"/>
  <c r="C26" i="5"/>
  <c r="C24" i="5"/>
  <c r="E23" i="5"/>
  <c r="E24" i="5" s="1"/>
  <c r="D23" i="5"/>
  <c r="D24" i="5" s="1"/>
  <c r="C21" i="5"/>
  <c r="D20" i="5"/>
  <c r="E20" i="5" s="1"/>
  <c r="D13" i="5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D10" i="5"/>
  <c r="C8" i="5"/>
  <c r="C12" i="5" s="1"/>
  <c r="C14" i="5" s="1"/>
  <c r="C12" i="6" l="1"/>
  <c r="C14" i="6" s="1"/>
  <c r="E21" i="6"/>
  <c r="G23" i="6"/>
  <c r="F24" i="6"/>
  <c r="F28" i="6"/>
  <c r="E31" i="6"/>
  <c r="E34" i="6" s="1"/>
  <c r="F10" i="6"/>
  <c r="E12" i="6"/>
  <c r="E14" i="6" s="1"/>
  <c r="C32" i="6"/>
  <c r="G20" i="6"/>
  <c r="F21" i="6"/>
  <c r="E26" i="6"/>
  <c r="D27" i="6"/>
  <c r="E46" i="6"/>
  <c r="F40" i="6"/>
  <c r="F29" i="6"/>
  <c r="E30" i="6"/>
  <c r="D30" i="6"/>
  <c r="D32" i="6" s="1"/>
  <c r="D36" i="6" s="1"/>
  <c r="D12" i="6"/>
  <c r="D14" i="6" s="1"/>
  <c r="C27" i="6"/>
  <c r="F35" i="6"/>
  <c r="D46" i="6"/>
  <c r="E21" i="5"/>
  <c r="F20" i="5"/>
  <c r="D21" i="5"/>
  <c r="F23" i="5"/>
  <c r="D8" i="5"/>
  <c r="E8" i="5" s="1"/>
  <c r="F8" i="5" s="1"/>
  <c r="G8" i="5" s="1"/>
  <c r="H8" i="5" s="1"/>
  <c r="I8" i="5" s="1"/>
  <c r="J8" i="5" s="1"/>
  <c r="K8" i="5" s="1"/>
  <c r="L8" i="5" s="1"/>
  <c r="M8" i="5" s="1"/>
  <c r="N8" i="5" s="1"/>
  <c r="E10" i="5"/>
  <c r="S21" i="4"/>
  <c r="T21" i="4" s="1"/>
  <c r="E7" i="2"/>
  <c r="E8" i="2" s="1"/>
  <c r="E9" i="2" s="1"/>
  <c r="G24" i="4"/>
  <c r="H24" i="4" s="1"/>
  <c r="I24" i="4" s="1"/>
  <c r="J24" i="4" s="1"/>
  <c r="L24" i="4" s="1"/>
  <c r="M24" i="4" s="1"/>
  <c r="N24" i="4" s="1"/>
  <c r="O24" i="4" s="1"/>
  <c r="Q24" i="4" s="1"/>
  <c r="R24" i="4" s="1"/>
  <c r="S24" i="4" s="1"/>
  <c r="T24" i="4" s="1"/>
  <c r="V24" i="4" s="1"/>
  <c r="W24" i="4" s="1"/>
  <c r="X24" i="4" s="1"/>
  <c r="Y24" i="4" s="1"/>
  <c r="AA24" i="4" s="1"/>
  <c r="AB24" i="4" s="1"/>
  <c r="AC24" i="4" s="1"/>
  <c r="AD24" i="4" s="1"/>
  <c r="E23" i="4"/>
  <c r="G23" i="4" s="1"/>
  <c r="H23" i="4" s="1"/>
  <c r="I23" i="4" s="1"/>
  <c r="J23" i="4" s="1"/>
  <c r="L23" i="4" s="1"/>
  <c r="M23" i="4" s="1"/>
  <c r="N23" i="4" s="1"/>
  <c r="O23" i="4" s="1"/>
  <c r="Q23" i="4" s="1"/>
  <c r="R23" i="4" s="1"/>
  <c r="S23" i="4" s="1"/>
  <c r="T23" i="4" s="1"/>
  <c r="V23" i="4" s="1"/>
  <c r="W23" i="4" s="1"/>
  <c r="X23" i="4" s="1"/>
  <c r="Y23" i="4" s="1"/>
  <c r="AA23" i="4" s="1"/>
  <c r="AB23" i="4" s="1"/>
  <c r="AC23" i="4" s="1"/>
  <c r="AD23" i="4" s="1"/>
  <c r="D23" i="4"/>
  <c r="G22" i="4"/>
  <c r="E22" i="4"/>
  <c r="D22" i="4"/>
  <c r="M21" i="4"/>
  <c r="N21" i="4" s="1"/>
  <c r="O21" i="4" s="1"/>
  <c r="J21" i="4"/>
  <c r="I21" i="4"/>
  <c r="H21" i="4"/>
  <c r="G21" i="4"/>
  <c r="E21" i="4"/>
  <c r="D21" i="4"/>
  <c r="D28" i="4" s="1"/>
  <c r="L19" i="4"/>
  <c r="G19" i="4"/>
  <c r="H15" i="4"/>
  <c r="G11" i="4"/>
  <c r="E19" i="4"/>
  <c r="D19" i="4"/>
  <c r="H18" i="4"/>
  <c r="H19" i="4" s="1"/>
  <c r="E15" i="4"/>
  <c r="D15" i="4"/>
  <c r="G14" i="4"/>
  <c r="H14" i="4" s="1"/>
  <c r="I14" i="4" s="1"/>
  <c r="I15" i="4" s="1"/>
  <c r="E11" i="4"/>
  <c r="D11" i="4"/>
  <c r="G10" i="4"/>
  <c r="H10" i="4" s="1"/>
  <c r="H11" i="4" s="1"/>
  <c r="G6" i="4"/>
  <c r="G7" i="4" s="1"/>
  <c r="E7" i="4"/>
  <c r="D7" i="4"/>
  <c r="AE4" i="3"/>
  <c r="AB4" i="3"/>
  <c r="Z4" i="3"/>
  <c r="AD112" i="3"/>
  <c r="AD111" i="3"/>
  <c r="AD110" i="3"/>
  <c r="AD109" i="3"/>
  <c r="AD108" i="3"/>
  <c r="AD107" i="3"/>
  <c r="AD102" i="3"/>
  <c r="AD101" i="3"/>
  <c r="AD100" i="3"/>
  <c r="AD99" i="3"/>
  <c r="AD98" i="3"/>
  <c r="AD97" i="3"/>
  <c r="AD92" i="3"/>
  <c r="AD91" i="3"/>
  <c r="AD90" i="3"/>
  <c r="AD89" i="3"/>
  <c r="AD88" i="3"/>
  <c r="AD87" i="3"/>
  <c r="AD82" i="3"/>
  <c r="AD81" i="3"/>
  <c r="AD80" i="3"/>
  <c r="AD79" i="3"/>
  <c r="AD78" i="3"/>
  <c r="AD77" i="3"/>
  <c r="AD70" i="3"/>
  <c r="AD69" i="3"/>
  <c r="AD68" i="3"/>
  <c r="AD67" i="3"/>
  <c r="AD66" i="3"/>
  <c r="AD65" i="3"/>
  <c r="AD60" i="3"/>
  <c r="AD59" i="3"/>
  <c r="AD58" i="3"/>
  <c r="AD57" i="3"/>
  <c r="AD56" i="3"/>
  <c r="AD55" i="3"/>
  <c r="AD48" i="3"/>
  <c r="AD47" i="3"/>
  <c r="AD46" i="3"/>
  <c r="AD45" i="3"/>
  <c r="AD44" i="3"/>
  <c r="AD43" i="3"/>
  <c r="AD38" i="3"/>
  <c r="AD37" i="3"/>
  <c r="AD36" i="3"/>
  <c r="AD35" i="3"/>
  <c r="AD34" i="3"/>
  <c r="AD33" i="3"/>
  <c r="AD26" i="3"/>
  <c r="AE26" i="3" s="1"/>
  <c r="AD25" i="3"/>
  <c r="AE25" i="3" s="1"/>
  <c r="AE24" i="3"/>
  <c r="AD24" i="3"/>
  <c r="AD23" i="3"/>
  <c r="AE23" i="3" s="1"/>
  <c r="AD22" i="3"/>
  <c r="AE22" i="3" s="1"/>
  <c r="AD21" i="3"/>
  <c r="AE21" i="3" s="1"/>
  <c r="AD16" i="3"/>
  <c r="AE16" i="3" s="1"/>
  <c r="AD15" i="3"/>
  <c r="AE15" i="3" s="1"/>
  <c r="AD14" i="3"/>
  <c r="AE14" i="3" s="1"/>
  <c r="AD13" i="3"/>
  <c r="AE13" i="3" s="1"/>
  <c r="AD12" i="3"/>
  <c r="AE12" i="3" s="1"/>
  <c r="AE11" i="3"/>
  <c r="AD11" i="3"/>
  <c r="O4" i="3"/>
  <c r="V4" i="3"/>
  <c r="E4" i="3"/>
  <c r="Y27" i="3"/>
  <c r="W33" i="3" s="1"/>
  <c r="Z33" i="3" s="1"/>
  <c r="F34" i="3"/>
  <c r="F35" i="3" s="1"/>
  <c r="F36" i="3" s="1"/>
  <c r="F37" i="3" s="1"/>
  <c r="F38" i="3" s="1"/>
  <c r="F43" i="3" s="1"/>
  <c r="F44" i="3" s="1"/>
  <c r="F45" i="3" s="1"/>
  <c r="F46" i="3" s="1"/>
  <c r="F47" i="3" s="1"/>
  <c r="F48" i="3" s="1"/>
  <c r="H49" i="3" s="1"/>
  <c r="F55" i="3" s="1"/>
  <c r="F56" i="3" s="1"/>
  <c r="F57" i="3" s="1"/>
  <c r="F58" i="3" s="1"/>
  <c r="F59" i="3" s="1"/>
  <c r="F60" i="3" s="1"/>
  <c r="F65" i="3" s="1"/>
  <c r="F66" i="3" s="1"/>
  <c r="F67" i="3" s="1"/>
  <c r="F68" i="3" s="1"/>
  <c r="F69" i="3" s="1"/>
  <c r="F70" i="3" s="1"/>
  <c r="H71" i="3" s="1"/>
  <c r="F77" i="3" s="1"/>
  <c r="F78" i="3" s="1"/>
  <c r="F79" i="3" s="1"/>
  <c r="F80" i="3" s="1"/>
  <c r="F81" i="3" s="1"/>
  <c r="F82" i="3" s="1"/>
  <c r="F87" i="3" s="1"/>
  <c r="F88" i="3" s="1"/>
  <c r="F89" i="3" s="1"/>
  <c r="F90" i="3" s="1"/>
  <c r="F91" i="3" s="1"/>
  <c r="F92" i="3" s="1"/>
  <c r="H93" i="3" s="1"/>
  <c r="F97" i="3" s="1"/>
  <c r="F98" i="3" s="1"/>
  <c r="F99" i="3" s="1"/>
  <c r="F100" i="3" s="1"/>
  <c r="F101" i="3" s="1"/>
  <c r="F102" i="3" s="1"/>
  <c r="F107" i="3" s="1"/>
  <c r="F108" i="3" s="1"/>
  <c r="F109" i="3" s="1"/>
  <c r="F110" i="3" s="1"/>
  <c r="F111" i="3" s="1"/>
  <c r="F112" i="3" s="1"/>
  <c r="F33" i="3"/>
  <c r="H27" i="3"/>
  <c r="AE7" i="3"/>
  <c r="AE6" i="3"/>
  <c r="AE5" i="3"/>
  <c r="V5" i="3"/>
  <c r="AB5" i="3" s="1"/>
  <c r="AU24" i="3"/>
  <c r="AV24" i="3" s="1"/>
  <c r="AR24" i="3"/>
  <c r="AW24" i="3" s="1"/>
  <c r="AW23" i="3"/>
  <c r="AR23" i="3"/>
  <c r="AW22" i="3"/>
  <c r="AU22" i="3"/>
  <c r="AV22" i="3" s="1"/>
  <c r="AR22" i="3"/>
  <c r="AR21" i="3"/>
  <c r="AO20" i="3"/>
  <c r="AO25" i="3" s="1"/>
  <c r="AR25" i="3" s="1"/>
  <c r="AW25" i="3" s="1"/>
  <c r="AW15" i="3"/>
  <c r="AU15" i="3"/>
  <c r="AV15" i="3" s="1"/>
  <c r="AR15" i="3"/>
  <c r="AW14" i="3"/>
  <c r="AR14" i="3"/>
  <c r="AW13" i="3"/>
  <c r="AR13" i="3"/>
  <c r="AV12" i="3"/>
  <c r="AR12" i="3"/>
  <c r="AW12" i="3" s="1"/>
  <c r="AR11" i="3"/>
  <c r="AR10" i="3"/>
  <c r="G35" i="6" l="1"/>
  <c r="F46" i="6"/>
  <c r="G40" i="6"/>
  <c r="D51" i="6"/>
  <c r="C36" i="6"/>
  <c r="C51" i="6"/>
  <c r="C53" i="6" s="1"/>
  <c r="F31" i="6"/>
  <c r="F34" i="6" s="1"/>
  <c r="G28" i="6"/>
  <c r="H20" i="6"/>
  <c r="G21" i="6"/>
  <c r="F12" i="6"/>
  <c r="F14" i="6" s="1"/>
  <c r="G10" i="6"/>
  <c r="H23" i="6"/>
  <c r="G24" i="6"/>
  <c r="E27" i="6"/>
  <c r="E32" i="6" s="1"/>
  <c r="F26" i="6"/>
  <c r="D53" i="6"/>
  <c r="G29" i="6"/>
  <c r="F30" i="6"/>
  <c r="G20" i="5"/>
  <c r="F21" i="5"/>
  <c r="G23" i="5"/>
  <c r="F24" i="5"/>
  <c r="F10" i="5"/>
  <c r="E12" i="5"/>
  <c r="E14" i="5" s="1"/>
  <c r="D12" i="5"/>
  <c r="D14" i="5" s="1"/>
  <c r="AR16" i="3"/>
  <c r="AF5" i="3"/>
  <c r="Z5" i="3"/>
  <c r="AE8" i="3"/>
  <c r="E28" i="4"/>
  <c r="F28" i="4" s="1"/>
  <c r="AE33" i="3"/>
  <c r="G15" i="4"/>
  <c r="E10" i="2"/>
  <c r="E11" i="2" s="1"/>
  <c r="H6" i="4"/>
  <c r="F7" i="4"/>
  <c r="D30" i="4"/>
  <c r="G28" i="4"/>
  <c r="G30" i="4" s="1"/>
  <c r="H22" i="4"/>
  <c r="I22" i="4" s="1"/>
  <c r="H28" i="4"/>
  <c r="W21" i="4"/>
  <c r="X21" i="4" s="1"/>
  <c r="F19" i="4"/>
  <c r="I18" i="4"/>
  <c r="I19" i="4" s="1"/>
  <c r="F15" i="4"/>
  <c r="I10" i="4"/>
  <c r="I11" i="4" s="1"/>
  <c r="F11" i="4"/>
  <c r="J14" i="4"/>
  <c r="J15" i="4" s="1"/>
  <c r="AE27" i="3"/>
  <c r="W34" i="3"/>
  <c r="AE34" i="3" s="1"/>
  <c r="V6" i="3"/>
  <c r="AV26" i="3"/>
  <c r="AW26" i="3"/>
  <c r="AX12" i="3"/>
  <c r="AR20" i="3"/>
  <c r="AR26" i="3" s="1"/>
  <c r="AT26" i="3" s="1"/>
  <c r="M112" i="3"/>
  <c r="N112" i="3" s="1"/>
  <c r="M111" i="3"/>
  <c r="N111" i="3" s="1"/>
  <c r="M110" i="3"/>
  <c r="N110" i="3" s="1"/>
  <c r="M109" i="3"/>
  <c r="N109" i="3" s="1"/>
  <c r="M108" i="3"/>
  <c r="N108" i="3" s="1"/>
  <c r="M107" i="3"/>
  <c r="N107" i="3" s="1"/>
  <c r="N102" i="3"/>
  <c r="M102" i="3"/>
  <c r="M101" i="3"/>
  <c r="N101" i="3" s="1"/>
  <c r="M100" i="3"/>
  <c r="N100" i="3" s="1"/>
  <c r="M99" i="3"/>
  <c r="N99" i="3" s="1"/>
  <c r="M98" i="3"/>
  <c r="N98" i="3" s="1"/>
  <c r="M97" i="3"/>
  <c r="N97" i="3" s="1"/>
  <c r="I97" i="3"/>
  <c r="M92" i="3"/>
  <c r="N92" i="3" s="1"/>
  <c r="M91" i="3"/>
  <c r="N91" i="3" s="1"/>
  <c r="M90" i="3"/>
  <c r="N90" i="3" s="1"/>
  <c r="M89" i="3"/>
  <c r="N89" i="3" s="1"/>
  <c r="M88" i="3"/>
  <c r="N88" i="3" s="1"/>
  <c r="M87" i="3"/>
  <c r="N87" i="3" s="1"/>
  <c r="M70" i="3"/>
  <c r="N70" i="3" s="1"/>
  <c r="N69" i="3"/>
  <c r="M69" i="3"/>
  <c r="M68" i="3"/>
  <c r="N68" i="3" s="1"/>
  <c r="M67" i="3"/>
  <c r="N67" i="3" s="1"/>
  <c r="M66" i="3"/>
  <c r="N66" i="3" s="1"/>
  <c r="M65" i="3"/>
  <c r="N65" i="3" s="1"/>
  <c r="M48" i="3"/>
  <c r="N48" i="3" s="1"/>
  <c r="N47" i="3"/>
  <c r="M47" i="3"/>
  <c r="M46" i="3"/>
  <c r="N46" i="3" s="1"/>
  <c r="N45" i="3"/>
  <c r="M45" i="3"/>
  <c r="M44" i="3"/>
  <c r="N44" i="3" s="1"/>
  <c r="M43" i="3"/>
  <c r="N43" i="3" s="1"/>
  <c r="M82" i="3"/>
  <c r="N82" i="3" s="1"/>
  <c r="M81" i="3"/>
  <c r="N81" i="3" s="1"/>
  <c r="M80" i="3"/>
  <c r="N80" i="3" s="1"/>
  <c r="M79" i="3"/>
  <c r="N79" i="3" s="1"/>
  <c r="M78" i="3"/>
  <c r="N78" i="3" s="1"/>
  <c r="M77" i="3"/>
  <c r="N77" i="3" s="1"/>
  <c r="I77" i="3"/>
  <c r="M60" i="3"/>
  <c r="N60" i="3" s="1"/>
  <c r="M59" i="3"/>
  <c r="N59" i="3" s="1"/>
  <c r="M58" i="3"/>
  <c r="N58" i="3" s="1"/>
  <c r="M57" i="3"/>
  <c r="N57" i="3" s="1"/>
  <c r="M56" i="3"/>
  <c r="N56" i="3" s="1"/>
  <c r="M55" i="3"/>
  <c r="N55" i="3" s="1"/>
  <c r="I55" i="3"/>
  <c r="M38" i="3"/>
  <c r="N38" i="3" s="1"/>
  <c r="M37" i="3"/>
  <c r="N37" i="3" s="1"/>
  <c r="M36" i="3"/>
  <c r="N36" i="3" s="1"/>
  <c r="M35" i="3"/>
  <c r="N35" i="3" s="1"/>
  <c r="M34" i="3"/>
  <c r="N34" i="3" s="1"/>
  <c r="M33" i="3"/>
  <c r="N33" i="3" s="1"/>
  <c r="I33" i="3"/>
  <c r="N26" i="3"/>
  <c r="N25" i="3"/>
  <c r="N22" i="3"/>
  <c r="N21" i="3"/>
  <c r="N14" i="3"/>
  <c r="N13" i="3"/>
  <c r="M26" i="3"/>
  <c r="M25" i="3"/>
  <c r="M24" i="3"/>
  <c r="N24" i="3" s="1"/>
  <c r="M23" i="3"/>
  <c r="N23" i="3" s="1"/>
  <c r="M22" i="3"/>
  <c r="M21" i="3"/>
  <c r="M12" i="3"/>
  <c r="N12" i="3" s="1"/>
  <c r="M13" i="3"/>
  <c r="M14" i="3"/>
  <c r="M15" i="3"/>
  <c r="N15" i="3" s="1"/>
  <c r="M16" i="3"/>
  <c r="N16" i="3" s="1"/>
  <c r="M11" i="3"/>
  <c r="N11" i="3" s="1"/>
  <c r="I4" i="3"/>
  <c r="K4" i="3"/>
  <c r="E5" i="3"/>
  <c r="I5" i="3" s="1"/>
  <c r="N6" i="3"/>
  <c r="N7" i="3"/>
  <c r="N5" i="3"/>
  <c r="E36" i="6" l="1"/>
  <c r="E51" i="6" s="1"/>
  <c r="E53" i="6" s="1"/>
  <c r="G30" i="6"/>
  <c r="H29" i="6"/>
  <c r="I23" i="6"/>
  <c r="H24" i="6"/>
  <c r="H21" i="6"/>
  <c r="I20" i="6"/>
  <c r="H40" i="6"/>
  <c r="G46" i="6"/>
  <c r="H35" i="6"/>
  <c r="F27" i="6"/>
  <c r="G26" i="6"/>
  <c r="H10" i="6"/>
  <c r="G12" i="6"/>
  <c r="G14" i="6" s="1"/>
  <c r="F32" i="6"/>
  <c r="G31" i="6"/>
  <c r="G34" i="6" s="1"/>
  <c r="H28" i="6"/>
  <c r="H23" i="5"/>
  <c r="G24" i="5"/>
  <c r="H20" i="5"/>
  <c r="G21" i="5"/>
  <c r="G10" i="5"/>
  <c r="F12" i="5"/>
  <c r="F14" i="5" s="1"/>
  <c r="K15" i="4"/>
  <c r="N8" i="3"/>
  <c r="N27" i="3" s="1"/>
  <c r="N49" i="3" s="1"/>
  <c r="N71" i="3" s="1"/>
  <c r="N93" i="3" s="1"/>
  <c r="N113" i="3" s="1"/>
  <c r="E30" i="4"/>
  <c r="F30" i="4"/>
  <c r="I6" i="4"/>
  <c r="J6" i="4" s="1"/>
  <c r="L6" i="4" s="1"/>
  <c r="H7" i="4"/>
  <c r="J22" i="4"/>
  <c r="I28" i="4"/>
  <c r="Y21" i="4"/>
  <c r="J18" i="4"/>
  <c r="J19" i="4" s="1"/>
  <c r="K19" i="4" s="1"/>
  <c r="J10" i="4"/>
  <c r="J11" i="4" s="1"/>
  <c r="K11" i="4" s="1"/>
  <c r="L14" i="4"/>
  <c r="L15" i="4" s="1"/>
  <c r="W35" i="3"/>
  <c r="AE35" i="3" s="1"/>
  <c r="AB6" i="3"/>
  <c r="V7" i="3"/>
  <c r="R9" i="3" s="1"/>
  <c r="K5" i="3"/>
  <c r="O5" i="3" s="1"/>
  <c r="E6" i="3"/>
  <c r="I6" i="3" s="1"/>
  <c r="N22" i="1"/>
  <c r="M22" i="1"/>
  <c r="G23" i="2"/>
  <c r="F28" i="2" s="1"/>
  <c r="H2" i="2"/>
  <c r="K2" i="2" s="1"/>
  <c r="H9" i="2"/>
  <c r="K9" i="2" s="1"/>
  <c r="H8" i="2"/>
  <c r="K8" i="2" s="1"/>
  <c r="H7" i="2"/>
  <c r="K7" i="2" s="1"/>
  <c r="N21" i="1"/>
  <c r="Q14" i="1"/>
  <c r="Q22" i="1"/>
  <c r="R22" i="1" s="1"/>
  <c r="O22" i="1"/>
  <c r="P22" i="1" s="1"/>
  <c r="Q21" i="1"/>
  <c r="O15" i="1"/>
  <c r="O10" i="1"/>
  <c r="O12" i="1" s="1"/>
  <c r="O17" i="1" s="1"/>
  <c r="J20" i="6" l="1"/>
  <c r="I21" i="6"/>
  <c r="H30" i="6"/>
  <c r="I29" i="6"/>
  <c r="I28" i="6"/>
  <c r="H31" i="6"/>
  <c r="H34" i="6" s="1"/>
  <c r="I10" i="6"/>
  <c r="H12" i="6"/>
  <c r="H14" i="6" s="1"/>
  <c r="I35" i="6"/>
  <c r="H26" i="6"/>
  <c r="G27" i="6"/>
  <c r="G32" i="6" s="1"/>
  <c r="F51" i="6"/>
  <c r="F53" i="6" s="1"/>
  <c r="F36" i="6"/>
  <c r="I40" i="6"/>
  <c r="H46" i="6"/>
  <c r="I24" i="6"/>
  <c r="J23" i="6"/>
  <c r="H21" i="5"/>
  <c r="I20" i="5"/>
  <c r="I23" i="5"/>
  <c r="H24" i="5"/>
  <c r="H10" i="5"/>
  <c r="G12" i="5"/>
  <c r="G14" i="5" s="1"/>
  <c r="I7" i="4"/>
  <c r="I30" i="4" s="1"/>
  <c r="Z6" i="3"/>
  <c r="J7" i="4"/>
  <c r="AB21" i="4"/>
  <c r="L10" i="4"/>
  <c r="L11" i="4" s="1"/>
  <c r="H10" i="2"/>
  <c r="K10" i="2" s="1"/>
  <c r="H11" i="2"/>
  <c r="K11" i="2" s="1"/>
  <c r="H30" i="4"/>
  <c r="J28" i="4"/>
  <c r="K28" i="4" s="1"/>
  <c r="L22" i="4"/>
  <c r="M14" i="4"/>
  <c r="M15" i="4" s="1"/>
  <c r="M6" i="4"/>
  <c r="L7" i="4"/>
  <c r="W36" i="3"/>
  <c r="AE36" i="3" s="1"/>
  <c r="AF6" i="3"/>
  <c r="AF8" i="3" s="1"/>
  <c r="AG8" i="3" s="1"/>
  <c r="AB7" i="3"/>
  <c r="Z7" i="3" s="1"/>
  <c r="V11" i="3"/>
  <c r="K6" i="3"/>
  <c r="O6" i="3" s="1"/>
  <c r="E7" i="3"/>
  <c r="I7" i="3" s="1"/>
  <c r="F29" i="2"/>
  <c r="B49" i="3"/>
  <c r="B71" i="3" s="1"/>
  <c r="B93" i="3" s="1"/>
  <c r="O21" i="1"/>
  <c r="P21" i="1" s="1"/>
  <c r="P23" i="1" s="1"/>
  <c r="G36" i="6" l="1"/>
  <c r="G51" i="6" s="1"/>
  <c r="G53" i="6" s="1"/>
  <c r="J24" i="6"/>
  <c r="K23" i="6"/>
  <c r="J10" i="6"/>
  <c r="I12" i="6"/>
  <c r="I14" i="6" s="1"/>
  <c r="H32" i="6"/>
  <c r="J35" i="6"/>
  <c r="J28" i="6"/>
  <c r="I31" i="6"/>
  <c r="I34" i="6" s="1"/>
  <c r="K20" i="6"/>
  <c r="J21" i="6"/>
  <c r="I46" i="6"/>
  <c r="J40" i="6"/>
  <c r="I26" i="6"/>
  <c r="H27" i="6"/>
  <c r="J29" i="6"/>
  <c r="I30" i="6"/>
  <c r="J23" i="5"/>
  <c r="I24" i="5"/>
  <c r="J20" i="5"/>
  <c r="I21" i="5"/>
  <c r="I10" i="5"/>
  <c r="H12" i="5"/>
  <c r="H14" i="5" s="1"/>
  <c r="J30" i="4"/>
  <c r="AC8" i="3"/>
  <c r="Z11" i="3"/>
  <c r="AB11" i="3"/>
  <c r="K7" i="4"/>
  <c r="K30" i="4" s="1"/>
  <c r="AC21" i="4"/>
  <c r="M10" i="4"/>
  <c r="M11" i="4" s="1"/>
  <c r="E12" i="2"/>
  <c r="E17" i="2" s="1"/>
  <c r="L30" i="4"/>
  <c r="L28" i="4"/>
  <c r="M22" i="4"/>
  <c r="M18" i="4"/>
  <c r="M19" i="4" s="1"/>
  <c r="N14" i="4"/>
  <c r="N15" i="4" s="1"/>
  <c r="N6" i="4"/>
  <c r="M7" i="4"/>
  <c r="W37" i="3"/>
  <c r="AE37" i="3" s="1"/>
  <c r="V12" i="3"/>
  <c r="K7" i="3"/>
  <c r="E11" i="3"/>
  <c r="F30" i="2"/>
  <c r="I27" i="6" l="1"/>
  <c r="J26" i="6"/>
  <c r="L20" i="6"/>
  <c r="K21" i="6"/>
  <c r="K35" i="6"/>
  <c r="L23" i="6"/>
  <c r="K24" i="6"/>
  <c r="I32" i="6"/>
  <c r="K29" i="6"/>
  <c r="J30" i="6"/>
  <c r="J46" i="6"/>
  <c r="K40" i="6"/>
  <c r="H36" i="6"/>
  <c r="H51" i="6" s="1"/>
  <c r="H53" i="6" s="1"/>
  <c r="J31" i="6"/>
  <c r="J34" i="6" s="1"/>
  <c r="K28" i="6"/>
  <c r="J12" i="6"/>
  <c r="J14" i="6" s="1"/>
  <c r="K10" i="6"/>
  <c r="K20" i="5"/>
  <c r="J21" i="5"/>
  <c r="K23" i="5"/>
  <c r="J24" i="5"/>
  <c r="J10" i="5"/>
  <c r="I12" i="5"/>
  <c r="I14" i="5" s="1"/>
  <c r="Z12" i="3"/>
  <c r="AB12" i="3"/>
  <c r="AF12" i="3" s="1"/>
  <c r="L8" i="3"/>
  <c r="O7" i="3"/>
  <c r="O8" i="3" s="1"/>
  <c r="AF11" i="3"/>
  <c r="K11" i="3"/>
  <c r="O11" i="3" s="1"/>
  <c r="I11" i="3"/>
  <c r="AD21" i="4"/>
  <c r="N10" i="4"/>
  <c r="N11" i="4" s="1"/>
  <c r="E18" i="2"/>
  <c r="H17" i="2"/>
  <c r="K17" i="2" s="1"/>
  <c r="H12" i="2"/>
  <c r="N22" i="4"/>
  <c r="M28" i="4"/>
  <c r="M30" i="4" s="1"/>
  <c r="N18" i="4"/>
  <c r="N19" i="4" s="1"/>
  <c r="O14" i="4"/>
  <c r="O15" i="4" s="1"/>
  <c r="P15" i="4" s="1"/>
  <c r="O10" i="4"/>
  <c r="O11" i="4" s="1"/>
  <c r="O6" i="4"/>
  <c r="N7" i="4"/>
  <c r="W38" i="3"/>
  <c r="AE38" i="3" s="1"/>
  <c r="V13" i="3"/>
  <c r="E12" i="3"/>
  <c r="F31" i="2"/>
  <c r="K31" i="6" l="1"/>
  <c r="K34" i="6" s="1"/>
  <c r="L28" i="6"/>
  <c r="L10" i="6"/>
  <c r="K12" i="6"/>
  <c r="K14" i="6" s="1"/>
  <c r="M23" i="6"/>
  <c r="L24" i="6"/>
  <c r="L21" i="6"/>
  <c r="M20" i="6"/>
  <c r="K30" i="6"/>
  <c r="L29" i="6"/>
  <c r="J27" i="6"/>
  <c r="J32" i="6" s="1"/>
  <c r="K26" i="6"/>
  <c r="L40" i="6"/>
  <c r="K46" i="6"/>
  <c r="I36" i="6"/>
  <c r="I51" i="6" s="1"/>
  <c r="I53" i="6" s="1"/>
  <c r="L35" i="6"/>
  <c r="L23" i="5"/>
  <c r="K24" i="5"/>
  <c r="K21" i="5"/>
  <c r="L20" i="5"/>
  <c r="K10" i="5"/>
  <c r="J12" i="5"/>
  <c r="J14" i="5" s="1"/>
  <c r="K12" i="3"/>
  <c r="O12" i="3" s="1"/>
  <c r="I12" i="3"/>
  <c r="AB13" i="3"/>
  <c r="AF13" i="3" s="1"/>
  <c r="Z13" i="3"/>
  <c r="AG12" i="3"/>
  <c r="H13" i="2"/>
  <c r="K12" i="2"/>
  <c r="P11" i="4"/>
  <c r="E19" i="2"/>
  <c r="H18" i="2"/>
  <c r="K18" i="2" s="1"/>
  <c r="O7" i="4"/>
  <c r="Q6" i="4"/>
  <c r="O22" i="4"/>
  <c r="N28" i="4"/>
  <c r="N30" i="4" s="1"/>
  <c r="O18" i="4"/>
  <c r="O19" i="4" s="1"/>
  <c r="P19" i="4" s="1"/>
  <c r="Q14" i="4"/>
  <c r="Q15" i="4" s="1"/>
  <c r="Q10" i="4"/>
  <c r="Q11" i="4" s="1"/>
  <c r="W43" i="3"/>
  <c r="AE43" i="3" s="1"/>
  <c r="V14" i="3"/>
  <c r="E13" i="3"/>
  <c r="F32" i="2"/>
  <c r="J36" i="6" l="1"/>
  <c r="J51" i="6" s="1"/>
  <c r="J53" i="6" s="1"/>
  <c r="M29" i="6"/>
  <c r="L30" i="6"/>
  <c r="M35" i="6"/>
  <c r="M40" i="6"/>
  <c r="L46" i="6"/>
  <c r="M24" i="6"/>
  <c r="N23" i="6"/>
  <c r="N24" i="6" s="1"/>
  <c r="M10" i="6"/>
  <c r="L12" i="6"/>
  <c r="L14" i="6" s="1"/>
  <c r="L26" i="6"/>
  <c r="K27" i="6"/>
  <c r="K32" i="6" s="1"/>
  <c r="N20" i="6"/>
  <c r="N21" i="6" s="1"/>
  <c r="M21" i="6"/>
  <c r="M28" i="6"/>
  <c r="L31" i="6"/>
  <c r="L34" i="6" s="1"/>
  <c r="M20" i="5"/>
  <c r="L21" i="5"/>
  <c r="M23" i="5"/>
  <c r="L24" i="5"/>
  <c r="L10" i="5"/>
  <c r="K12" i="5"/>
  <c r="K14" i="5" s="1"/>
  <c r="Z14" i="3"/>
  <c r="AB14" i="3"/>
  <c r="K13" i="3"/>
  <c r="O13" i="3" s="1"/>
  <c r="I13" i="3"/>
  <c r="E20" i="2"/>
  <c r="H19" i="2"/>
  <c r="K19" i="2" s="1"/>
  <c r="Q7" i="4"/>
  <c r="R6" i="4"/>
  <c r="P7" i="4"/>
  <c r="Q22" i="4"/>
  <c r="O28" i="4"/>
  <c r="P28" i="4" s="1"/>
  <c r="Q18" i="4"/>
  <c r="Q19" i="4" s="1"/>
  <c r="R14" i="4"/>
  <c r="R15" i="4" s="1"/>
  <c r="R10" i="4"/>
  <c r="R11" i="4" s="1"/>
  <c r="W44" i="3"/>
  <c r="AE44" i="3" s="1"/>
  <c r="V15" i="3"/>
  <c r="E14" i="3"/>
  <c r="F33" i="2"/>
  <c r="K51" i="6" l="1"/>
  <c r="K53" i="6" s="1"/>
  <c r="K36" i="6"/>
  <c r="M46" i="6"/>
  <c r="N40" i="6"/>
  <c r="N46" i="6" s="1"/>
  <c r="N28" i="6"/>
  <c r="N31" i="6" s="1"/>
  <c r="N34" i="6" s="1"/>
  <c r="M31" i="6"/>
  <c r="M34" i="6" s="1"/>
  <c r="M26" i="6"/>
  <c r="L27" i="6"/>
  <c r="L32" i="6" s="1"/>
  <c r="N35" i="6"/>
  <c r="N29" i="6"/>
  <c r="N30" i="6" s="1"/>
  <c r="M30" i="6"/>
  <c r="N10" i="6"/>
  <c r="N12" i="6" s="1"/>
  <c r="N14" i="6" s="1"/>
  <c r="M12" i="6"/>
  <c r="M14" i="6" s="1"/>
  <c r="N23" i="5"/>
  <c r="N24" i="5" s="1"/>
  <c r="M24" i="5"/>
  <c r="N20" i="5"/>
  <c r="N21" i="5" s="1"/>
  <c r="M21" i="5"/>
  <c r="M10" i="5"/>
  <c r="L12" i="5"/>
  <c r="L14" i="5" s="1"/>
  <c r="AB15" i="3"/>
  <c r="AF15" i="3" s="1"/>
  <c r="Z15" i="3"/>
  <c r="AF14" i="3"/>
  <c r="K14" i="3"/>
  <c r="O14" i="3" s="1"/>
  <c r="I14" i="3"/>
  <c r="O30" i="4"/>
  <c r="P30" i="4"/>
  <c r="E21" i="2"/>
  <c r="H20" i="2"/>
  <c r="K20" i="2" s="1"/>
  <c r="S6" i="4"/>
  <c r="R7" i="4"/>
  <c r="R22" i="4"/>
  <c r="Q28" i="4"/>
  <c r="Q30" i="4" s="1"/>
  <c r="R18" i="4"/>
  <c r="R19" i="4" s="1"/>
  <c r="S14" i="4"/>
  <c r="S15" i="4" s="1"/>
  <c r="S10" i="4"/>
  <c r="S11" i="4" s="1"/>
  <c r="W45" i="3"/>
  <c r="AE45" i="3" s="1"/>
  <c r="V16" i="3"/>
  <c r="E15" i="3"/>
  <c r="F38" i="2"/>
  <c r="L36" i="6" l="1"/>
  <c r="L51" i="6" s="1"/>
  <c r="L53" i="6" s="1"/>
  <c r="M27" i="6"/>
  <c r="M32" i="6" s="1"/>
  <c r="N26" i="6"/>
  <c r="N27" i="6" s="1"/>
  <c r="N32" i="6" s="1"/>
  <c r="N10" i="5"/>
  <c r="N12" i="5" s="1"/>
  <c r="N14" i="5" s="1"/>
  <c r="M12" i="5"/>
  <c r="M14" i="5" s="1"/>
  <c r="K15" i="3"/>
  <c r="O15" i="3" s="1"/>
  <c r="I15" i="3"/>
  <c r="AB16" i="3"/>
  <c r="Z16" i="3"/>
  <c r="E22" i="2"/>
  <c r="E28" i="2" s="1"/>
  <c r="H21" i="2"/>
  <c r="K21" i="2" s="1"/>
  <c r="T6" i="4"/>
  <c r="S7" i="4"/>
  <c r="S22" i="4"/>
  <c r="R28" i="4"/>
  <c r="R30" i="4" s="1"/>
  <c r="S18" i="4"/>
  <c r="S19" i="4" s="1"/>
  <c r="T14" i="4"/>
  <c r="T15" i="4" s="1"/>
  <c r="U15" i="4" s="1"/>
  <c r="T10" i="4"/>
  <c r="T11" i="4" s="1"/>
  <c r="U11" i="4" s="1"/>
  <c r="W46" i="3"/>
  <c r="AE46" i="3" s="1"/>
  <c r="V21" i="3"/>
  <c r="E16" i="3"/>
  <c r="F39" i="2"/>
  <c r="N36" i="6" l="1"/>
  <c r="N51" i="6" s="1"/>
  <c r="N53" i="6" s="1"/>
  <c r="M36" i="6"/>
  <c r="M51" i="6" s="1"/>
  <c r="M53" i="6" s="1"/>
  <c r="K16" i="3"/>
  <c r="O16" i="3" s="1"/>
  <c r="I16" i="3"/>
  <c r="AB21" i="3"/>
  <c r="AF21" i="3" s="1"/>
  <c r="Z21" i="3"/>
  <c r="AF16" i="3"/>
  <c r="E29" i="2"/>
  <c r="H28" i="2"/>
  <c r="B23" i="2"/>
  <c r="H22" i="2"/>
  <c r="T7" i="4"/>
  <c r="V6" i="4"/>
  <c r="T22" i="4"/>
  <c r="S28" i="4"/>
  <c r="S30" i="4" s="1"/>
  <c r="T18" i="4"/>
  <c r="T19" i="4" s="1"/>
  <c r="U19" i="4" s="1"/>
  <c r="V14" i="4"/>
  <c r="V15" i="4" s="1"/>
  <c r="V10" i="4"/>
  <c r="V11" i="4" s="1"/>
  <c r="W47" i="3"/>
  <c r="AE47" i="3" s="1"/>
  <c r="V22" i="3"/>
  <c r="E21" i="3"/>
  <c r="F40" i="2"/>
  <c r="H23" i="2" l="1"/>
  <c r="J23" i="2" s="1"/>
  <c r="K22" i="2"/>
  <c r="K23" i="2" s="1"/>
  <c r="K21" i="3"/>
  <c r="O21" i="3" s="1"/>
  <c r="I21" i="3"/>
  <c r="Z22" i="3"/>
  <c r="AB22" i="3"/>
  <c r="K28" i="2"/>
  <c r="E30" i="2"/>
  <c r="H29" i="2"/>
  <c r="K29" i="2" s="1"/>
  <c r="U7" i="4"/>
  <c r="V7" i="4"/>
  <c r="W6" i="4"/>
  <c r="V22" i="4"/>
  <c r="T28" i="4"/>
  <c r="U28" i="4" s="1"/>
  <c r="V18" i="4"/>
  <c r="V19" i="4" s="1"/>
  <c r="W14" i="4"/>
  <c r="W15" i="4" s="1"/>
  <c r="W10" i="4"/>
  <c r="W11" i="4" s="1"/>
  <c r="W48" i="3"/>
  <c r="AE48" i="3" s="1"/>
  <c r="AE49" i="3" s="1"/>
  <c r="V23" i="3"/>
  <c r="E22" i="3"/>
  <c r="F41" i="2"/>
  <c r="K22" i="3" l="1"/>
  <c r="O22" i="3" s="1"/>
  <c r="I22" i="3"/>
  <c r="AF22" i="3"/>
  <c r="AG22" i="3" s="1"/>
  <c r="AB23" i="3"/>
  <c r="AF23" i="3" s="1"/>
  <c r="Z23" i="3"/>
  <c r="T30" i="4"/>
  <c r="U30" i="4"/>
  <c r="E31" i="2"/>
  <c r="H30" i="2"/>
  <c r="K30" i="2" s="1"/>
  <c r="X6" i="4"/>
  <c r="W7" i="4"/>
  <c r="W22" i="4"/>
  <c r="V28" i="4"/>
  <c r="V30" i="4" s="1"/>
  <c r="W18" i="4"/>
  <c r="W19" i="4" s="1"/>
  <c r="X14" i="4"/>
  <c r="X15" i="4" s="1"/>
  <c r="X10" i="4"/>
  <c r="X11" i="4" s="1"/>
  <c r="Y49" i="3"/>
  <c r="W55" i="3" s="1"/>
  <c r="V24" i="3"/>
  <c r="E23" i="3"/>
  <c r="F42" i="2"/>
  <c r="K23" i="3" l="1"/>
  <c r="O23" i="3" s="1"/>
  <c r="I23" i="3"/>
  <c r="Z24" i="3"/>
  <c r="AB24" i="3"/>
  <c r="AF24" i="3" s="1"/>
  <c r="Z55" i="3"/>
  <c r="AE55" i="3"/>
  <c r="E32" i="2"/>
  <c r="H31" i="2"/>
  <c r="K31" i="2" s="1"/>
  <c r="Y6" i="4"/>
  <c r="X7" i="4"/>
  <c r="X22" i="4"/>
  <c r="W28" i="4"/>
  <c r="W30" i="4" s="1"/>
  <c r="X18" i="4"/>
  <c r="X19" i="4" s="1"/>
  <c r="Y14" i="4"/>
  <c r="Y10" i="4"/>
  <c r="W56" i="3"/>
  <c r="AE56" i="3" s="1"/>
  <c r="V25" i="3"/>
  <c r="E24" i="3"/>
  <c r="F43" i="2"/>
  <c r="K24" i="3" l="1"/>
  <c r="O24" i="3" s="1"/>
  <c r="I24" i="3"/>
  <c r="AA14" i="4"/>
  <c r="Y15" i="4"/>
  <c r="Z15" i="4" s="1"/>
  <c r="Y7" i="4"/>
  <c r="AA6" i="4"/>
  <c r="Z25" i="3"/>
  <c r="AB25" i="3"/>
  <c r="AF25" i="3" s="1"/>
  <c r="Y11" i="4"/>
  <c r="Z11" i="4" s="1"/>
  <c r="AA10" i="4"/>
  <c r="E33" i="2"/>
  <c r="H32" i="2"/>
  <c r="K32" i="2" s="1"/>
  <c r="Z7" i="4"/>
  <c r="Y22" i="4"/>
  <c r="X28" i="4"/>
  <c r="X30" i="4" s="1"/>
  <c r="Y18" i="4"/>
  <c r="W57" i="3"/>
  <c r="AE57" i="3" s="1"/>
  <c r="V26" i="3"/>
  <c r="E25" i="3"/>
  <c r="G44" i="2"/>
  <c r="F49" i="2" s="1"/>
  <c r="R28" i="3" l="1"/>
  <c r="AB26" i="3"/>
  <c r="Z26" i="3"/>
  <c r="Y28" i="4"/>
  <c r="AA22" i="4"/>
  <c r="AB6" i="4"/>
  <c r="AA7" i="4"/>
  <c r="AB14" i="4"/>
  <c r="AA15" i="4"/>
  <c r="K25" i="3"/>
  <c r="O25" i="3" s="1"/>
  <c r="I25" i="3"/>
  <c r="AA18" i="4"/>
  <c r="Y19" i="4"/>
  <c r="Z19" i="4" s="1"/>
  <c r="Y30" i="4"/>
  <c r="AA11" i="4"/>
  <c r="AB10" i="4"/>
  <c r="E38" i="2"/>
  <c r="H33" i="2"/>
  <c r="Z28" i="4"/>
  <c r="W58" i="3"/>
  <c r="AE58" i="3" s="1"/>
  <c r="V33" i="3"/>
  <c r="AB33" i="3" s="1"/>
  <c r="E26" i="3"/>
  <c r="I26" i="3" s="1"/>
  <c r="F50" i="2"/>
  <c r="AC6" i="4" l="1"/>
  <c r="AB7" i="4"/>
  <c r="AF26" i="3"/>
  <c r="AF27" i="3" s="1"/>
  <c r="AG27" i="3" s="1"/>
  <c r="AC27" i="3"/>
  <c r="AB22" i="4"/>
  <c r="AA28" i="4"/>
  <c r="AF33" i="3"/>
  <c r="AC14" i="4"/>
  <c r="AB15" i="4"/>
  <c r="Z30" i="4"/>
  <c r="AB18" i="4"/>
  <c r="AA19" i="4"/>
  <c r="AA30" i="4" s="1"/>
  <c r="AC10" i="4"/>
  <c r="AB11" i="4"/>
  <c r="K33" i="2"/>
  <c r="H34" i="2"/>
  <c r="E39" i="2"/>
  <c r="H38" i="2"/>
  <c r="W59" i="3"/>
  <c r="AE59" i="3" s="1"/>
  <c r="E33" i="3"/>
  <c r="K26" i="3"/>
  <c r="O26" i="3" s="1"/>
  <c r="O27" i="3" s="1"/>
  <c r="P27" i="3" s="1"/>
  <c r="A28" i="3"/>
  <c r="V34" i="3"/>
  <c r="F51" i="2"/>
  <c r="AB34" i="3" l="1"/>
  <c r="Z34" i="3"/>
  <c r="AC15" i="4"/>
  <c r="AE15" i="4" s="1"/>
  <c r="AD14" i="4"/>
  <c r="AD15" i="4" s="1"/>
  <c r="AC22" i="4"/>
  <c r="AB28" i="4"/>
  <c r="AD6" i="4"/>
  <c r="AD7" i="4" s="1"/>
  <c r="AC7" i="4"/>
  <c r="AE7" i="4" s="1"/>
  <c r="AB19" i="4"/>
  <c r="AB30" i="4" s="1"/>
  <c r="AC18" i="4"/>
  <c r="AD10" i="4"/>
  <c r="AD11" i="4" s="1"/>
  <c r="AC11" i="4"/>
  <c r="K38" i="2"/>
  <c r="E40" i="2"/>
  <c r="H39" i="2"/>
  <c r="K39" i="2" s="1"/>
  <c r="W60" i="3"/>
  <c r="AE60" i="3" s="1"/>
  <c r="L27" i="3"/>
  <c r="E34" i="3"/>
  <c r="I34" i="3" s="1"/>
  <c r="K33" i="3"/>
  <c r="O33" i="3" s="1"/>
  <c r="V35" i="3"/>
  <c r="F52" i="2"/>
  <c r="AD22" i="4" l="1"/>
  <c r="AD28" i="4" s="1"/>
  <c r="AD30" i="4" s="1"/>
  <c r="AC28" i="4"/>
  <c r="AF34" i="3"/>
  <c r="AB35" i="3"/>
  <c r="AF35" i="3" s="1"/>
  <c r="Z35" i="3"/>
  <c r="AC19" i="4"/>
  <c r="AD18" i="4"/>
  <c r="AD19" i="4" s="1"/>
  <c r="AC30" i="4"/>
  <c r="AE11" i="4"/>
  <c r="E41" i="2"/>
  <c r="H40" i="2"/>
  <c r="K40" i="2" s="1"/>
  <c r="W65" i="3"/>
  <c r="AE65" i="3" s="1"/>
  <c r="E35" i="3"/>
  <c r="I35" i="3" s="1"/>
  <c r="K34" i="3"/>
  <c r="O34" i="3" s="1"/>
  <c r="V36" i="3"/>
  <c r="F53" i="2"/>
  <c r="AE28" i="4" l="1"/>
  <c r="Z36" i="3"/>
  <c r="AB36" i="3"/>
  <c r="AF36" i="3" s="1"/>
  <c r="AE19" i="4"/>
  <c r="AE30" i="4" s="1"/>
  <c r="E42" i="2"/>
  <c r="H41" i="2"/>
  <c r="W66" i="3"/>
  <c r="AE66" i="3" s="1"/>
  <c r="E36" i="3"/>
  <c r="I36" i="3" s="1"/>
  <c r="K35" i="3"/>
  <c r="O35" i="3" s="1"/>
  <c r="V37" i="3"/>
  <c r="F54" i="2"/>
  <c r="AB37" i="3" l="1"/>
  <c r="AF37" i="3" s="1"/>
  <c r="Z37" i="3"/>
  <c r="K41" i="2"/>
  <c r="E43" i="2"/>
  <c r="E49" i="2" s="1"/>
  <c r="H42" i="2"/>
  <c r="K42" i="2" s="1"/>
  <c r="W67" i="3"/>
  <c r="AE67" i="3" s="1"/>
  <c r="E37" i="3"/>
  <c r="I37" i="3" s="1"/>
  <c r="K36" i="3"/>
  <c r="O36" i="3" s="1"/>
  <c r="V38" i="3"/>
  <c r="F59" i="2"/>
  <c r="Z38" i="3" l="1"/>
  <c r="AB38" i="3"/>
  <c r="AF38" i="3" s="1"/>
  <c r="E50" i="2"/>
  <c r="H49" i="2"/>
  <c r="K49" i="2" s="1"/>
  <c r="B44" i="2"/>
  <c r="H43" i="2"/>
  <c r="H44" i="2" s="1"/>
  <c r="J44" i="2" s="1"/>
  <c r="W68" i="3"/>
  <c r="AE68" i="3" s="1"/>
  <c r="E38" i="3"/>
  <c r="I38" i="3" s="1"/>
  <c r="K37" i="3"/>
  <c r="O37" i="3" s="1"/>
  <c r="V43" i="3"/>
  <c r="F60" i="2"/>
  <c r="F64" i="2"/>
  <c r="Z43" i="3" l="1"/>
  <c r="AB43" i="3"/>
  <c r="AF43" i="3" s="1"/>
  <c r="E51" i="2"/>
  <c r="H50" i="2"/>
  <c r="K43" i="2"/>
  <c r="K44" i="2" s="1"/>
  <c r="W69" i="3"/>
  <c r="AE69" i="3" s="1"/>
  <c r="K38" i="3"/>
  <c r="O38" i="3" s="1"/>
  <c r="E43" i="3"/>
  <c r="I43" i="3" s="1"/>
  <c r="V44" i="3"/>
  <c r="G65" i="2"/>
  <c r="F71" i="2" s="1"/>
  <c r="F61" i="2"/>
  <c r="AB44" i="3" l="1"/>
  <c r="AF44" i="3" s="1"/>
  <c r="Z44" i="3"/>
  <c r="E52" i="2"/>
  <c r="H51" i="2"/>
  <c r="K51" i="2" s="1"/>
  <c r="K50" i="2"/>
  <c r="W70" i="3"/>
  <c r="AE70" i="3" s="1"/>
  <c r="AE71" i="3" s="1"/>
  <c r="E44" i="3"/>
  <c r="I44" i="3" s="1"/>
  <c r="K43" i="3"/>
  <c r="O43" i="3" s="1"/>
  <c r="V45" i="3"/>
  <c r="F62" i="2"/>
  <c r="F72" i="2"/>
  <c r="E53" i="2" l="1"/>
  <c r="H52" i="2"/>
  <c r="K52" i="2" s="1"/>
  <c r="Z45" i="3"/>
  <c r="AB45" i="3"/>
  <c r="AF45" i="3" s="1"/>
  <c r="Y71" i="3"/>
  <c r="W77" i="3" s="1"/>
  <c r="E45" i="3"/>
  <c r="I45" i="3" s="1"/>
  <c r="K44" i="3"/>
  <c r="O44" i="3" s="1"/>
  <c r="V46" i="3"/>
  <c r="F73" i="2"/>
  <c r="F63" i="2"/>
  <c r="Z77" i="3" l="1"/>
  <c r="AE77" i="3"/>
  <c r="AB46" i="3"/>
  <c r="AF46" i="3" s="1"/>
  <c r="Z46" i="3"/>
  <c r="E54" i="2"/>
  <c r="H53" i="2"/>
  <c r="W78" i="3"/>
  <c r="AE78" i="3" s="1"/>
  <c r="K45" i="3"/>
  <c r="O45" i="3" s="1"/>
  <c r="E46" i="3"/>
  <c r="I46" i="3" s="1"/>
  <c r="V47" i="3"/>
  <c r="F74" i="2"/>
  <c r="AB47" i="3" l="1"/>
  <c r="AF47" i="3" s="1"/>
  <c r="Z47" i="3"/>
  <c r="K53" i="2"/>
  <c r="H55" i="2"/>
  <c r="E59" i="2"/>
  <c r="H54" i="2"/>
  <c r="K54" i="2" s="1"/>
  <c r="W79" i="3"/>
  <c r="AE79" i="3" s="1"/>
  <c r="K46" i="3"/>
  <c r="O46" i="3" s="1"/>
  <c r="E47" i="3"/>
  <c r="I47" i="3" s="1"/>
  <c r="V48" i="3"/>
  <c r="F75" i="2"/>
  <c r="R50" i="3" l="1"/>
  <c r="Z48" i="3"/>
  <c r="AB48" i="3"/>
  <c r="E60" i="2"/>
  <c r="H59" i="2"/>
  <c r="W80" i="3"/>
  <c r="AE80" i="3" s="1"/>
  <c r="K47" i="3"/>
  <c r="O47" i="3" s="1"/>
  <c r="E48" i="3"/>
  <c r="I48" i="3" s="1"/>
  <c r="V55" i="3"/>
  <c r="AB55" i="3" s="1"/>
  <c r="F76" i="2"/>
  <c r="K59" i="2" l="1"/>
  <c r="AF55" i="3"/>
  <c r="E61" i="2"/>
  <c r="H60" i="2"/>
  <c r="K60" i="2" s="1"/>
  <c r="AF48" i="3"/>
  <c r="AF49" i="3" s="1"/>
  <c r="AG49" i="3" s="1"/>
  <c r="AC49" i="3"/>
  <c r="W81" i="3"/>
  <c r="AE81" i="3" s="1"/>
  <c r="K48" i="3"/>
  <c r="O48" i="3" s="1"/>
  <c r="O49" i="3" s="1"/>
  <c r="P49" i="3" s="1"/>
  <c r="A51" i="3"/>
  <c r="E55" i="3"/>
  <c r="V56" i="3"/>
  <c r="F81" i="2"/>
  <c r="Z56" i="3" l="1"/>
  <c r="AB56" i="3"/>
  <c r="E62" i="2"/>
  <c r="H61" i="2"/>
  <c r="K61" i="2" s="1"/>
  <c r="W82" i="3"/>
  <c r="AE82" i="3" s="1"/>
  <c r="E56" i="3"/>
  <c r="I56" i="3" s="1"/>
  <c r="K55" i="3"/>
  <c r="O55" i="3" s="1"/>
  <c r="L49" i="3"/>
  <c r="V57" i="3"/>
  <c r="F82" i="2"/>
  <c r="Z57" i="3" l="1"/>
  <c r="AB57" i="3"/>
  <c r="AF57" i="3" s="1"/>
  <c r="AF56" i="3"/>
  <c r="E63" i="2"/>
  <c r="H62" i="2"/>
  <c r="W87" i="3"/>
  <c r="AE87" i="3" s="1"/>
  <c r="E57" i="3"/>
  <c r="I57" i="3" s="1"/>
  <c r="K56" i="3"/>
  <c r="O56" i="3" s="1"/>
  <c r="V58" i="3"/>
  <c r="F83" i="2"/>
  <c r="AB58" i="3" l="1"/>
  <c r="Z58" i="3"/>
  <c r="K62" i="2"/>
  <c r="E64" i="2"/>
  <c r="H63" i="2"/>
  <c r="K63" i="2" s="1"/>
  <c r="W88" i="3"/>
  <c r="AE88" i="3" s="1"/>
  <c r="K57" i="3"/>
  <c r="O57" i="3" s="1"/>
  <c r="E58" i="3"/>
  <c r="I58" i="3" s="1"/>
  <c r="V59" i="3"/>
  <c r="F84" i="2"/>
  <c r="AF58" i="3" l="1"/>
  <c r="Z59" i="3"/>
  <c r="AB59" i="3"/>
  <c r="AF59" i="3" s="1"/>
  <c r="B65" i="2"/>
  <c r="E71" i="2"/>
  <c r="H64" i="2"/>
  <c r="K64" i="2" s="1"/>
  <c r="K65" i="2" s="1"/>
  <c r="H65" i="2"/>
  <c r="J65" i="2" s="1"/>
  <c r="W89" i="3"/>
  <c r="AE89" i="3" s="1"/>
  <c r="E59" i="3"/>
  <c r="I59" i="3" s="1"/>
  <c r="K58" i="3"/>
  <c r="O58" i="3" s="1"/>
  <c r="V60" i="3"/>
  <c r="F85" i="2"/>
  <c r="E72" i="2" l="1"/>
  <c r="H71" i="2"/>
  <c r="AB60" i="3"/>
  <c r="Z60" i="3"/>
  <c r="W90" i="3"/>
  <c r="AE90" i="3" s="1"/>
  <c r="E60" i="3"/>
  <c r="I60" i="3" s="1"/>
  <c r="K59" i="3"/>
  <c r="O59" i="3" s="1"/>
  <c r="V65" i="3"/>
  <c r="F86" i="2"/>
  <c r="AF60" i="3" l="1"/>
  <c r="G87" i="2"/>
  <c r="F91" i="2" s="1"/>
  <c r="K71" i="2"/>
  <c r="AB65" i="3"/>
  <c r="AF65" i="3" s="1"/>
  <c r="Z65" i="3"/>
  <c r="E73" i="2"/>
  <c r="H72" i="2"/>
  <c r="K72" i="2" s="1"/>
  <c r="W91" i="3"/>
  <c r="AE91" i="3" s="1"/>
  <c r="E65" i="3"/>
  <c r="I65" i="3" s="1"/>
  <c r="K60" i="3"/>
  <c r="O60" i="3" s="1"/>
  <c r="V66" i="3"/>
  <c r="F92" i="2" l="1"/>
  <c r="Z66" i="3"/>
  <c r="AB66" i="3"/>
  <c r="E74" i="2"/>
  <c r="H73" i="2"/>
  <c r="K73" i="2" s="1"/>
  <c r="W92" i="3"/>
  <c r="AE92" i="3" s="1"/>
  <c r="AE93" i="3" s="1"/>
  <c r="E66" i="3"/>
  <c r="I66" i="3" s="1"/>
  <c r="K65" i="3"/>
  <c r="O65" i="3" s="1"/>
  <c r="V67" i="3"/>
  <c r="AB67" i="3" l="1"/>
  <c r="AF67" i="3" s="1"/>
  <c r="Z67" i="3"/>
  <c r="AF66" i="3"/>
  <c r="E75" i="2"/>
  <c r="H74" i="2"/>
  <c r="K74" i="2" s="1"/>
  <c r="F93" i="2"/>
  <c r="Y93" i="3"/>
  <c r="W97" i="3" s="1"/>
  <c r="E67" i="3"/>
  <c r="I67" i="3" s="1"/>
  <c r="K66" i="3"/>
  <c r="O66" i="3" s="1"/>
  <c r="V68" i="3"/>
  <c r="F94" i="2" l="1"/>
  <c r="Z97" i="3"/>
  <c r="AE97" i="3"/>
  <c r="Z68" i="3"/>
  <c r="AB68" i="3"/>
  <c r="AF68" i="3" s="1"/>
  <c r="E76" i="2"/>
  <c r="H75" i="2"/>
  <c r="W98" i="3"/>
  <c r="AE98" i="3" s="1"/>
  <c r="E68" i="3"/>
  <c r="I68" i="3" s="1"/>
  <c r="K67" i="3"/>
  <c r="O67" i="3" s="1"/>
  <c r="V69" i="3"/>
  <c r="E81" i="2" l="1"/>
  <c r="H76" i="2"/>
  <c r="K76" i="2" s="1"/>
  <c r="Z69" i="3"/>
  <c r="AB69" i="3"/>
  <c r="AF69" i="3" s="1"/>
  <c r="K75" i="2"/>
  <c r="H77" i="2"/>
  <c r="F95" i="2"/>
  <c r="W99" i="3"/>
  <c r="AE99" i="3" s="1"/>
  <c r="E69" i="3"/>
  <c r="I69" i="3" s="1"/>
  <c r="K68" i="3"/>
  <c r="O68" i="3" s="1"/>
  <c r="V70" i="3"/>
  <c r="E82" i="2" l="1"/>
  <c r="H81" i="2"/>
  <c r="R72" i="3"/>
  <c r="AB70" i="3"/>
  <c r="Z70" i="3"/>
  <c r="F96" i="2"/>
  <c r="W100" i="3"/>
  <c r="AE100" i="3" s="1"/>
  <c r="E70" i="3"/>
  <c r="I70" i="3" s="1"/>
  <c r="K69" i="3"/>
  <c r="O69" i="3" s="1"/>
  <c r="V77" i="3"/>
  <c r="AB77" i="3" s="1"/>
  <c r="K81" i="2" l="1"/>
  <c r="E83" i="2"/>
  <c r="H82" i="2"/>
  <c r="K82" i="2" s="1"/>
  <c r="AF70" i="3"/>
  <c r="AF71" i="3" s="1"/>
  <c r="AG71" i="3" s="1"/>
  <c r="AC71" i="3"/>
  <c r="AF77" i="3"/>
  <c r="F101" i="2"/>
  <c r="W101" i="3"/>
  <c r="AE101" i="3" s="1"/>
  <c r="K70" i="3"/>
  <c r="O70" i="3" s="1"/>
  <c r="O71" i="3" s="1"/>
  <c r="P71" i="3" s="1"/>
  <c r="E77" i="3"/>
  <c r="A73" i="3"/>
  <c r="V78" i="3"/>
  <c r="AB78" i="3" l="1"/>
  <c r="Z78" i="3"/>
  <c r="E84" i="2"/>
  <c r="H83" i="2"/>
  <c r="K83" i="2" s="1"/>
  <c r="F102" i="2"/>
  <c r="W102" i="3"/>
  <c r="AE102" i="3" s="1"/>
  <c r="E78" i="3"/>
  <c r="I78" i="3" s="1"/>
  <c r="K77" i="3"/>
  <c r="O77" i="3" s="1"/>
  <c r="L71" i="3"/>
  <c r="V79" i="3"/>
  <c r="E85" i="2" l="1"/>
  <c r="H84" i="2"/>
  <c r="F103" i="2"/>
  <c r="AB79" i="3"/>
  <c r="AF79" i="3" s="1"/>
  <c r="Z79" i="3"/>
  <c r="AF78" i="3"/>
  <c r="W107" i="3"/>
  <c r="AE107" i="3" s="1"/>
  <c r="E79" i="3"/>
  <c r="I79" i="3" s="1"/>
  <c r="K78" i="3"/>
  <c r="O78" i="3" s="1"/>
  <c r="V80" i="3"/>
  <c r="F104" i="2" l="1"/>
  <c r="K84" i="2"/>
  <c r="Z80" i="3"/>
  <c r="AB80" i="3"/>
  <c r="E86" i="2"/>
  <c r="H85" i="2"/>
  <c r="K85" i="2" s="1"/>
  <c r="W108" i="3"/>
  <c r="AE108" i="3" s="1"/>
  <c r="K79" i="3"/>
  <c r="O79" i="3" s="1"/>
  <c r="E80" i="3"/>
  <c r="I80" i="3" s="1"/>
  <c r="V81" i="3"/>
  <c r="F105" i="2" l="1"/>
  <c r="AF80" i="3"/>
  <c r="AB81" i="3"/>
  <c r="AF81" i="3" s="1"/>
  <c r="Z81" i="3"/>
  <c r="H87" i="2"/>
  <c r="J87" i="2" s="1"/>
  <c r="E91" i="2"/>
  <c r="B87" i="2"/>
  <c r="H86" i="2"/>
  <c r="K86" i="2" s="1"/>
  <c r="K87" i="2" s="1"/>
  <c r="W109" i="3"/>
  <c r="AE109" i="3" s="1"/>
  <c r="E81" i="3"/>
  <c r="I81" i="3" s="1"/>
  <c r="K80" i="3"/>
  <c r="O80" i="3" s="1"/>
  <c r="V82" i="3"/>
  <c r="Z82" i="3" l="1"/>
  <c r="AB82" i="3"/>
  <c r="AF82" i="3" s="1"/>
  <c r="F106" i="2"/>
  <c r="E92" i="2"/>
  <c r="H91" i="2"/>
  <c r="W110" i="3"/>
  <c r="AE110" i="3" s="1"/>
  <c r="K81" i="3"/>
  <c r="O81" i="3" s="1"/>
  <c r="E82" i="3"/>
  <c r="I82" i="3" s="1"/>
  <c r="V87" i="3"/>
  <c r="Z87" i="3" l="1"/>
  <c r="AB87" i="3"/>
  <c r="E93" i="2"/>
  <c r="H92" i="2"/>
  <c r="K92" i="2" s="1"/>
  <c r="K91" i="2"/>
  <c r="W111" i="3"/>
  <c r="AE111" i="3" s="1"/>
  <c r="E87" i="3"/>
  <c r="I87" i="3" s="1"/>
  <c r="K82" i="3"/>
  <c r="O82" i="3" s="1"/>
  <c r="V88" i="3"/>
  <c r="AB88" i="3" l="1"/>
  <c r="AF88" i="3" s="1"/>
  <c r="Z88" i="3"/>
  <c r="E94" i="2"/>
  <c r="H93" i="2"/>
  <c r="AF87" i="3"/>
  <c r="W112" i="3"/>
  <c r="AE112" i="3" s="1"/>
  <c r="AE113" i="3" s="1"/>
  <c r="K87" i="3"/>
  <c r="O87" i="3" s="1"/>
  <c r="E88" i="3"/>
  <c r="I88" i="3" s="1"/>
  <c r="V89" i="3"/>
  <c r="Z89" i="3" l="1"/>
  <c r="AB89" i="3"/>
  <c r="AF89" i="3" s="1"/>
  <c r="E95" i="2"/>
  <c r="H94" i="2"/>
  <c r="K94" i="2" s="1"/>
  <c r="K93" i="2"/>
  <c r="K88" i="3"/>
  <c r="O88" i="3" s="1"/>
  <c r="E89" i="3"/>
  <c r="I89" i="3" s="1"/>
  <c r="V90" i="3"/>
  <c r="E96" i="2" l="1"/>
  <c r="H95" i="2"/>
  <c r="AB90" i="3"/>
  <c r="AF90" i="3" s="1"/>
  <c r="Z90" i="3"/>
  <c r="E90" i="3"/>
  <c r="I90" i="3" s="1"/>
  <c r="K89" i="3"/>
  <c r="O89" i="3" s="1"/>
  <c r="V91" i="3"/>
  <c r="AB91" i="3" l="1"/>
  <c r="AF91" i="3" s="1"/>
  <c r="Z91" i="3"/>
  <c r="E101" i="2"/>
  <c r="H96" i="2"/>
  <c r="K96" i="2" s="1"/>
  <c r="K95" i="2"/>
  <c r="H97" i="2"/>
  <c r="K90" i="3"/>
  <c r="O90" i="3" s="1"/>
  <c r="E91" i="3"/>
  <c r="I91" i="3" s="1"/>
  <c r="V92" i="3"/>
  <c r="E102" i="2" l="1"/>
  <c r="H101" i="2"/>
  <c r="R94" i="3"/>
  <c r="Z92" i="3"/>
  <c r="AB92" i="3"/>
  <c r="A94" i="3"/>
  <c r="E92" i="3"/>
  <c r="I92" i="3" s="1"/>
  <c r="K91" i="3"/>
  <c r="O91" i="3" s="1"/>
  <c r="V97" i="3"/>
  <c r="AB97" i="3" s="1"/>
  <c r="K101" i="2" l="1"/>
  <c r="AF97" i="3"/>
  <c r="AF92" i="3"/>
  <c r="AF93" i="3" s="1"/>
  <c r="AG93" i="3" s="1"/>
  <c r="AC93" i="3"/>
  <c r="E103" i="2"/>
  <c r="H102" i="2"/>
  <c r="K102" i="2" s="1"/>
  <c r="K92" i="3"/>
  <c r="O92" i="3" s="1"/>
  <c r="O93" i="3" s="1"/>
  <c r="P93" i="3" s="1"/>
  <c r="E97" i="3"/>
  <c r="V98" i="3"/>
  <c r="E104" i="2" l="1"/>
  <c r="H103" i="2"/>
  <c r="K103" i="2" s="1"/>
  <c r="AB98" i="3"/>
  <c r="Z98" i="3"/>
  <c r="L93" i="3"/>
  <c r="E98" i="3"/>
  <c r="I98" i="3" s="1"/>
  <c r="K97" i="3"/>
  <c r="O97" i="3" s="1"/>
  <c r="V99" i="3"/>
  <c r="AF98" i="3" l="1"/>
  <c r="Z99" i="3"/>
  <c r="AB99" i="3"/>
  <c r="AF99" i="3" s="1"/>
  <c r="E105" i="2"/>
  <c r="H104" i="2"/>
  <c r="E99" i="3"/>
  <c r="I99" i="3" s="1"/>
  <c r="K98" i="3"/>
  <c r="O98" i="3" s="1"/>
  <c r="V100" i="3"/>
  <c r="Z100" i="3" l="1"/>
  <c r="AB100" i="3"/>
  <c r="E106" i="2"/>
  <c r="H105" i="2"/>
  <c r="K105" i="2" s="1"/>
  <c r="K104" i="2"/>
  <c r="E100" i="3"/>
  <c r="I100" i="3" s="1"/>
  <c r="K99" i="3"/>
  <c r="O99" i="3" s="1"/>
  <c r="V101" i="3"/>
  <c r="H107" i="2" l="1"/>
  <c r="J107" i="2" s="1"/>
  <c r="B107" i="2"/>
  <c r="H106" i="2"/>
  <c r="K106" i="2" s="1"/>
  <c r="K107" i="2" s="1"/>
  <c r="AB101" i="3"/>
  <c r="AF101" i="3" s="1"/>
  <c r="Z101" i="3"/>
  <c r="AF100" i="3"/>
  <c r="K100" i="3"/>
  <c r="O100" i="3" s="1"/>
  <c r="E101" i="3"/>
  <c r="I101" i="3" s="1"/>
  <c r="V102" i="3"/>
  <c r="AB102" i="3" l="1"/>
  <c r="AF102" i="3" s="1"/>
  <c r="Z102" i="3"/>
  <c r="E102" i="3"/>
  <c r="I102" i="3" s="1"/>
  <c r="K101" i="3"/>
  <c r="O101" i="3" s="1"/>
  <c r="V107" i="3"/>
  <c r="Z107" i="3" l="1"/>
  <c r="AB107" i="3"/>
  <c r="E107" i="3"/>
  <c r="I107" i="3" s="1"/>
  <c r="K102" i="3"/>
  <c r="O102" i="3" s="1"/>
  <c r="V108" i="3"/>
  <c r="AF107" i="3" l="1"/>
  <c r="Z108" i="3"/>
  <c r="AB108" i="3"/>
  <c r="AF108" i="3" s="1"/>
  <c r="E108" i="3"/>
  <c r="I108" i="3" s="1"/>
  <c r="K107" i="3"/>
  <c r="O107" i="3" s="1"/>
  <c r="V109" i="3"/>
  <c r="AB109" i="3" l="1"/>
  <c r="AF109" i="3" s="1"/>
  <c r="Z109" i="3"/>
  <c r="E109" i="3"/>
  <c r="I109" i="3" s="1"/>
  <c r="K108" i="3"/>
  <c r="O108" i="3" s="1"/>
  <c r="V110" i="3"/>
  <c r="AB110" i="3" l="1"/>
  <c r="AF110" i="3" s="1"/>
  <c r="Z110" i="3"/>
  <c r="K109" i="3"/>
  <c r="O109" i="3" s="1"/>
  <c r="E110" i="3"/>
  <c r="I110" i="3" s="1"/>
  <c r="V111" i="3"/>
  <c r="Z111" i="3" l="1"/>
  <c r="AB111" i="3"/>
  <c r="AF111" i="3" s="1"/>
  <c r="K110" i="3"/>
  <c r="O110" i="3" s="1"/>
  <c r="E111" i="3"/>
  <c r="I111" i="3" s="1"/>
  <c r="V112" i="3"/>
  <c r="Z112" i="3" l="1"/>
  <c r="AB112" i="3"/>
  <c r="K111" i="3"/>
  <c r="O111" i="3" s="1"/>
  <c r="E112" i="3"/>
  <c r="I112" i="3" s="1"/>
  <c r="R114" i="3"/>
  <c r="AF112" i="3" l="1"/>
  <c r="AF113" i="3" s="1"/>
  <c r="AG113" i="3" s="1"/>
  <c r="AC113" i="3"/>
  <c r="K112" i="3"/>
  <c r="O112" i="3" s="1"/>
  <c r="O113" i="3" s="1"/>
  <c r="P113" i="3" s="1"/>
  <c r="A115" i="3"/>
  <c r="L1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tc={705E0AEC-8D30-DD4D-A5D1-69354EAE76CA}</author>
    <author>tc={6A51A412-F844-C345-945D-8B6E8B600A45}</author>
    <author>tc={F4094167-1ACD-7E4F-9832-08860E428959}</author>
  </authors>
  <commentList>
    <comment ref="E4" authorId="0" shapeId="0" xr:uid="{705E0AEC-8D30-DD4D-A5D1-69354EAE76CA}">
      <text>
        <t>[Threaded comment]
Your version of Excel allows you to read this threaded comment; however, any edits to it will get removed if the file is opened in a newer version of Excel. Learn more: https://go.microsoft.com/fwlink/?linkid=870924
Comment:
    380 Balaji + 100 SLN + 66 Shravani</t>
      </text>
    </comment>
    <comment ref="N4" authorId="1" shapeId="0" xr:uid="{6A51A412-F844-C345-945D-8B6E8B600A45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deployed till end of Dec 19</t>
      </text>
    </comment>
    <comment ref="V4" authorId="2" shapeId="0" xr:uid="{F4094167-1ACD-7E4F-9832-08860E428959}">
      <text>
        <t>[Threaded comment]
Your version of Excel allows you to read this threaded comment; however, any edits to it will get removed if the file is opened in a newer version of Excel. Learn more: https://go.microsoft.com/fwlink/?linkid=870924
Comment:
    120 AMD + 80 Royal</t>
      </text>
    </comment>
  </commentList>
</comments>
</file>

<file path=xl/sharedStrings.xml><?xml version="1.0" encoding="utf-8"?>
<sst xmlns="http://schemas.openxmlformats.org/spreadsheetml/2006/main" count="549" uniqueCount="188">
  <si>
    <t>Till March'19</t>
  </si>
  <si>
    <t>FY19-20</t>
  </si>
  <si>
    <t>Gross rental collections</t>
  </si>
  <si>
    <t>FY20-21</t>
  </si>
  <si>
    <t>FY21-22</t>
  </si>
  <si>
    <t>FY22-23</t>
  </si>
  <si>
    <t>FY23-24</t>
  </si>
  <si>
    <t>(in CR)</t>
  </si>
  <si>
    <t>Aug-Mar'20</t>
  </si>
  <si>
    <t>(51.3*8)</t>
  </si>
  <si>
    <t>Apr-Jul'19</t>
  </si>
  <si>
    <t>(25.5*4)</t>
  </si>
  <si>
    <t>Additional Business</t>
  </si>
  <si>
    <t>Jan-Mar'20</t>
  </si>
  <si>
    <t>PMS</t>
  </si>
  <si>
    <t># of beds</t>
  </si>
  <si>
    <t>H1</t>
  </si>
  <si>
    <t>H2</t>
  </si>
  <si>
    <t>GROSS RENT</t>
  </si>
  <si>
    <t># OF PROP</t>
  </si>
  <si>
    <t>OPENING</t>
  </si>
  <si>
    <t>50 PROP</t>
  </si>
  <si>
    <t>H1 FY20-21 PMS RAMP UP</t>
  </si>
  <si>
    <t xml:space="preserve">H2 FY20-21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</si>
  <si>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</si>
  <si>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</si>
  <si>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</si>
  <si>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</si>
  <si>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</si>
  <si>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</si>
  <si>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</si>
  <si>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</si>
  <si>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</si>
  <si>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</si>
  <si>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</si>
  <si>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</si>
  <si>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FY24-25</t>
  </si>
  <si>
    <t>RENTAL INC@5%</t>
  </si>
  <si>
    <t># OF BEDS</t>
  </si>
  <si>
    <t>B2B</t>
  </si>
  <si>
    <t>B2C</t>
  </si>
  <si>
    <t>CAPITAL REQ</t>
  </si>
  <si>
    <t>GROSS MARGIN</t>
  </si>
  <si>
    <t>ROCI</t>
  </si>
  <si>
    <t>PMS REVENUE</t>
  </si>
  <si>
    <t>CUMULATIVE PMS REV</t>
  </si>
  <si>
    <t>MONTHLY AVG RENT</t>
  </si>
  <si>
    <t>AVG MONTHLY RENT</t>
  </si>
  <si>
    <t>OCC</t>
  </si>
  <si>
    <t>TILL DEC 2019</t>
  </si>
  <si>
    <t>INCREMENTAL BEDS</t>
  </si>
  <si>
    <t>CL. UNITS</t>
  </si>
  <si>
    <t>GROSS RENTAL</t>
  </si>
  <si>
    <t>ANNUAL GROSS RENTAL</t>
  </si>
  <si>
    <t>MONTHLY GROSS</t>
  </si>
  <si>
    <t>Add. Units</t>
  </si>
  <si>
    <t>Rate/Bed</t>
  </si>
  <si>
    <t>Occupancy</t>
  </si>
  <si>
    <t>Till Dec</t>
  </si>
  <si>
    <t>Q4-20</t>
  </si>
  <si>
    <t>PMS Sales &amp; Operations</t>
  </si>
  <si>
    <t>FTE</t>
  </si>
  <si>
    <t>Average Cost/FTE</t>
  </si>
  <si>
    <t>Total Cost</t>
  </si>
  <si>
    <t>FY 19-20</t>
  </si>
  <si>
    <t>Inc %</t>
  </si>
  <si>
    <t>PG Sales &amp; Operations</t>
  </si>
  <si>
    <t>Technology</t>
  </si>
  <si>
    <t>Leadership Team</t>
  </si>
  <si>
    <t>Other Costs</t>
  </si>
  <si>
    <t>Office</t>
  </si>
  <si>
    <t>Technology Hosting</t>
  </si>
  <si>
    <t>Compliance</t>
  </si>
  <si>
    <t>Digital Marketing</t>
  </si>
  <si>
    <t>Total Costs</t>
  </si>
  <si>
    <t>Q1-20-21</t>
  </si>
  <si>
    <t>Q2-20-21</t>
  </si>
  <si>
    <t>Q3-20-21</t>
  </si>
  <si>
    <t>Q4-20-21</t>
  </si>
  <si>
    <t>Q1-21-22</t>
  </si>
  <si>
    <t>Q2-21-22</t>
  </si>
  <si>
    <t>Q3-21-22</t>
  </si>
  <si>
    <t>Q4-21-22</t>
  </si>
  <si>
    <t>Additional Property</t>
  </si>
  <si>
    <t>Closing Units</t>
  </si>
  <si>
    <t>AMR</t>
  </si>
  <si>
    <t>Q1-22-23</t>
  </si>
  <si>
    <t>Q2-22-23</t>
  </si>
  <si>
    <t>Q3-22-23</t>
  </si>
  <si>
    <t>Q4-22-23</t>
  </si>
  <si>
    <t>Q1-23-24</t>
  </si>
  <si>
    <t>Q2-23-24</t>
  </si>
  <si>
    <t>Q3-23-24</t>
  </si>
  <si>
    <t>Q4-23-24</t>
  </si>
  <si>
    <t>Q1-24-25</t>
  </si>
  <si>
    <t>Q2-24-25</t>
  </si>
  <si>
    <t>Q3-24-25</t>
  </si>
  <si>
    <t>Q4-24-25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</si>
  <si>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</si>
  <si>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</si>
  <si>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</si>
  <si>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</si>
  <si>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</si>
  <si>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</si>
  <si>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</si>
  <si>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</si>
  <si>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</si>
  <si>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</si>
  <si>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</si>
  <si>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</si>
  <si>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</si>
  <si>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</si>
  <si>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</si>
  <si>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</si>
  <si>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</si>
  <si>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</si>
  <si>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</si>
  <si>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</si>
  <si>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</si>
  <si>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</si>
  <si>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</si>
  <si>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</si>
  <si>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</si>
  <si>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</si>
  <si>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</si>
  <si>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</si>
  <si>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</si>
  <si>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</si>
  <si>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</si>
  <si>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</si>
  <si>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</si>
  <si>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</si>
  <si>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</si>
  <si>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</si>
  <si>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</si>
  <si>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</si>
  <si>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</si>
  <si>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</si>
  <si>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</si>
  <si>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</si>
  <si>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</si>
  <si>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</si>
  <si>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</si>
  <si>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</si>
  <si>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</si>
  <si>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</si>
  <si>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</si>
  <si>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</si>
  <si>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</si>
  <si>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</si>
  <si>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</si>
  <si>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</si>
  <si>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</si>
  <si>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</si>
  <si>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</si>
  <si>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</si>
  <si>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</si>
  <si>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</si>
  <si>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# of new properties added</t>
  </si>
  <si>
    <t>Total # of properties under PMS</t>
  </si>
  <si>
    <t>Average Rent/month/property</t>
  </si>
  <si>
    <t>PMS Fee</t>
  </si>
  <si>
    <t>Cumulative PMS Revenue</t>
  </si>
  <si>
    <t>Cumulative total Gross Rental Revenue</t>
  </si>
  <si>
    <t>Business Operations</t>
  </si>
  <si>
    <t>Team Lead</t>
  </si>
  <si>
    <t># of FTE &amp; HR Cost</t>
  </si>
  <si>
    <t>Remuneration/month</t>
  </si>
  <si>
    <t>BD - Associates</t>
  </si>
  <si>
    <t>Business Development Executives</t>
  </si>
  <si>
    <t>Total remuneration</t>
  </si>
  <si>
    <t>Total FTE #</t>
  </si>
  <si>
    <t>Reimbursements</t>
  </si>
  <si>
    <t>Performance incentives</t>
  </si>
  <si>
    <t>Performance incentives %</t>
  </si>
  <si>
    <t>Marketing Costs</t>
  </si>
  <si>
    <t>SEO</t>
  </si>
  <si>
    <t>SEM</t>
  </si>
  <si>
    <t>Social Media</t>
  </si>
  <si>
    <t>Display advertising</t>
  </si>
  <si>
    <t>Affiliate Advertising</t>
  </si>
  <si>
    <t xml:space="preserve">BTL </t>
  </si>
  <si>
    <t>Total marketing spends</t>
  </si>
  <si>
    <t>BD Overheads</t>
  </si>
  <si>
    <t>Profit/Loss</t>
  </si>
  <si>
    <t># of beds added</t>
  </si>
  <si>
    <t>Total # of beds managed</t>
  </si>
  <si>
    <t>Average Rent/month/bed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</si>
</sst>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 [$₹-4009]\ * #,##0_ ;_ [$₹-4009]\ * \-#,##0_ ;_ [$₹-4009]\ * &quot;-&quot;??_ ;_ @_ "/>
    <numFmt numFmtId="166" formatCode="_ [$₹-4009]\ * #,##0.000_ ;_ [$₹-4009]\ * \-#,##0.000_ ;_ [$₹-4009]\ * &quot;-&quot;???_ ;_ @_ "/>
    <numFmt numFmtId="167" formatCode="_ [$₹-4009]\ * #,##0_ ;_ [$₹-4009]\ * \-#,##0_ ;_ [$₹-4009]\ * &quot;-&quot;???_ ;_ @_ "/>
    <numFmt numFmtId="168" formatCode="0.0%"/>
    <numFmt numFmtId="169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9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9" fontId="0" fillId="0" borderId="0" xfId="2" applyNumberFormat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 applyBorder="1"/>
    <xf numFmtId="165" fontId="0" fillId="0" borderId="0" xfId="0" applyNumberFormat="1" applyBorder="1"/>
    <xf numFmtId="17" fontId="0" fillId="0" borderId="0" xfId="0" applyNumberFormat="1" applyBorder="1"/>
    <xf numFmtId="9" fontId="0" fillId="0" borderId="5" xfId="1" applyNumberFormat="1" applyFont="1" applyBorder="1"/>
    <xf numFmtId="165" fontId="0" fillId="5" borderId="0" xfId="0" applyNumberFormat="1" applyFill="1" applyBorder="1"/>
    <xf numFmtId="0" fontId="2" fillId="0" borderId="0" xfId="0" applyFont="1" applyBorder="1"/>
    <xf numFmtId="0" fontId="0" fillId="0" borderId="0" xfId="0" applyBorder="1" applyAlignment="1">
      <alignment wrapText="1"/>
    </xf>
    <xf numFmtId="168" fontId="0" fillId="0" borderId="5" xfId="1" applyNumberFormat="1" applyFont="1" applyBorder="1"/>
    <xf numFmtId="0" fontId="0" fillId="4" borderId="4" xfId="0" applyFill="1" applyBorder="1"/>
    <xf numFmtId="1" fontId="0" fillId="0" borderId="0" xfId="0" applyNumberFormat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165" fontId="0" fillId="0" borderId="4" xfId="0" applyNumberFormat="1" applyBorder="1"/>
    <xf numFmtId="1" fontId="0" fillId="0" borderId="7" xfId="0" applyNumberFormat="1" applyBorder="1"/>
    <xf numFmtId="165" fontId="0" fillId="6" borderId="5" xfId="0" applyNumberFormat="1" applyFill="1" applyBorder="1"/>
    <xf numFmtId="0" fontId="0" fillId="0" borderId="2" xfId="0" applyBorder="1"/>
    <xf numFmtId="0" fontId="0" fillId="0" borderId="3" xfId="0" applyBorder="1"/>
    <xf numFmtId="3" fontId="0" fillId="0" borderId="0" xfId="0" applyNumberFormat="1" applyBorder="1"/>
    <xf numFmtId="9" fontId="0" fillId="0" borderId="5" xfId="0" applyNumberFormat="1" applyBorder="1"/>
    <xf numFmtId="165" fontId="0" fillId="0" borderId="7" xfId="0" applyNumberFormat="1" applyBorder="1"/>
    <xf numFmtId="165" fontId="0" fillId="7" borderId="7" xfId="0" applyNumberFormat="1" applyFill="1" applyBorder="1"/>
    <xf numFmtId="165" fontId="0" fillId="7" borderId="8" xfId="0" applyNumberFormat="1" applyFill="1" applyBorder="1"/>
    <xf numFmtId="169" fontId="0" fillId="0" borderId="2" xfId="2" applyNumberFormat="1" applyFont="1" applyBorder="1"/>
    <xf numFmtId="0" fontId="0" fillId="0" borderId="0" xfId="0" applyFill="1" applyBorder="1"/>
    <xf numFmtId="0" fontId="2" fillId="0" borderId="1" xfId="0" applyFont="1" applyBorder="1"/>
    <xf numFmtId="0" fontId="2" fillId="0" borderId="2" xfId="0" applyFont="1" applyBorder="1"/>
    <xf numFmtId="17" fontId="2" fillId="0" borderId="2" xfId="0" applyNumberFormat="1" applyFont="1" applyBorder="1"/>
    <xf numFmtId="17" fontId="2" fillId="0" borderId="3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5" fontId="2" fillId="0" borderId="10" xfId="0" applyNumberFormat="1" applyFont="1" applyBorder="1"/>
    <xf numFmtId="165" fontId="2" fillId="7" borderId="10" xfId="0" applyNumberFormat="1" applyFont="1" applyFill="1" applyBorder="1"/>
    <xf numFmtId="165" fontId="2" fillId="7" borderId="11" xfId="0" applyNumberFormat="1" applyFont="1" applyFill="1" applyBorder="1"/>
    <xf numFmtId="17" fontId="2" fillId="0" borderId="1" xfId="0" applyNumberFormat="1" applyFont="1" applyBorder="1"/>
    <xf numFmtId="0" fontId="0" fillId="0" borderId="1" xfId="0" applyBorder="1"/>
    <xf numFmtId="165" fontId="0" fillId="0" borderId="6" xfId="0" applyNumberFormat="1" applyBorder="1"/>
    <xf numFmtId="165" fontId="2" fillId="0" borderId="9" xfId="0" applyNumberFormat="1" applyFon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9" borderId="0" xfId="0" applyFill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ish Gupta" id="{538464C3-D400-F24E-9471-756263E3BF11}" userId="8cf9e22fc819f6f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19-11-30T08:52:00.88" personId="{538464C3-D400-F24E-9471-756263E3BF11}" id="{705E0AEC-8D30-DD4D-A5D1-69354EAE76CA}">
    <text>380 Balaji + 100 SLN + 66 Shravani</text>
  </threadedComment>
  <threadedComment ref="N4" dT="2019-11-30T09:21:19.77" personId="{538464C3-D400-F24E-9471-756263E3BF11}" id="{6A51A412-F844-C345-945D-8B6E8B600A45}">
    <text>Already deployed till end of Dec 19</text>
  </threadedComment>
  <threadedComment ref="V4" dT="2019-11-30T08:52:49.39" personId="{538464C3-D400-F24E-9471-756263E3BF11}" id="{F4094167-1ACD-7E4F-9832-08860E428959}">
    <text>120 AMD + 80 Royal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4031-72E5-674A-A635-15F7A537DFED}">
  <dimension ref="A4:R23"/>
  <sheetViews>
    <sheetView zoomScale="110" zoomScaleNormal="110" workbookViewId="0">
      <selection activeCell="N22" sqref="N22"/>
    </sheetView>
  </sheetViews>
  <sheetFormatPr baseColWidth="10" defaultRowHeight="16" x14ac:dyDescent="0.2"/>
  <cols>
    <col min="1" max="1" width="35.5" customWidth="1"/>
    <col min="2" max="2" width="14.1640625" customWidth="1"/>
    <col min="3" max="3" width="12.5" customWidth="1"/>
    <col min="13" max="13" width="10" bestFit="1" customWidth="1"/>
    <col min="14" max="15" width="13.1640625" bestFit="1" customWidth="1"/>
    <col min="16" max="16" width="16.83203125" bestFit="1" customWidth="1"/>
  </cols>
  <sheetData>
    <row r="4" spans="1:17" x14ac:dyDescent="0.2">
      <c r="B4" s="1" t="s">
        <v>0</v>
      </c>
      <c r="C4" s="1" t="s">
        <v>1</v>
      </c>
      <c r="D4" s="1" t="s">
        <v>3</v>
      </c>
      <c r="E4" s="1" t="s">
        <v>4</v>
      </c>
      <c r="F4" s="1" t="s">
        <v>5</v>
      </c>
      <c r="G4" s="1" t="s">
        <v>6</v>
      </c>
    </row>
    <row r="5" spans="1:17" x14ac:dyDescent="0.2"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</row>
    <row r="6" spans="1:17" x14ac:dyDescent="0.2">
      <c r="A6" t="s">
        <v>2</v>
      </c>
      <c r="B6">
        <v>1.5</v>
      </c>
      <c r="C6">
        <v>5.6</v>
      </c>
    </row>
    <row r="10" spans="1:17" x14ac:dyDescent="0.2">
      <c r="N10" t="s">
        <v>10</v>
      </c>
      <c r="O10">
        <f>25.5*4</f>
        <v>102</v>
      </c>
      <c r="P10" t="s">
        <v>11</v>
      </c>
    </row>
    <row r="11" spans="1:17" x14ac:dyDescent="0.2">
      <c r="N11" t="s">
        <v>8</v>
      </c>
      <c r="O11">
        <v>410.4</v>
      </c>
      <c r="P11" t="s">
        <v>9</v>
      </c>
    </row>
    <row r="12" spans="1:17" x14ac:dyDescent="0.2">
      <c r="O12">
        <f>SUM(O10:O11)</f>
        <v>512.4</v>
      </c>
    </row>
    <row r="14" spans="1:17" x14ac:dyDescent="0.2">
      <c r="L14" t="s">
        <v>12</v>
      </c>
      <c r="Q14">
        <f>50*30000*12</f>
        <v>18000000</v>
      </c>
    </row>
    <row r="15" spans="1:17" x14ac:dyDescent="0.2">
      <c r="N15" t="s">
        <v>13</v>
      </c>
      <c r="O15">
        <f>300*6000*0.9*3</f>
        <v>4860000</v>
      </c>
    </row>
    <row r="17" spans="12:18" x14ac:dyDescent="0.2">
      <c r="O17">
        <f>O12+48</f>
        <v>560.4</v>
      </c>
    </row>
    <row r="20" spans="12:18" x14ac:dyDescent="0.2">
      <c r="L20" t="s">
        <v>3</v>
      </c>
      <c r="M20" t="s">
        <v>20</v>
      </c>
      <c r="N20" t="s">
        <v>16</v>
      </c>
      <c r="O20" t="s">
        <v>17</v>
      </c>
      <c r="P20" t="s">
        <v>18</v>
      </c>
      <c r="Q20" t="s">
        <v>19</v>
      </c>
    </row>
    <row r="21" spans="12:18" x14ac:dyDescent="0.2">
      <c r="L21" t="s">
        <v>14</v>
      </c>
      <c r="M21" t="s">
        <v>21</v>
      </c>
      <c r="N21" s="3">
        <f>(200*30000*6)/2</f>
        <v>18000000</v>
      </c>
      <c r="O21" s="3">
        <f>(300*30000*6)+N21</f>
        <v>72000000</v>
      </c>
      <c r="P21" s="3">
        <f>SUM(N21:O21)+Q14</f>
        <v>108000000</v>
      </c>
      <c r="Q21">
        <f>50+200+300</f>
        <v>550</v>
      </c>
    </row>
    <row r="22" spans="12:18" x14ac:dyDescent="0.2">
      <c r="L22" t="s">
        <v>15</v>
      </c>
      <c r="M22">
        <f>766+300</f>
        <v>1066</v>
      </c>
      <c r="N22" s="3">
        <f>766*6000*6*0.9</f>
        <v>24818400</v>
      </c>
      <c r="O22" s="3">
        <f>(1200*6000*6*0.9)+N22</f>
        <v>63698400</v>
      </c>
      <c r="P22" s="3">
        <f>SUM(N22:O22)</f>
        <v>88516800</v>
      </c>
      <c r="Q22">
        <f>1100+700+1200</f>
        <v>3000</v>
      </c>
      <c r="R22">
        <f>Q22*6000*12*0.9</f>
        <v>194400000</v>
      </c>
    </row>
    <row r="23" spans="12:18" x14ac:dyDescent="0.2">
      <c r="P23" s="3">
        <f>SUM(P21:P22)</f>
        <v>196516800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D2C-F71A-1D41-8261-ACB317E1FCB9}">
  <dimension ref="B1:M107"/>
  <sheetViews>
    <sheetView topLeftCell="A9" workbookViewId="0">
      <selection activeCell="E14" sqref="E14"/>
    </sheetView>
  </sheetViews>
  <sheetFormatPr baseColWidth="10" defaultRowHeight="16" x14ac:dyDescent="0.2"/>
  <cols>
    <col min="3" max="3" width="23.33203125" bestFit="1" customWidth="1"/>
    <col min="4" max="4" width="17" bestFit="1" customWidth="1"/>
    <col min="7" max="7" width="15.33203125" bestFit="1" customWidth="1"/>
    <col min="8" max="8" width="15.6640625" bestFit="1" customWidth="1"/>
    <col min="10" max="10" width="20" bestFit="1" customWidth="1"/>
    <col min="11" max="11" width="15.1640625" bestFit="1" customWidth="1"/>
    <col min="12" max="12" width="20.33203125" bestFit="1" customWidth="1"/>
    <col min="13" max="13" width="15.1640625" bestFit="1" customWidth="1"/>
  </cols>
  <sheetData>
    <row r="1" spans="2:13" x14ac:dyDescent="0.2">
      <c r="B1" t="s">
        <v>19</v>
      </c>
      <c r="D1" t="s">
        <v>83</v>
      </c>
      <c r="E1" t="s">
        <v>84</v>
      </c>
      <c r="F1" t="s">
        <v>85</v>
      </c>
      <c r="G1" t="s">
        <v>37</v>
      </c>
      <c r="J1" t="s">
        <v>53</v>
      </c>
      <c r="K1" t="s">
        <v>44</v>
      </c>
      <c r="L1" t="s">
        <v>45</v>
      </c>
    </row>
    <row r="2" spans="2:13" x14ac:dyDescent="0.2">
      <c r="B2">
        <v>50</v>
      </c>
      <c r="C2" t="s">
        <v>1</v>
      </c>
      <c r="E2">
        <v>50</v>
      </c>
      <c r="F2">
        <v>25000</v>
      </c>
      <c r="H2" s="3">
        <f>F2*E2*12</f>
        <v>15000000</v>
      </c>
      <c r="K2" s="8">
        <f>H2*0.085</f>
        <v>1275000</v>
      </c>
    </row>
    <row r="5" spans="2:13" x14ac:dyDescent="0.2">
      <c r="C5" s="4" t="s">
        <v>3</v>
      </c>
      <c r="D5" s="4"/>
    </row>
    <row r="6" spans="2:13" x14ac:dyDescent="0.2">
      <c r="C6" t="s">
        <v>22</v>
      </c>
    </row>
    <row r="7" spans="2:13" x14ac:dyDescent="0.2">
      <c r="C7" t="s">
        <v>24</v>
      </c>
      <c r="D7">
        <v>25</v>
      </c>
      <c r="E7">
        <f>E2+D7</f>
        <v>75</v>
      </c>
      <c r="F7">
        <v>30000</v>
      </c>
      <c r="H7">
        <f t="shared" ref="H7:H12" si="0">F7*E7</f>
        <v>2250000</v>
      </c>
      <c r="K7" s="8">
        <f t="shared" ref="K7:K12" si="1">H7*0.085</f>
        <v>191250</v>
      </c>
      <c r="L7" s="8"/>
    </row>
    <row r="8" spans="2:13" x14ac:dyDescent="0.2">
      <c r="C8" t="s">
        <v>25</v>
      </c>
      <c r="D8">
        <v>25</v>
      </c>
      <c r="E8">
        <f>D8+E7</f>
        <v>100</v>
      </c>
      <c r="F8">
        <v>30000</v>
      </c>
      <c r="H8">
        <f t="shared" si="0"/>
        <v>3000000</v>
      </c>
      <c r="K8" s="8">
        <f t="shared" si="1"/>
        <v>255000.00000000003</v>
      </c>
      <c r="L8" s="8"/>
    </row>
    <row r="9" spans="2:13" x14ac:dyDescent="0.2">
      <c r="C9" t="s">
        <v>26</v>
      </c>
      <c r="D9">
        <v>25</v>
      </c>
      <c r="E9">
        <f t="shared" ref="E9:E12" si="2">D9+E8</f>
        <v>125</v>
      </c>
      <c r="F9">
        <v>30000</v>
      </c>
      <c r="H9">
        <f t="shared" si="0"/>
        <v>3750000</v>
      </c>
      <c r="K9" s="8">
        <f t="shared" si="1"/>
        <v>318750</v>
      </c>
      <c r="L9" s="8"/>
    </row>
    <row r="10" spans="2:13" x14ac:dyDescent="0.2">
      <c r="C10" t="s">
        <v>27</v>
      </c>
      <c r="D10">
        <v>40</v>
      </c>
      <c r="E10">
        <f t="shared" si="2"/>
        <v>165</v>
      </c>
      <c r="F10">
        <v>30000</v>
      </c>
      <c r="H10">
        <f t="shared" si="0"/>
        <v>4950000</v>
      </c>
      <c r="K10" s="8">
        <f t="shared" si="1"/>
        <v>420750.00000000006</v>
      </c>
      <c r="L10" s="8"/>
    </row>
    <row r="11" spans="2:13" x14ac:dyDescent="0.2">
      <c r="C11" t="s">
        <v>28</v>
      </c>
      <c r="D11">
        <v>40</v>
      </c>
      <c r="E11">
        <f t="shared" si="2"/>
        <v>205</v>
      </c>
      <c r="F11">
        <v>30000</v>
      </c>
      <c r="H11">
        <f t="shared" si="0"/>
        <v>6150000</v>
      </c>
      <c r="K11" s="8">
        <f t="shared" si="1"/>
        <v>522750.00000000006</v>
      </c>
      <c r="L11" s="8"/>
    </row>
    <row r="12" spans="2:13" x14ac:dyDescent="0.2">
      <c r="C12" t="s">
        <v>29</v>
      </c>
      <c r="D12">
        <v>40</v>
      </c>
      <c r="E12">
        <f t="shared" si="2"/>
        <v>245</v>
      </c>
      <c r="F12">
        <v>30000</v>
      </c>
      <c r="H12">
        <f t="shared" si="0"/>
        <v>7350000</v>
      </c>
      <c r="K12" s="8">
        <f t="shared" si="1"/>
        <v>624750</v>
      </c>
      <c r="L12" s="8"/>
    </row>
    <row r="13" spans="2:13" x14ac:dyDescent="0.2">
      <c r="H13" s="3">
        <f>SUM(H7:H12)</f>
        <v>27450000</v>
      </c>
      <c r="K13" s="3"/>
      <c r="M13" s="7"/>
    </row>
    <row r="16" spans="2:13" x14ac:dyDescent="0.2">
      <c r="C16" t="s">
        <v>23</v>
      </c>
    </row>
    <row r="17" spans="2:12" x14ac:dyDescent="0.2">
      <c r="C17" t="s">
        <v>30</v>
      </c>
      <c r="D17">
        <v>50</v>
      </c>
      <c r="E17">
        <f>E12+D17</f>
        <v>295</v>
      </c>
      <c r="F17">
        <v>30000</v>
      </c>
      <c r="H17">
        <f>F17*E17</f>
        <v>8850000</v>
      </c>
      <c r="K17" s="8">
        <f t="shared" ref="K17:K22" si="3">H17*0.085</f>
        <v>752250</v>
      </c>
      <c r="L17" s="8"/>
    </row>
    <row r="18" spans="2:12" x14ac:dyDescent="0.2">
      <c r="C18" t="s">
        <v>31</v>
      </c>
      <c r="D18">
        <v>50</v>
      </c>
      <c r="E18">
        <f>D18+E17</f>
        <v>345</v>
      </c>
      <c r="F18">
        <v>30000</v>
      </c>
      <c r="H18">
        <f t="shared" ref="H18:H22" si="4">F18*E18</f>
        <v>10350000</v>
      </c>
      <c r="K18" s="8">
        <f t="shared" si="3"/>
        <v>879750.00000000012</v>
      </c>
      <c r="L18" s="8"/>
    </row>
    <row r="19" spans="2:12" x14ac:dyDescent="0.2">
      <c r="C19" t="s">
        <v>32</v>
      </c>
      <c r="D19">
        <v>50</v>
      </c>
      <c r="E19">
        <f t="shared" ref="E19:E21" si="5">D19+E18</f>
        <v>395</v>
      </c>
      <c r="F19">
        <v>30000</v>
      </c>
      <c r="H19">
        <f t="shared" si="4"/>
        <v>11850000</v>
      </c>
      <c r="K19" s="8">
        <f t="shared" si="3"/>
        <v>1007250.0000000001</v>
      </c>
      <c r="L19" s="8"/>
    </row>
    <row r="20" spans="2:12" x14ac:dyDescent="0.2">
      <c r="C20" t="s">
        <v>33</v>
      </c>
      <c r="D20">
        <v>60</v>
      </c>
      <c r="E20">
        <f t="shared" si="5"/>
        <v>455</v>
      </c>
      <c r="F20">
        <v>30000</v>
      </c>
      <c r="H20">
        <f t="shared" si="4"/>
        <v>13650000</v>
      </c>
      <c r="K20" s="8">
        <f t="shared" si="3"/>
        <v>1160250</v>
      </c>
      <c r="L20" s="8"/>
    </row>
    <row r="21" spans="2:12" x14ac:dyDescent="0.2">
      <c r="C21" t="s">
        <v>34</v>
      </c>
      <c r="D21">
        <v>60</v>
      </c>
      <c r="E21">
        <f t="shared" si="5"/>
        <v>515</v>
      </c>
      <c r="F21">
        <v>30000</v>
      </c>
      <c r="H21">
        <f t="shared" si="4"/>
        <v>15450000</v>
      </c>
      <c r="K21" s="8">
        <f t="shared" si="3"/>
        <v>1313250</v>
      </c>
      <c r="L21" s="8"/>
    </row>
    <row r="22" spans="2:12" x14ac:dyDescent="0.2">
      <c r="C22" t="s">
        <v>35</v>
      </c>
      <c r="D22">
        <v>60</v>
      </c>
      <c r="E22">
        <f>D22+E21</f>
        <v>575</v>
      </c>
      <c r="F22">
        <v>30000</v>
      </c>
      <c r="H22" s="3">
        <f t="shared" si="4"/>
        <v>17250000</v>
      </c>
      <c r="K22" s="8">
        <f t="shared" si="3"/>
        <v>1466250</v>
      </c>
      <c r="L22" s="8"/>
    </row>
    <row r="23" spans="2:12" x14ac:dyDescent="0.2">
      <c r="B23">
        <f>E22</f>
        <v>575</v>
      </c>
      <c r="G23">
        <f>F22*1.05</f>
        <v>31500</v>
      </c>
      <c r="H23" s="3">
        <f>SUM(H17:H22)</f>
        <v>77400000</v>
      </c>
      <c r="J23" s="3">
        <f>H13+H23</f>
        <v>104850000</v>
      </c>
      <c r="K23" s="3">
        <f>SUM(K7:K22)</f>
        <v>8912250</v>
      </c>
      <c r="L23" s="3"/>
    </row>
    <row r="26" spans="2:12" x14ac:dyDescent="0.2">
      <c r="C26" s="4" t="s">
        <v>4</v>
      </c>
      <c r="D26" s="4"/>
    </row>
    <row r="27" spans="2:12" x14ac:dyDescent="0.2">
      <c r="C27" t="s">
        <v>16</v>
      </c>
    </row>
    <row r="28" spans="2:12" x14ac:dyDescent="0.2">
      <c r="C28" t="s">
        <v>24</v>
      </c>
      <c r="E28">
        <f>E22+D28</f>
        <v>575</v>
      </c>
      <c r="F28">
        <f>G23</f>
        <v>31500</v>
      </c>
      <c r="H28">
        <f t="shared" ref="H28:H33" si="6">F28*E28</f>
        <v>18112500</v>
      </c>
      <c r="K28" s="8">
        <f t="shared" ref="K28:K33" si="7">H28*0.085</f>
        <v>1539562.5</v>
      </c>
    </row>
    <row r="29" spans="2:12" x14ac:dyDescent="0.2">
      <c r="C29" t="s">
        <v>25</v>
      </c>
      <c r="D29">
        <v>100</v>
      </c>
      <c r="E29">
        <f>D29+E28</f>
        <v>675</v>
      </c>
      <c r="F29">
        <f>F28</f>
        <v>31500</v>
      </c>
      <c r="H29">
        <f t="shared" si="6"/>
        <v>21262500</v>
      </c>
      <c r="K29" s="8">
        <f t="shared" si="7"/>
        <v>1807312.5000000002</v>
      </c>
    </row>
    <row r="30" spans="2:12" x14ac:dyDescent="0.2">
      <c r="C30" t="s">
        <v>26</v>
      </c>
      <c r="E30">
        <f t="shared" ref="E30:E33" si="8">D30+E29</f>
        <v>675</v>
      </c>
      <c r="F30">
        <f t="shared" ref="F30:F33" si="9">F29</f>
        <v>31500</v>
      </c>
      <c r="H30">
        <f t="shared" si="6"/>
        <v>21262500</v>
      </c>
      <c r="K30" s="8">
        <f t="shared" si="7"/>
        <v>1807312.5000000002</v>
      </c>
    </row>
    <row r="31" spans="2:12" x14ac:dyDescent="0.2">
      <c r="C31" t="s">
        <v>27</v>
      </c>
      <c r="E31">
        <f t="shared" si="8"/>
        <v>675</v>
      </c>
      <c r="F31">
        <f t="shared" si="9"/>
        <v>31500</v>
      </c>
      <c r="H31">
        <f t="shared" si="6"/>
        <v>21262500</v>
      </c>
      <c r="K31" s="8">
        <f t="shared" si="7"/>
        <v>1807312.5000000002</v>
      </c>
    </row>
    <row r="32" spans="2:12" x14ac:dyDescent="0.2">
      <c r="C32" t="s">
        <v>28</v>
      </c>
      <c r="D32">
        <v>225</v>
      </c>
      <c r="E32">
        <f t="shared" si="8"/>
        <v>900</v>
      </c>
      <c r="F32">
        <f t="shared" si="9"/>
        <v>31500</v>
      </c>
      <c r="H32">
        <f t="shared" si="6"/>
        <v>28350000</v>
      </c>
      <c r="K32" s="8">
        <f t="shared" si="7"/>
        <v>2409750</v>
      </c>
    </row>
    <row r="33" spans="2:11" x14ac:dyDescent="0.2">
      <c r="C33" t="s">
        <v>29</v>
      </c>
      <c r="E33">
        <f t="shared" si="8"/>
        <v>900</v>
      </c>
      <c r="F33">
        <f t="shared" si="9"/>
        <v>31500</v>
      </c>
      <c r="H33">
        <f t="shared" si="6"/>
        <v>28350000</v>
      </c>
      <c r="K33" s="8">
        <f t="shared" si="7"/>
        <v>2409750</v>
      </c>
    </row>
    <row r="34" spans="2:11" x14ac:dyDescent="0.2">
      <c r="H34" s="3">
        <f>SUM(H28:H33)</f>
        <v>138600000</v>
      </c>
    </row>
    <row r="37" spans="2:11" x14ac:dyDescent="0.2">
      <c r="C37" t="s">
        <v>17</v>
      </c>
    </row>
    <row r="38" spans="2:11" x14ac:dyDescent="0.2">
      <c r="C38" t="s">
        <v>30</v>
      </c>
      <c r="E38">
        <f>E33+D38</f>
        <v>900</v>
      </c>
      <c r="F38">
        <f>F33</f>
        <v>31500</v>
      </c>
      <c r="H38">
        <f>F38*E38</f>
        <v>28350000</v>
      </c>
      <c r="K38" s="8">
        <f t="shared" ref="K38:K43" si="10">H38*0.085</f>
        <v>2409750</v>
      </c>
    </row>
    <row r="39" spans="2:11" x14ac:dyDescent="0.2">
      <c r="C39" t="s">
        <v>31</v>
      </c>
      <c r="D39">
        <v>300</v>
      </c>
      <c r="E39">
        <f>D39+E38</f>
        <v>1200</v>
      </c>
      <c r="F39">
        <f t="shared" ref="F39:F43" si="11">F38</f>
        <v>31500</v>
      </c>
      <c r="H39">
        <f t="shared" ref="H39:H43" si="12">F39*E39</f>
        <v>37800000</v>
      </c>
      <c r="K39" s="8">
        <f t="shared" si="10"/>
        <v>3213000</v>
      </c>
    </row>
    <row r="40" spans="2:11" x14ac:dyDescent="0.2">
      <c r="C40" t="s">
        <v>32</v>
      </c>
      <c r="E40">
        <f t="shared" ref="E40:E42" si="13">D40+E39</f>
        <v>1200</v>
      </c>
      <c r="F40">
        <f t="shared" si="11"/>
        <v>31500</v>
      </c>
      <c r="H40">
        <f t="shared" si="12"/>
        <v>37800000</v>
      </c>
      <c r="K40" s="8">
        <f t="shared" si="10"/>
        <v>3213000</v>
      </c>
    </row>
    <row r="41" spans="2:11" x14ac:dyDescent="0.2">
      <c r="C41" t="s">
        <v>33</v>
      </c>
      <c r="E41">
        <f t="shared" si="13"/>
        <v>1200</v>
      </c>
      <c r="F41">
        <f t="shared" si="11"/>
        <v>31500</v>
      </c>
      <c r="H41">
        <f t="shared" si="12"/>
        <v>37800000</v>
      </c>
      <c r="K41" s="8">
        <f t="shared" si="10"/>
        <v>3213000</v>
      </c>
    </row>
    <row r="42" spans="2:11" x14ac:dyDescent="0.2">
      <c r="C42" t="s">
        <v>34</v>
      </c>
      <c r="D42">
        <v>400</v>
      </c>
      <c r="E42">
        <f t="shared" si="13"/>
        <v>1600</v>
      </c>
      <c r="F42">
        <f t="shared" si="11"/>
        <v>31500</v>
      </c>
      <c r="H42">
        <f t="shared" si="12"/>
        <v>50400000</v>
      </c>
      <c r="K42" s="8">
        <f t="shared" si="10"/>
        <v>4284000</v>
      </c>
    </row>
    <row r="43" spans="2:11" x14ac:dyDescent="0.2">
      <c r="C43" t="s">
        <v>35</v>
      </c>
      <c r="E43">
        <f>D43+E42</f>
        <v>1600</v>
      </c>
      <c r="F43">
        <f t="shared" si="11"/>
        <v>31500</v>
      </c>
      <c r="H43">
        <f t="shared" si="12"/>
        <v>50400000</v>
      </c>
      <c r="K43" s="8">
        <f t="shared" si="10"/>
        <v>4284000</v>
      </c>
    </row>
    <row r="44" spans="2:11" x14ac:dyDescent="0.2">
      <c r="B44">
        <f>E43</f>
        <v>1600</v>
      </c>
      <c r="G44">
        <f>F43*1.05</f>
        <v>33075</v>
      </c>
      <c r="H44" s="3">
        <f>SUM(H38:H43)</f>
        <v>242550000</v>
      </c>
      <c r="J44" s="3">
        <f>H34+H44</f>
        <v>381150000</v>
      </c>
      <c r="K44" s="3">
        <f>SUM(K28:K43)</f>
        <v>32397750</v>
      </c>
    </row>
    <row r="46" spans="2:11" x14ac:dyDescent="0.2">
      <c r="C46" s="4" t="s">
        <v>5</v>
      </c>
      <c r="D46" s="4"/>
    </row>
    <row r="48" spans="2:11" x14ac:dyDescent="0.2">
      <c r="C48" t="s">
        <v>16</v>
      </c>
    </row>
    <row r="49" spans="3:11" x14ac:dyDescent="0.2">
      <c r="C49" t="s">
        <v>24</v>
      </c>
      <c r="E49">
        <f>E43+D49</f>
        <v>1600</v>
      </c>
      <c r="F49">
        <f>G44</f>
        <v>33075</v>
      </c>
      <c r="H49">
        <f t="shared" ref="H49:H54" si="14">F49*E49</f>
        <v>52920000</v>
      </c>
      <c r="K49" s="8">
        <f t="shared" ref="K49:K54" si="15">H49*0.085</f>
        <v>4498200</v>
      </c>
    </row>
    <row r="50" spans="3:11" x14ac:dyDescent="0.2">
      <c r="C50" t="s">
        <v>25</v>
      </c>
      <c r="D50">
        <v>450</v>
      </c>
      <c r="E50">
        <f>D50+E49</f>
        <v>2050</v>
      </c>
      <c r="F50">
        <f>F49</f>
        <v>33075</v>
      </c>
      <c r="H50">
        <f t="shared" si="14"/>
        <v>67803750</v>
      </c>
      <c r="K50" s="8">
        <f t="shared" si="15"/>
        <v>5763318.75</v>
      </c>
    </row>
    <row r="51" spans="3:11" x14ac:dyDescent="0.2">
      <c r="C51" t="s">
        <v>26</v>
      </c>
      <c r="E51">
        <f t="shared" ref="E51:E54" si="16">D51+E50</f>
        <v>2050</v>
      </c>
      <c r="F51">
        <f t="shared" ref="F51:F54" si="17">F50</f>
        <v>33075</v>
      </c>
      <c r="H51">
        <f t="shared" si="14"/>
        <v>67803750</v>
      </c>
      <c r="K51" s="8">
        <f t="shared" si="15"/>
        <v>5763318.75</v>
      </c>
    </row>
    <row r="52" spans="3:11" x14ac:dyDescent="0.2">
      <c r="C52" t="s">
        <v>27</v>
      </c>
      <c r="E52">
        <f t="shared" si="16"/>
        <v>2050</v>
      </c>
      <c r="F52">
        <f t="shared" si="17"/>
        <v>33075</v>
      </c>
      <c r="H52">
        <f t="shared" si="14"/>
        <v>67803750</v>
      </c>
      <c r="K52" s="8">
        <f t="shared" si="15"/>
        <v>5763318.75</v>
      </c>
    </row>
    <row r="53" spans="3:11" x14ac:dyDescent="0.2">
      <c r="C53" t="s">
        <v>28</v>
      </c>
      <c r="D53">
        <v>500</v>
      </c>
      <c r="E53">
        <f t="shared" si="16"/>
        <v>2550</v>
      </c>
      <c r="F53">
        <f t="shared" si="17"/>
        <v>33075</v>
      </c>
      <c r="H53">
        <f t="shared" si="14"/>
        <v>84341250</v>
      </c>
      <c r="K53" s="8">
        <f t="shared" si="15"/>
        <v>7169006.2500000009</v>
      </c>
    </row>
    <row r="54" spans="3:11" x14ac:dyDescent="0.2">
      <c r="C54" t="s">
        <v>29</v>
      </c>
      <c r="E54">
        <f t="shared" si="16"/>
        <v>2550</v>
      </c>
      <c r="F54">
        <f t="shared" si="17"/>
        <v>33075</v>
      </c>
      <c r="H54">
        <f t="shared" si="14"/>
        <v>84341250</v>
      </c>
      <c r="K54" s="8">
        <f t="shared" si="15"/>
        <v>7169006.2500000009</v>
      </c>
    </row>
    <row r="55" spans="3:11" x14ac:dyDescent="0.2">
      <c r="H55" s="3">
        <f>SUM(H49:H54)</f>
        <v>425013750</v>
      </c>
    </row>
    <row r="58" spans="3:11" x14ac:dyDescent="0.2">
      <c r="C58" t="s">
        <v>17</v>
      </c>
    </row>
    <row r="59" spans="3:11" x14ac:dyDescent="0.2">
      <c r="C59" t="s">
        <v>30</v>
      </c>
      <c r="E59">
        <f>E54+D59</f>
        <v>2550</v>
      </c>
      <c r="F59">
        <f>F54</f>
        <v>33075</v>
      </c>
      <c r="H59">
        <f>F59*E59</f>
        <v>84341250</v>
      </c>
      <c r="K59" s="8">
        <f t="shared" ref="K59:K64" si="18">H59*0.085</f>
        <v>7169006.2500000009</v>
      </c>
    </row>
    <row r="60" spans="3:11" x14ac:dyDescent="0.2">
      <c r="C60" t="s">
        <v>31</v>
      </c>
      <c r="D60">
        <v>550</v>
      </c>
      <c r="E60">
        <f>D60+E59</f>
        <v>3100</v>
      </c>
      <c r="F60">
        <f>F59</f>
        <v>33075</v>
      </c>
      <c r="H60">
        <f t="shared" ref="H60:H64" si="19">F60*E60</f>
        <v>102532500</v>
      </c>
      <c r="K60" s="8">
        <f t="shared" si="18"/>
        <v>8715262.5</v>
      </c>
    </row>
    <row r="61" spans="3:11" x14ac:dyDescent="0.2">
      <c r="C61" t="s">
        <v>32</v>
      </c>
      <c r="E61">
        <f t="shared" ref="E61:E63" si="20">D61+E60</f>
        <v>3100</v>
      </c>
      <c r="F61">
        <f t="shared" ref="F61:F63" si="21">F60</f>
        <v>33075</v>
      </c>
      <c r="H61">
        <f t="shared" si="19"/>
        <v>102532500</v>
      </c>
      <c r="K61" s="8">
        <f t="shared" si="18"/>
        <v>8715262.5</v>
      </c>
    </row>
    <row r="62" spans="3:11" x14ac:dyDescent="0.2">
      <c r="C62" t="s">
        <v>33</v>
      </c>
      <c r="E62">
        <f t="shared" si="20"/>
        <v>3100</v>
      </c>
      <c r="F62">
        <f t="shared" si="21"/>
        <v>33075</v>
      </c>
      <c r="H62">
        <f t="shared" si="19"/>
        <v>102532500</v>
      </c>
      <c r="K62" s="8">
        <f t="shared" si="18"/>
        <v>8715262.5</v>
      </c>
    </row>
    <row r="63" spans="3:11" x14ac:dyDescent="0.2">
      <c r="C63" t="s">
        <v>34</v>
      </c>
      <c r="D63">
        <v>600</v>
      </c>
      <c r="E63">
        <f t="shared" si="20"/>
        <v>3700</v>
      </c>
      <c r="F63">
        <f t="shared" si="21"/>
        <v>33075</v>
      </c>
      <c r="H63">
        <f t="shared" si="19"/>
        <v>122377500</v>
      </c>
      <c r="K63" s="8">
        <f t="shared" si="18"/>
        <v>10402087.5</v>
      </c>
    </row>
    <row r="64" spans="3:11" x14ac:dyDescent="0.2">
      <c r="C64" t="s">
        <v>35</v>
      </c>
      <c r="E64">
        <f>D64+E63</f>
        <v>3700</v>
      </c>
      <c r="F64">
        <f t="shared" ref="F64" si="22">F59</f>
        <v>33075</v>
      </c>
      <c r="H64">
        <f t="shared" si="19"/>
        <v>122377500</v>
      </c>
      <c r="K64" s="8">
        <f t="shared" si="18"/>
        <v>10402087.5</v>
      </c>
    </row>
    <row r="65" spans="2:12" x14ac:dyDescent="0.2">
      <c r="B65">
        <f>E64</f>
        <v>3700</v>
      </c>
      <c r="G65">
        <f>F64*1.05</f>
        <v>34728.75</v>
      </c>
      <c r="H65" s="3">
        <f>SUM(H59:H64)</f>
        <v>636693750</v>
      </c>
      <c r="J65" s="3">
        <f>H55+H65</f>
        <v>1061707500</v>
      </c>
      <c r="K65" s="3">
        <f>SUM(K49:K64)</f>
        <v>90245137.5</v>
      </c>
      <c r="L65" s="2"/>
    </row>
    <row r="69" spans="2:12" x14ac:dyDescent="0.2">
      <c r="C69" s="4" t="s">
        <v>6</v>
      </c>
      <c r="D69" s="4"/>
    </row>
    <row r="70" spans="2:12" x14ac:dyDescent="0.2">
      <c r="C70" t="s">
        <v>16</v>
      </c>
    </row>
    <row r="71" spans="2:12" x14ac:dyDescent="0.2">
      <c r="C71" t="s">
        <v>24</v>
      </c>
      <c r="E71">
        <f>E64+D71</f>
        <v>3700</v>
      </c>
      <c r="F71">
        <f>G65</f>
        <v>34728.75</v>
      </c>
      <c r="H71">
        <f t="shared" ref="H71:H76" si="23">F71*E71</f>
        <v>128496375</v>
      </c>
      <c r="K71" s="8">
        <f t="shared" ref="K71:K76" si="24">H71*0.085</f>
        <v>10922191.875</v>
      </c>
    </row>
    <row r="72" spans="2:12" x14ac:dyDescent="0.2">
      <c r="C72" t="s">
        <v>25</v>
      </c>
      <c r="D72">
        <v>800</v>
      </c>
      <c r="E72">
        <f>D72+E71</f>
        <v>4500</v>
      </c>
      <c r="F72">
        <f>F71</f>
        <v>34728.75</v>
      </c>
      <c r="H72">
        <f t="shared" si="23"/>
        <v>156279375</v>
      </c>
      <c r="K72" s="8">
        <f t="shared" si="24"/>
        <v>13283746.875000002</v>
      </c>
    </row>
    <row r="73" spans="2:12" x14ac:dyDescent="0.2">
      <c r="C73" t="s">
        <v>26</v>
      </c>
      <c r="E73">
        <f t="shared" ref="E73:E76" si="25">D73+E72</f>
        <v>4500</v>
      </c>
      <c r="F73">
        <f t="shared" ref="F73:F76" si="26">F72</f>
        <v>34728.75</v>
      </c>
      <c r="H73">
        <f t="shared" si="23"/>
        <v>156279375</v>
      </c>
      <c r="K73" s="8">
        <f t="shared" si="24"/>
        <v>13283746.875000002</v>
      </c>
    </row>
    <row r="74" spans="2:12" x14ac:dyDescent="0.2">
      <c r="C74" t="s">
        <v>27</v>
      </c>
      <c r="E74">
        <f t="shared" si="25"/>
        <v>4500</v>
      </c>
      <c r="F74">
        <f t="shared" si="26"/>
        <v>34728.75</v>
      </c>
      <c r="H74">
        <f t="shared" si="23"/>
        <v>156279375</v>
      </c>
      <c r="K74" s="8">
        <f t="shared" si="24"/>
        <v>13283746.875000002</v>
      </c>
    </row>
    <row r="75" spans="2:12" x14ac:dyDescent="0.2">
      <c r="C75" t="s">
        <v>28</v>
      </c>
      <c r="D75">
        <v>1000</v>
      </c>
      <c r="E75">
        <f t="shared" si="25"/>
        <v>5500</v>
      </c>
      <c r="F75">
        <f t="shared" si="26"/>
        <v>34728.75</v>
      </c>
      <c r="H75">
        <f t="shared" si="23"/>
        <v>191008125</v>
      </c>
      <c r="K75" s="8">
        <f t="shared" si="24"/>
        <v>16235690.625000002</v>
      </c>
    </row>
    <row r="76" spans="2:12" x14ac:dyDescent="0.2">
      <c r="C76" t="s">
        <v>29</v>
      </c>
      <c r="E76">
        <f t="shared" si="25"/>
        <v>5500</v>
      </c>
      <c r="F76">
        <f t="shared" si="26"/>
        <v>34728.75</v>
      </c>
      <c r="H76">
        <f t="shared" si="23"/>
        <v>191008125</v>
      </c>
      <c r="K76" s="8">
        <f t="shared" si="24"/>
        <v>16235690.625000002</v>
      </c>
    </row>
    <row r="77" spans="2:12" x14ac:dyDescent="0.2">
      <c r="H77" s="3">
        <f>SUM(H71:H76)</f>
        <v>979350750</v>
      </c>
    </row>
    <row r="80" spans="2:12" x14ac:dyDescent="0.2">
      <c r="C80" t="s">
        <v>17</v>
      </c>
    </row>
    <row r="81" spans="2:12" x14ac:dyDescent="0.2">
      <c r="C81" t="s">
        <v>30</v>
      </c>
      <c r="E81">
        <f>E76+D81</f>
        <v>5500</v>
      </c>
      <c r="F81">
        <f>F76</f>
        <v>34728.75</v>
      </c>
      <c r="H81">
        <f>F81*E81</f>
        <v>191008125</v>
      </c>
      <c r="K81" s="8">
        <f t="shared" ref="K81:K86" si="27">H81*0.085</f>
        <v>16235690.625000002</v>
      </c>
    </row>
    <row r="82" spans="2:12" x14ac:dyDescent="0.2">
      <c r="C82" t="s">
        <v>31</v>
      </c>
      <c r="D82">
        <v>1200</v>
      </c>
      <c r="E82">
        <f>D82+E81</f>
        <v>6700</v>
      </c>
      <c r="F82">
        <f>F81</f>
        <v>34728.75</v>
      </c>
      <c r="H82">
        <f t="shared" ref="H82:H86" si="28">F82*E82</f>
        <v>232682625</v>
      </c>
      <c r="K82" s="8">
        <f t="shared" si="27"/>
        <v>19778023.125</v>
      </c>
    </row>
    <row r="83" spans="2:12" x14ac:dyDescent="0.2">
      <c r="C83" t="s">
        <v>32</v>
      </c>
      <c r="E83">
        <f t="shared" ref="E83:E85" si="29">D83+E82</f>
        <v>6700</v>
      </c>
      <c r="F83">
        <f t="shared" ref="F83:F86" si="30">F82</f>
        <v>34728.75</v>
      </c>
      <c r="H83">
        <f t="shared" si="28"/>
        <v>232682625</v>
      </c>
      <c r="K83" s="8">
        <f t="shared" si="27"/>
        <v>19778023.125</v>
      </c>
    </row>
    <row r="84" spans="2:12" x14ac:dyDescent="0.2">
      <c r="C84" t="s">
        <v>33</v>
      </c>
      <c r="E84">
        <f t="shared" si="29"/>
        <v>6700</v>
      </c>
      <c r="F84">
        <f t="shared" si="30"/>
        <v>34728.75</v>
      </c>
      <c r="H84">
        <f t="shared" si="28"/>
        <v>232682625</v>
      </c>
      <c r="K84" s="8">
        <f t="shared" si="27"/>
        <v>19778023.125</v>
      </c>
    </row>
    <row r="85" spans="2:12" x14ac:dyDescent="0.2">
      <c r="C85" t="s">
        <v>34</v>
      </c>
      <c r="D85">
        <v>1300</v>
      </c>
      <c r="E85">
        <f t="shared" si="29"/>
        <v>8000</v>
      </c>
      <c r="F85">
        <f t="shared" si="30"/>
        <v>34728.75</v>
      </c>
      <c r="H85">
        <f t="shared" si="28"/>
        <v>277830000</v>
      </c>
      <c r="K85" s="8">
        <f t="shared" si="27"/>
        <v>23615550</v>
      </c>
    </row>
    <row r="86" spans="2:12" x14ac:dyDescent="0.2">
      <c r="C86" t="s">
        <v>35</v>
      </c>
      <c r="E86">
        <f>D86+E85</f>
        <v>8000</v>
      </c>
      <c r="F86">
        <f t="shared" si="30"/>
        <v>34728.75</v>
      </c>
      <c r="H86">
        <f t="shared" si="28"/>
        <v>277830000</v>
      </c>
      <c r="K86" s="8">
        <f t="shared" si="27"/>
        <v>23615550</v>
      </c>
    </row>
    <row r="87" spans="2:12" x14ac:dyDescent="0.2">
      <c r="B87">
        <f>E86</f>
        <v>8000</v>
      </c>
      <c r="G87">
        <f>F86*1.05</f>
        <v>36465.1875</v>
      </c>
      <c r="H87" s="3">
        <f>SUM(H81:H86)</f>
        <v>1444716000</v>
      </c>
      <c r="J87" s="3">
        <f>H77+H87</f>
        <v>2424066750</v>
      </c>
      <c r="K87" s="3">
        <f>SUM(K71:K86)</f>
        <v>206045673.75</v>
      </c>
      <c r="L87" s="3"/>
    </row>
    <row r="88" spans="2:12" x14ac:dyDescent="0.2">
      <c r="L88" s="3"/>
    </row>
    <row r="89" spans="2:12" x14ac:dyDescent="0.2">
      <c r="C89" t="s">
        <v>36</v>
      </c>
    </row>
    <row r="90" spans="2:12" x14ac:dyDescent="0.2">
      <c r="C90" t="s">
        <v>16</v>
      </c>
    </row>
    <row r="91" spans="2:12" x14ac:dyDescent="0.2">
      <c r="C91" t="s">
        <v>24</v>
      </c>
      <c r="E91">
        <f>E86+D91</f>
        <v>8000</v>
      </c>
      <c r="F91">
        <f>G87</f>
        <v>36465.1875</v>
      </c>
      <c r="H91">
        <f t="shared" ref="H91:H96" si="31">F91*E91</f>
        <v>291721500</v>
      </c>
      <c r="K91" s="8">
        <f t="shared" ref="K91:K96" si="32">H91*0.085</f>
        <v>24796327.5</v>
      </c>
    </row>
    <row r="92" spans="2:12" x14ac:dyDescent="0.2">
      <c r="C92" t="s">
        <v>25</v>
      </c>
      <c r="D92">
        <v>1000</v>
      </c>
      <c r="E92">
        <f>D92+E91</f>
        <v>9000</v>
      </c>
      <c r="F92">
        <f>F91</f>
        <v>36465.1875</v>
      </c>
      <c r="H92">
        <f t="shared" si="31"/>
        <v>328186687.5</v>
      </c>
      <c r="K92" s="8">
        <f t="shared" si="32"/>
        <v>27895868.437500004</v>
      </c>
    </row>
    <row r="93" spans="2:12" x14ac:dyDescent="0.2">
      <c r="C93" t="s">
        <v>26</v>
      </c>
      <c r="E93">
        <f t="shared" ref="E93:E96" si="33">D93+E92</f>
        <v>9000</v>
      </c>
      <c r="F93">
        <f t="shared" ref="F93:F96" si="34">F92</f>
        <v>36465.1875</v>
      </c>
      <c r="H93">
        <f t="shared" si="31"/>
        <v>328186687.5</v>
      </c>
      <c r="K93" s="8">
        <f t="shared" si="32"/>
        <v>27895868.437500004</v>
      </c>
    </row>
    <row r="94" spans="2:12" x14ac:dyDescent="0.2">
      <c r="C94" t="s">
        <v>27</v>
      </c>
      <c r="E94">
        <f t="shared" si="33"/>
        <v>9000</v>
      </c>
      <c r="F94">
        <f t="shared" si="34"/>
        <v>36465.1875</v>
      </c>
      <c r="H94">
        <f t="shared" si="31"/>
        <v>328186687.5</v>
      </c>
      <c r="K94" s="8">
        <f t="shared" si="32"/>
        <v>27895868.437500004</v>
      </c>
    </row>
    <row r="95" spans="2:12" x14ac:dyDescent="0.2">
      <c r="C95" t="s">
        <v>28</v>
      </c>
      <c r="D95">
        <v>1000</v>
      </c>
      <c r="E95">
        <f t="shared" si="33"/>
        <v>10000</v>
      </c>
      <c r="F95">
        <f t="shared" si="34"/>
        <v>36465.1875</v>
      </c>
      <c r="H95">
        <f t="shared" si="31"/>
        <v>364651875</v>
      </c>
      <c r="K95" s="8">
        <f t="shared" si="32"/>
        <v>30995409.375000004</v>
      </c>
    </row>
    <row r="96" spans="2:12" x14ac:dyDescent="0.2">
      <c r="C96" t="s">
        <v>29</v>
      </c>
      <c r="E96">
        <f t="shared" si="33"/>
        <v>10000</v>
      </c>
      <c r="F96">
        <f t="shared" si="34"/>
        <v>36465.1875</v>
      </c>
      <c r="H96">
        <f t="shared" si="31"/>
        <v>364651875</v>
      </c>
      <c r="K96" s="8">
        <f t="shared" si="32"/>
        <v>30995409.375000004</v>
      </c>
    </row>
    <row r="97" spans="2:12" x14ac:dyDescent="0.2">
      <c r="H97" s="3">
        <f>SUM(H91:H96)</f>
        <v>2005585312.5</v>
      </c>
    </row>
    <row r="100" spans="2:12" x14ac:dyDescent="0.2">
      <c r="C100" t="s">
        <v>17</v>
      </c>
    </row>
    <row r="101" spans="2:12" x14ac:dyDescent="0.2">
      <c r="C101" t="s">
        <v>30</v>
      </c>
      <c r="E101">
        <f>E96+D101</f>
        <v>10000</v>
      </c>
      <c r="F101">
        <f>F96</f>
        <v>36465.1875</v>
      </c>
      <c r="H101">
        <f>F101*E101</f>
        <v>364651875</v>
      </c>
      <c r="K101" s="8">
        <f t="shared" ref="K101:K106" si="35">H101*0.085</f>
        <v>30995409.375000004</v>
      </c>
    </row>
    <row r="102" spans="2:12" x14ac:dyDescent="0.2">
      <c r="C102" t="s">
        <v>31</v>
      </c>
      <c r="D102">
        <v>1000</v>
      </c>
      <c r="E102">
        <f>D102+E101</f>
        <v>11000</v>
      </c>
      <c r="F102">
        <f>F101</f>
        <v>36465.1875</v>
      </c>
      <c r="H102">
        <f t="shared" ref="H102:H106" si="36">F102*E102</f>
        <v>401117062.5</v>
      </c>
      <c r="K102" s="8">
        <f t="shared" si="35"/>
        <v>34094950.3125</v>
      </c>
    </row>
    <row r="103" spans="2:12" x14ac:dyDescent="0.2">
      <c r="C103" t="s">
        <v>32</v>
      </c>
      <c r="E103">
        <f t="shared" ref="E103:E105" si="37">D103+E102</f>
        <v>11000</v>
      </c>
      <c r="F103">
        <f t="shared" ref="F103:F106" si="38">F102</f>
        <v>36465.1875</v>
      </c>
      <c r="H103">
        <f t="shared" si="36"/>
        <v>401117062.5</v>
      </c>
      <c r="K103" s="8">
        <f t="shared" si="35"/>
        <v>34094950.3125</v>
      </c>
    </row>
    <row r="104" spans="2:12" x14ac:dyDescent="0.2">
      <c r="C104" t="s">
        <v>33</v>
      </c>
      <c r="E104">
        <f t="shared" si="37"/>
        <v>11000</v>
      </c>
      <c r="F104">
        <f t="shared" si="38"/>
        <v>36465.1875</v>
      </c>
      <c r="H104">
        <f t="shared" si="36"/>
        <v>401117062.5</v>
      </c>
      <c r="K104" s="8">
        <f t="shared" si="35"/>
        <v>34094950.3125</v>
      </c>
    </row>
    <row r="105" spans="2:12" x14ac:dyDescent="0.2">
      <c r="C105" t="s">
        <v>34</v>
      </c>
      <c r="D105">
        <v>1000</v>
      </c>
      <c r="E105">
        <f t="shared" si="37"/>
        <v>12000</v>
      </c>
      <c r="F105">
        <f t="shared" si="38"/>
        <v>36465.1875</v>
      </c>
      <c r="H105">
        <f t="shared" si="36"/>
        <v>437582250</v>
      </c>
      <c r="K105" s="8">
        <f t="shared" si="35"/>
        <v>37194491.25</v>
      </c>
    </row>
    <row r="106" spans="2:12" x14ac:dyDescent="0.2">
      <c r="C106" t="s">
        <v>35</v>
      </c>
      <c r="E106">
        <f>D106+E105</f>
        <v>12000</v>
      </c>
      <c r="F106">
        <f t="shared" si="38"/>
        <v>36465.1875</v>
      </c>
      <c r="H106">
        <f t="shared" si="36"/>
        <v>437582250</v>
      </c>
      <c r="K106" s="8">
        <f t="shared" si="35"/>
        <v>37194491.25</v>
      </c>
    </row>
    <row r="107" spans="2:12" x14ac:dyDescent="0.2">
      <c r="B107">
        <f>E106</f>
        <v>12000</v>
      </c>
      <c r="H107" s="3">
        <f>SUM(H101:H106)</f>
        <v>2443167562.5</v>
      </c>
      <c r="J107" s="3">
        <f>H97+H107</f>
        <v>4448752875</v>
      </c>
      <c r="K107" s="3">
        <f>SUM(K91:K106)</f>
        <v>378143994.375</v>
      </c>
      <c r="L107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4DF3-DB8F-184A-9D7E-22AEB4C7B10D}">
  <dimension ref="A1:AX116"/>
  <sheetViews>
    <sheetView zoomScale="94" zoomScaleNormal="70" workbookViewId="0">
      <selection activeCell="D12" sqref="D12:D16"/>
    </sheetView>
  </sheetViews>
  <sheetFormatPr baseColWidth="10" defaultRowHeight="16" x14ac:dyDescent="0.2"/>
  <cols>
    <col min="1" max="1" width="6.5" bestFit="1" customWidth="1"/>
    <col min="2" max="2" width="9.83203125" bestFit="1" customWidth="1"/>
    <col min="3" max="3" width="23.33203125" bestFit="1" customWidth="1"/>
    <col min="4" max="4" width="9.83203125" bestFit="1" customWidth="1"/>
    <col min="5" max="5" width="9.1640625" bestFit="1" customWidth="1"/>
    <col min="6" max="6" width="13.6640625" bestFit="1" customWidth="1"/>
    <col min="7" max="7" width="10.1640625" bestFit="1" customWidth="1"/>
    <col min="8" max="8" width="15.33203125" bestFit="1" customWidth="1"/>
    <col min="9" max="9" width="15.83203125" bestFit="1" customWidth="1"/>
    <col min="11" max="11" width="14.1640625" bestFit="1" customWidth="1"/>
    <col min="12" max="12" width="22" bestFit="1" customWidth="1"/>
    <col min="13" max="13" width="18.1640625" bestFit="1" customWidth="1"/>
    <col min="14" max="14" width="14.1640625" bestFit="1" customWidth="1"/>
    <col min="15" max="15" width="14.6640625" bestFit="1" customWidth="1"/>
    <col min="16" max="16" width="6.33203125" bestFit="1" customWidth="1"/>
    <col min="17" max="17" width="14.1640625" customWidth="1"/>
    <col min="18" max="18" width="6.5" bestFit="1" customWidth="1"/>
    <col min="19" max="19" width="9.83203125" bestFit="1" customWidth="1"/>
    <col min="20" max="20" width="23.33203125" bestFit="1" customWidth="1"/>
    <col min="21" max="21" width="9.83203125" bestFit="1" customWidth="1"/>
    <col min="22" max="22" width="9.1640625" bestFit="1" customWidth="1"/>
    <col min="23" max="23" width="9.5" bestFit="1" customWidth="1"/>
    <col min="24" max="24" width="4.83203125" bestFit="1" customWidth="1"/>
    <col min="25" max="25" width="15.33203125" bestFit="1" customWidth="1"/>
    <col min="26" max="26" width="15.83203125" bestFit="1" customWidth="1"/>
    <col min="27" max="27" width="20" bestFit="1" customWidth="1"/>
    <col min="28" max="28" width="14.1640625" bestFit="1" customWidth="1"/>
    <col min="29" max="29" width="22" bestFit="1" customWidth="1"/>
    <col min="30" max="30" width="18.1640625" bestFit="1" customWidth="1"/>
    <col min="31" max="31" width="15.6640625" bestFit="1" customWidth="1"/>
    <col min="32" max="32" width="14.6640625" bestFit="1" customWidth="1"/>
    <col min="33" max="33" width="11.6640625" bestFit="1" customWidth="1"/>
    <col min="39" max="39" width="23.33203125" bestFit="1" customWidth="1"/>
    <col min="40" max="41" width="9.83203125" bestFit="1" customWidth="1"/>
    <col min="42" max="42" width="4.83203125" bestFit="1" customWidth="1"/>
    <col min="44" max="44" width="13.1640625" bestFit="1" customWidth="1"/>
    <col min="46" max="46" width="13.1640625" bestFit="1" customWidth="1"/>
    <col min="47" max="47" width="4.5" bestFit="1" customWidth="1"/>
    <col min="48" max="48" width="13.1640625" bestFit="1" customWidth="1"/>
    <col min="49" max="49" width="11.6640625" bestFit="1" customWidth="1"/>
    <col min="50" max="50" width="4.83203125" bestFit="1" customWidth="1"/>
  </cols>
  <sheetData>
    <row r="1" spans="1:50" ht="17" thickBot="1" x14ac:dyDescent="0.25">
      <c r="O1" s="5">
        <v>0.05</v>
      </c>
    </row>
    <row r="2" spans="1:50" x14ac:dyDescent="0.2">
      <c r="A2" s="54" t="s">
        <v>39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R2" s="54" t="s">
        <v>40</v>
      </c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6"/>
    </row>
    <row r="3" spans="1:50" x14ac:dyDescent="0.2">
      <c r="A3" s="12"/>
      <c r="B3" s="13" t="s">
        <v>38</v>
      </c>
      <c r="C3" s="13" t="s">
        <v>1</v>
      </c>
      <c r="D3" s="13" t="s">
        <v>55</v>
      </c>
      <c r="E3" s="13" t="s">
        <v>51</v>
      </c>
      <c r="F3" s="13" t="s">
        <v>56</v>
      </c>
      <c r="G3" s="13" t="s">
        <v>57</v>
      </c>
      <c r="H3" s="13" t="s">
        <v>37</v>
      </c>
      <c r="I3" s="13" t="s">
        <v>54</v>
      </c>
      <c r="J3" s="13"/>
      <c r="K3" s="13" t="s">
        <v>52</v>
      </c>
      <c r="L3" s="13" t="s">
        <v>53</v>
      </c>
      <c r="M3" s="13" t="s">
        <v>50</v>
      </c>
      <c r="N3" s="13" t="s">
        <v>41</v>
      </c>
      <c r="O3" s="13" t="s">
        <v>42</v>
      </c>
      <c r="P3" s="14" t="s">
        <v>43</v>
      </c>
      <c r="R3" s="12"/>
      <c r="S3" s="13" t="s">
        <v>38</v>
      </c>
      <c r="T3" s="13" t="s">
        <v>1</v>
      </c>
      <c r="U3" s="13" t="s">
        <v>55</v>
      </c>
      <c r="V3" s="13" t="s">
        <v>51</v>
      </c>
      <c r="W3" s="13"/>
      <c r="X3" s="13"/>
      <c r="Y3" s="13" t="s">
        <v>37</v>
      </c>
      <c r="Z3" s="13" t="s">
        <v>54</v>
      </c>
      <c r="AA3" s="13"/>
      <c r="AB3" s="13" t="s">
        <v>52</v>
      </c>
      <c r="AC3" s="13" t="s">
        <v>53</v>
      </c>
      <c r="AD3" s="13" t="s">
        <v>50</v>
      </c>
      <c r="AE3" s="13" t="s">
        <v>41</v>
      </c>
      <c r="AF3" s="13" t="s">
        <v>42</v>
      </c>
      <c r="AG3" s="14" t="s">
        <v>43</v>
      </c>
    </row>
    <row r="4" spans="1:50" x14ac:dyDescent="0.2">
      <c r="A4" s="12"/>
      <c r="B4" s="13"/>
      <c r="C4" s="13" t="s">
        <v>49</v>
      </c>
      <c r="D4" s="13">
        <v>0</v>
      </c>
      <c r="E4" s="13">
        <f>380+100+66</f>
        <v>546</v>
      </c>
      <c r="F4" s="13">
        <v>6000</v>
      </c>
      <c r="G4" s="15">
        <v>0.9</v>
      </c>
      <c r="H4" s="13"/>
      <c r="I4" s="16">
        <f>D4*F4*G4</f>
        <v>0</v>
      </c>
      <c r="J4" s="13"/>
      <c r="K4" s="16">
        <f>546*6000*90%*9</f>
        <v>26535600</v>
      </c>
      <c r="L4" s="16"/>
      <c r="M4" s="16"/>
      <c r="N4" s="16">
        <v>4000000</v>
      </c>
      <c r="O4" s="16">
        <f>75000+150000</f>
        <v>225000</v>
      </c>
      <c r="P4" s="14"/>
      <c r="R4" s="12"/>
      <c r="S4" s="13"/>
      <c r="T4" s="13" t="s">
        <v>49</v>
      </c>
      <c r="U4" s="13">
        <v>0</v>
      </c>
      <c r="V4" s="13">
        <f>120+80</f>
        <v>200</v>
      </c>
      <c r="W4" s="13">
        <v>9500</v>
      </c>
      <c r="X4" s="15">
        <v>0.85</v>
      </c>
      <c r="Y4" s="13"/>
      <c r="Z4" s="16">
        <f>AB4</f>
        <v>10728000</v>
      </c>
      <c r="AA4" s="13"/>
      <c r="AB4" s="16">
        <f>(80*6000*90%*4)+(1000000*9)</f>
        <v>10728000</v>
      </c>
      <c r="AC4" s="16"/>
      <c r="AD4" s="16"/>
      <c r="AE4" s="16">
        <f>(1000000+1000000)</f>
        <v>2000000</v>
      </c>
      <c r="AF4" s="16">
        <v>400000</v>
      </c>
      <c r="AG4" s="14"/>
    </row>
    <row r="5" spans="1:50" x14ac:dyDescent="0.2">
      <c r="A5" s="12"/>
      <c r="B5" s="13"/>
      <c r="C5" s="17">
        <v>43831</v>
      </c>
      <c r="D5" s="13">
        <v>100</v>
      </c>
      <c r="E5" s="13">
        <f>D5+E4</f>
        <v>646</v>
      </c>
      <c r="F5" s="13">
        <v>6000</v>
      </c>
      <c r="G5" s="15">
        <v>0.9</v>
      </c>
      <c r="H5" s="13"/>
      <c r="I5" s="16">
        <f>E5*F5*G5</f>
        <v>3488400</v>
      </c>
      <c r="J5" s="13"/>
      <c r="K5" s="16">
        <f>E5*F5*G5</f>
        <v>3488400</v>
      </c>
      <c r="L5" s="16"/>
      <c r="M5" s="16">
        <v>100</v>
      </c>
      <c r="N5" s="16">
        <f>M5*F5*2</f>
        <v>1200000</v>
      </c>
      <c r="O5" s="16">
        <f>K5*$O$1</f>
        <v>174420</v>
      </c>
      <c r="P5" s="18"/>
      <c r="Q5" s="6"/>
      <c r="R5" s="12"/>
      <c r="S5" s="13"/>
      <c r="T5" s="17">
        <v>43831</v>
      </c>
      <c r="U5" s="13">
        <v>0</v>
      </c>
      <c r="V5" s="13">
        <f>U5+V4</f>
        <v>200</v>
      </c>
      <c r="W5" s="13">
        <v>9500</v>
      </c>
      <c r="X5" s="15">
        <v>0.85</v>
      </c>
      <c r="Y5" s="13"/>
      <c r="Z5" s="16">
        <f>AB5</f>
        <v>1615000</v>
      </c>
      <c r="AA5" s="13"/>
      <c r="AB5" s="16">
        <f>V5*W5*X5</f>
        <v>1615000</v>
      </c>
      <c r="AC5" s="16"/>
      <c r="AD5" s="16"/>
      <c r="AE5" s="16">
        <f>AD5*W5*2</f>
        <v>0</v>
      </c>
      <c r="AF5" s="16">
        <f>AB5*0.05</f>
        <v>80750</v>
      </c>
      <c r="AG5" s="18"/>
      <c r="AH5" s="6"/>
    </row>
    <row r="6" spans="1:50" x14ac:dyDescent="0.2">
      <c r="A6" s="12"/>
      <c r="B6" s="13"/>
      <c r="C6" s="17">
        <v>43862</v>
      </c>
      <c r="D6" s="13">
        <v>200</v>
      </c>
      <c r="E6" s="13">
        <f>D6+E5</f>
        <v>846</v>
      </c>
      <c r="F6" s="13">
        <v>6000</v>
      </c>
      <c r="G6" s="15">
        <v>0.9</v>
      </c>
      <c r="H6" s="13"/>
      <c r="I6" s="16">
        <f>E6*F6*G6</f>
        <v>4568400</v>
      </c>
      <c r="J6" s="13"/>
      <c r="K6" s="16">
        <f t="shared" ref="K6:K7" si="0">E6*F6*G6</f>
        <v>4568400</v>
      </c>
      <c r="L6" s="16"/>
      <c r="M6" s="16">
        <v>200</v>
      </c>
      <c r="N6" s="16">
        <f t="shared" ref="N6:N7" si="1">M6*F6*2</f>
        <v>2400000</v>
      </c>
      <c r="O6" s="16">
        <f>K6*$O$1</f>
        <v>228420</v>
      </c>
      <c r="P6" s="18"/>
      <c r="R6" s="12"/>
      <c r="S6" s="13"/>
      <c r="T6" s="17">
        <v>43862</v>
      </c>
      <c r="U6" s="13">
        <v>0</v>
      </c>
      <c r="V6" s="13">
        <f>U6+V5</f>
        <v>200</v>
      </c>
      <c r="W6" s="13">
        <v>9500</v>
      </c>
      <c r="X6" s="15">
        <v>0.85</v>
      </c>
      <c r="Y6" s="13"/>
      <c r="Z6" s="16">
        <f>AB6</f>
        <v>1615000</v>
      </c>
      <c r="AA6" s="13"/>
      <c r="AB6" s="16">
        <f t="shared" ref="AB6:AB7" si="2">V6*W6*X6</f>
        <v>1615000</v>
      </c>
      <c r="AC6" s="16"/>
      <c r="AD6" s="16"/>
      <c r="AE6" s="16">
        <f t="shared" ref="AE6:AE7" si="3">AD6*W6*2</f>
        <v>0</v>
      </c>
      <c r="AF6" s="16">
        <f>AB6*0.05</f>
        <v>80750</v>
      </c>
      <c r="AG6" s="18"/>
    </row>
    <row r="7" spans="1:50" x14ac:dyDescent="0.2">
      <c r="A7" s="12"/>
      <c r="B7" s="13"/>
      <c r="C7" s="17">
        <v>43891</v>
      </c>
      <c r="D7" s="13">
        <v>0</v>
      </c>
      <c r="E7" s="13">
        <f>D7+E6</f>
        <v>846</v>
      </c>
      <c r="F7" s="13">
        <v>6000</v>
      </c>
      <c r="G7" s="15">
        <v>0.9</v>
      </c>
      <c r="H7" s="13"/>
      <c r="I7" s="16">
        <f>E7*F7*G7</f>
        <v>4568400</v>
      </c>
      <c r="J7" s="13"/>
      <c r="K7" s="16">
        <f t="shared" si="0"/>
        <v>4568400</v>
      </c>
      <c r="L7" s="16"/>
      <c r="M7" s="16">
        <v>0</v>
      </c>
      <c r="N7" s="16">
        <f t="shared" si="1"/>
        <v>0</v>
      </c>
      <c r="O7" s="16">
        <f>K7*$O$1</f>
        <v>228420</v>
      </c>
      <c r="P7" s="14"/>
      <c r="R7" s="12"/>
      <c r="S7" s="13"/>
      <c r="T7" s="17">
        <v>43891</v>
      </c>
      <c r="U7" s="13">
        <v>0</v>
      </c>
      <c r="V7" s="13">
        <f>U7+V6</f>
        <v>200</v>
      </c>
      <c r="W7" s="13">
        <v>9500</v>
      </c>
      <c r="X7" s="15">
        <v>0.85</v>
      </c>
      <c r="Y7" s="13"/>
      <c r="Z7" s="16">
        <f>AB7</f>
        <v>1615000</v>
      </c>
      <c r="AA7" s="13"/>
      <c r="AB7" s="16">
        <f t="shared" si="2"/>
        <v>1615000</v>
      </c>
      <c r="AC7" s="16"/>
      <c r="AD7" s="16"/>
      <c r="AE7" s="16">
        <f t="shared" si="3"/>
        <v>0</v>
      </c>
      <c r="AF7" s="13"/>
      <c r="AG7" s="14"/>
    </row>
    <row r="8" spans="1:50" x14ac:dyDescent="0.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9">
        <f>SUM(K4:K7)</f>
        <v>39160800</v>
      </c>
      <c r="M8" s="13"/>
      <c r="N8" s="19">
        <f>SUM(N4:N7)</f>
        <v>7600000</v>
      </c>
      <c r="O8" s="19">
        <f>SUM(O4:O7)</f>
        <v>856260</v>
      </c>
      <c r="P8" s="14"/>
      <c r="R8" s="12"/>
      <c r="S8" s="13"/>
      <c r="T8" s="13"/>
      <c r="U8" s="13"/>
      <c r="V8" s="13"/>
      <c r="W8" s="13"/>
      <c r="X8" s="13"/>
      <c r="Y8" s="13"/>
      <c r="Z8" s="13"/>
      <c r="AA8" s="13"/>
      <c r="AB8" s="13"/>
      <c r="AC8" s="19">
        <f>SUM(AB4:AB7)</f>
        <v>15573000</v>
      </c>
      <c r="AD8" s="13"/>
      <c r="AE8" s="19">
        <f>SUM(AE4:AE7)</f>
        <v>2000000</v>
      </c>
      <c r="AF8" s="19">
        <f>SUM(AF4:AF7)</f>
        <v>561500</v>
      </c>
      <c r="AG8" s="22">
        <f>AF8/AE8</f>
        <v>0.28075</v>
      </c>
      <c r="AM8" s="4" t="s">
        <v>3</v>
      </c>
      <c r="AN8" s="4"/>
    </row>
    <row r="9" spans="1:50" ht="34" x14ac:dyDescent="0.2">
      <c r="A9" s="12">
        <v>846</v>
      </c>
      <c r="B9" s="13"/>
      <c r="C9" s="20" t="s">
        <v>3</v>
      </c>
      <c r="D9" s="20"/>
      <c r="E9" s="20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R9" s="23">
        <f>V7</f>
        <v>200</v>
      </c>
      <c r="S9" s="13"/>
      <c r="T9" s="20" t="s">
        <v>3</v>
      </c>
      <c r="U9" s="20"/>
      <c r="V9" s="20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4"/>
      <c r="AM9" t="s">
        <v>22</v>
      </c>
      <c r="AN9" t="s">
        <v>38</v>
      </c>
      <c r="AO9" s="9" t="s">
        <v>46</v>
      </c>
    </row>
    <row r="10" spans="1:50" ht="51" x14ac:dyDescent="0.2">
      <c r="A10" s="12"/>
      <c r="B10" s="13"/>
      <c r="C10" s="13" t="s">
        <v>22</v>
      </c>
      <c r="D10" s="13" t="s">
        <v>38</v>
      </c>
      <c r="E10" s="13"/>
      <c r="F10" s="21" t="s">
        <v>47</v>
      </c>
      <c r="G10" s="13" t="s">
        <v>48</v>
      </c>
      <c r="H10" s="13"/>
      <c r="I10" s="13"/>
      <c r="J10" s="13"/>
      <c r="K10" s="13"/>
      <c r="L10" s="13"/>
      <c r="M10" s="13"/>
      <c r="N10" s="13"/>
      <c r="O10" s="15">
        <v>0.05</v>
      </c>
      <c r="P10" s="14"/>
      <c r="R10" s="12"/>
      <c r="S10" s="13"/>
      <c r="T10" s="13" t="s">
        <v>22</v>
      </c>
      <c r="U10" s="13" t="s">
        <v>38</v>
      </c>
      <c r="V10" s="13"/>
      <c r="W10" s="21" t="s">
        <v>47</v>
      </c>
      <c r="X10" s="13" t="s">
        <v>48</v>
      </c>
      <c r="Y10" s="13"/>
      <c r="Z10" s="13"/>
      <c r="AA10" s="13"/>
      <c r="AB10" s="13"/>
      <c r="AC10" s="13"/>
      <c r="AD10" s="13"/>
      <c r="AE10" s="13"/>
      <c r="AF10" s="15">
        <v>0.2</v>
      </c>
      <c r="AG10" s="14"/>
      <c r="AM10" t="s">
        <v>24</v>
      </c>
      <c r="AN10">
        <v>0</v>
      </c>
      <c r="AO10">
        <v>8500</v>
      </c>
      <c r="AP10" s="5">
        <v>0.85</v>
      </c>
      <c r="AR10">
        <f>AN10*AO10*AP10</f>
        <v>0</v>
      </c>
    </row>
    <row r="11" spans="1:50" x14ac:dyDescent="0.2">
      <c r="A11" s="12"/>
      <c r="B11" s="13"/>
      <c r="C11" s="13" t="s">
        <v>24</v>
      </c>
      <c r="D11" s="13">
        <v>0</v>
      </c>
      <c r="E11" s="13">
        <f>D11+E7</f>
        <v>846</v>
      </c>
      <c r="F11" s="13">
        <v>6000</v>
      </c>
      <c r="G11" s="15">
        <v>0.9</v>
      </c>
      <c r="H11" s="13"/>
      <c r="I11" s="16">
        <f t="shared" ref="I11:I16" si="4">E11*F11*G11</f>
        <v>4568400</v>
      </c>
      <c r="J11" s="13"/>
      <c r="K11" s="16">
        <f t="shared" ref="K11:K16" si="5">E11*F11*G11</f>
        <v>4568400</v>
      </c>
      <c r="L11" s="13"/>
      <c r="M11" s="13">
        <f>D11</f>
        <v>0</v>
      </c>
      <c r="N11" s="16">
        <f t="shared" ref="N11:N16" si="6">M11*F11*2</f>
        <v>0</v>
      </c>
      <c r="O11" s="16">
        <f>K11*$O$10</f>
        <v>228420</v>
      </c>
      <c r="P11" s="14"/>
      <c r="R11" s="12"/>
      <c r="S11" s="13"/>
      <c r="T11" s="13" t="s">
        <v>24</v>
      </c>
      <c r="U11" s="13">
        <v>0</v>
      </c>
      <c r="V11" s="13">
        <f>U11+V7</f>
        <v>200</v>
      </c>
      <c r="W11" s="13">
        <v>9500</v>
      </c>
      <c r="X11" s="15">
        <v>0.85</v>
      </c>
      <c r="Y11" s="13"/>
      <c r="Z11" s="16">
        <f t="shared" ref="Z11:Z16" si="7">V11*W11*X11</f>
        <v>1615000</v>
      </c>
      <c r="AA11" s="13"/>
      <c r="AB11" s="16">
        <f t="shared" ref="AB11:AB16" si="8">V11*W11*X11</f>
        <v>1615000</v>
      </c>
      <c r="AC11" s="13"/>
      <c r="AD11" s="13">
        <f>U11</f>
        <v>0</v>
      </c>
      <c r="AE11" s="16">
        <f t="shared" ref="AE11" si="9">AD11*W11*2</f>
        <v>0</v>
      </c>
      <c r="AF11" s="16">
        <f>AB11*$AF$10</f>
        <v>323000</v>
      </c>
      <c r="AG11" s="14"/>
      <c r="AM11" t="s">
        <v>25</v>
      </c>
      <c r="AN11">
        <v>0</v>
      </c>
      <c r="AO11">
        <v>8500</v>
      </c>
      <c r="AP11" s="5">
        <v>0.85</v>
      </c>
      <c r="AR11">
        <f t="shared" ref="AR11:AR12" si="10">AN11*AO11*AP11</f>
        <v>0</v>
      </c>
    </row>
    <row r="12" spans="1:50" x14ac:dyDescent="0.2">
      <c r="A12" s="12"/>
      <c r="B12" s="13"/>
      <c r="C12" s="13" t="s">
        <v>25</v>
      </c>
      <c r="D12" s="13">
        <v>700</v>
      </c>
      <c r="E12" s="13">
        <f>D12+E11</f>
        <v>1546</v>
      </c>
      <c r="F12" s="13">
        <v>6000</v>
      </c>
      <c r="G12" s="15">
        <v>0.9</v>
      </c>
      <c r="H12" s="13"/>
      <c r="I12" s="16">
        <f t="shared" si="4"/>
        <v>8348400</v>
      </c>
      <c r="J12" s="13"/>
      <c r="K12" s="16">
        <f t="shared" si="5"/>
        <v>8348400</v>
      </c>
      <c r="L12" s="13"/>
      <c r="M12" s="13">
        <f t="shared" ref="M12:M16" si="11">D12</f>
        <v>700</v>
      </c>
      <c r="N12" s="16">
        <f>M12*F12*2</f>
        <v>8400000</v>
      </c>
      <c r="O12" s="16">
        <f t="shared" ref="O12:O16" si="12">K12*$O$10</f>
        <v>417420</v>
      </c>
      <c r="P12" s="14"/>
      <c r="R12" s="12"/>
      <c r="S12" s="13"/>
      <c r="T12" s="13" t="s">
        <v>25</v>
      </c>
      <c r="U12" s="13">
        <v>250</v>
      </c>
      <c r="V12" s="13">
        <f>U12+V11</f>
        <v>450</v>
      </c>
      <c r="W12" s="13">
        <v>9500</v>
      </c>
      <c r="X12" s="15">
        <v>0.85</v>
      </c>
      <c r="Y12" s="13"/>
      <c r="Z12" s="16">
        <f t="shared" si="7"/>
        <v>3633750</v>
      </c>
      <c r="AA12" s="13"/>
      <c r="AB12" s="16">
        <f t="shared" si="8"/>
        <v>3633750</v>
      </c>
      <c r="AC12" s="13"/>
      <c r="AD12" s="13">
        <f t="shared" ref="AD12:AD16" si="13">U12</f>
        <v>250</v>
      </c>
      <c r="AE12" s="16">
        <f>AD12*W12*2</f>
        <v>4750000</v>
      </c>
      <c r="AF12" s="16">
        <f t="shared" ref="AF12:AF16" si="14">AB12*$AF$10</f>
        <v>726750</v>
      </c>
      <c r="AG12" s="31">
        <f>(((AF12-AF11)*12))/AE12*100</f>
        <v>102</v>
      </c>
      <c r="AM12" t="s">
        <v>26</v>
      </c>
      <c r="AN12">
        <v>200</v>
      </c>
      <c r="AO12">
        <v>8500</v>
      </c>
      <c r="AP12" s="5">
        <v>0.85</v>
      </c>
      <c r="AR12">
        <f t="shared" si="10"/>
        <v>1445000</v>
      </c>
      <c r="AV12" s="3">
        <f>AO12*AN12*6</f>
        <v>10200000</v>
      </c>
      <c r="AW12" s="3">
        <f>AR12*0.2</f>
        <v>289000</v>
      </c>
      <c r="AX12" s="6">
        <f>AW12*12/AV12</f>
        <v>0.34</v>
      </c>
    </row>
    <row r="13" spans="1:50" x14ac:dyDescent="0.2">
      <c r="A13" s="12"/>
      <c r="B13" s="13"/>
      <c r="C13" s="13" t="s">
        <v>26</v>
      </c>
      <c r="D13" s="13">
        <v>0</v>
      </c>
      <c r="E13" s="13">
        <f t="shared" ref="E13:E16" si="15">D13+E12</f>
        <v>1546</v>
      </c>
      <c r="F13" s="13">
        <v>6000</v>
      </c>
      <c r="G13" s="15">
        <v>0.9</v>
      </c>
      <c r="H13" s="13"/>
      <c r="I13" s="16">
        <f t="shared" si="4"/>
        <v>8348400</v>
      </c>
      <c r="J13" s="13"/>
      <c r="K13" s="16">
        <f t="shared" si="5"/>
        <v>8348400</v>
      </c>
      <c r="L13" s="13"/>
      <c r="M13" s="13">
        <f t="shared" si="11"/>
        <v>0</v>
      </c>
      <c r="N13" s="16">
        <f t="shared" si="6"/>
        <v>0</v>
      </c>
      <c r="O13" s="16">
        <f t="shared" si="12"/>
        <v>417420</v>
      </c>
      <c r="P13" s="14"/>
      <c r="R13" s="12"/>
      <c r="S13" s="13"/>
      <c r="T13" s="13" t="s">
        <v>26</v>
      </c>
      <c r="U13" s="13">
        <v>0</v>
      </c>
      <c r="V13" s="13">
        <f t="shared" ref="V13:V16" si="16">U13+V12</f>
        <v>450</v>
      </c>
      <c r="W13" s="13">
        <v>9500</v>
      </c>
      <c r="X13" s="15">
        <v>0.85</v>
      </c>
      <c r="Y13" s="13"/>
      <c r="Z13" s="16">
        <f t="shared" si="7"/>
        <v>3633750</v>
      </c>
      <c r="AA13" s="13"/>
      <c r="AB13" s="16">
        <f t="shared" si="8"/>
        <v>3633750</v>
      </c>
      <c r="AC13" s="13"/>
      <c r="AD13" s="13">
        <f t="shared" si="13"/>
        <v>0</v>
      </c>
      <c r="AE13" s="16">
        <f t="shared" ref="AE13:AE16" si="17">AD13*W13*2</f>
        <v>0</v>
      </c>
      <c r="AF13" s="16">
        <f t="shared" si="14"/>
        <v>726750</v>
      </c>
      <c r="AG13" s="14"/>
      <c r="AM13" t="s">
        <v>27</v>
      </c>
      <c r="AN13">
        <v>200</v>
      </c>
      <c r="AO13">
        <v>8500</v>
      </c>
      <c r="AP13" s="5">
        <v>0.85</v>
      </c>
      <c r="AR13">
        <f>AN13*AO13*AP13</f>
        <v>1445000</v>
      </c>
      <c r="AW13" s="3">
        <f t="shared" ref="AW13:AW14" si="18">AR13*0.2</f>
        <v>289000</v>
      </c>
    </row>
    <row r="14" spans="1:50" x14ac:dyDescent="0.2">
      <c r="A14" s="12"/>
      <c r="B14" s="13"/>
      <c r="C14" s="13" t="s">
        <v>27</v>
      </c>
      <c r="D14" s="13">
        <v>0</v>
      </c>
      <c r="E14" s="13">
        <f t="shared" si="15"/>
        <v>1546</v>
      </c>
      <c r="F14" s="13">
        <v>6000</v>
      </c>
      <c r="G14" s="15">
        <v>0.9</v>
      </c>
      <c r="H14" s="13"/>
      <c r="I14" s="16">
        <f t="shared" si="4"/>
        <v>8348400</v>
      </c>
      <c r="J14" s="13"/>
      <c r="K14" s="16">
        <f t="shared" si="5"/>
        <v>8348400</v>
      </c>
      <c r="L14" s="13"/>
      <c r="M14" s="13">
        <f t="shared" si="11"/>
        <v>0</v>
      </c>
      <c r="N14" s="16">
        <f t="shared" si="6"/>
        <v>0</v>
      </c>
      <c r="O14" s="16">
        <f t="shared" si="12"/>
        <v>417420</v>
      </c>
      <c r="P14" s="14"/>
      <c r="R14" s="12"/>
      <c r="S14" s="13"/>
      <c r="T14" s="13" t="s">
        <v>27</v>
      </c>
      <c r="U14" s="13">
        <v>0</v>
      </c>
      <c r="V14" s="13">
        <f t="shared" si="16"/>
        <v>450</v>
      </c>
      <c r="W14" s="13">
        <v>9500</v>
      </c>
      <c r="X14" s="15">
        <v>0.85</v>
      </c>
      <c r="Y14" s="13"/>
      <c r="Z14" s="16">
        <f t="shared" si="7"/>
        <v>3633750</v>
      </c>
      <c r="AA14" s="13"/>
      <c r="AB14" s="16">
        <f t="shared" si="8"/>
        <v>3633750</v>
      </c>
      <c r="AC14" s="13"/>
      <c r="AD14" s="13">
        <f t="shared" si="13"/>
        <v>0</v>
      </c>
      <c r="AE14" s="16">
        <f t="shared" si="17"/>
        <v>0</v>
      </c>
      <c r="AF14" s="16">
        <f t="shared" si="14"/>
        <v>726750</v>
      </c>
      <c r="AG14" s="14"/>
      <c r="AM14" t="s">
        <v>28</v>
      </c>
      <c r="AN14">
        <v>200</v>
      </c>
      <c r="AO14">
        <v>8500</v>
      </c>
      <c r="AP14" s="5">
        <v>0.85</v>
      </c>
      <c r="AR14">
        <f t="shared" ref="AR14" si="19">AN14*AO14*AP14</f>
        <v>1445000</v>
      </c>
      <c r="AW14" s="3">
        <f t="shared" si="18"/>
        <v>289000</v>
      </c>
    </row>
    <row r="15" spans="1:50" x14ac:dyDescent="0.2">
      <c r="A15" s="12"/>
      <c r="B15" s="13"/>
      <c r="C15" s="13" t="s">
        <v>28</v>
      </c>
      <c r="D15" s="13">
        <v>600</v>
      </c>
      <c r="E15" s="13">
        <f t="shared" si="15"/>
        <v>2146</v>
      </c>
      <c r="F15" s="13">
        <v>6000</v>
      </c>
      <c r="G15" s="15">
        <v>0.9</v>
      </c>
      <c r="H15" s="13"/>
      <c r="I15" s="16">
        <f t="shared" si="4"/>
        <v>11588400</v>
      </c>
      <c r="J15" s="13"/>
      <c r="K15" s="16">
        <f t="shared" si="5"/>
        <v>11588400</v>
      </c>
      <c r="L15" s="13"/>
      <c r="M15" s="13">
        <f t="shared" si="11"/>
        <v>600</v>
      </c>
      <c r="N15" s="16">
        <f t="shared" si="6"/>
        <v>7200000</v>
      </c>
      <c r="O15" s="16">
        <f t="shared" si="12"/>
        <v>579420</v>
      </c>
      <c r="P15" s="14"/>
      <c r="R15" s="12"/>
      <c r="S15" s="13"/>
      <c r="T15" s="13" t="s">
        <v>28</v>
      </c>
      <c r="U15" s="13">
        <v>300</v>
      </c>
      <c r="V15" s="13">
        <f t="shared" si="16"/>
        <v>750</v>
      </c>
      <c r="W15" s="13">
        <v>9500</v>
      </c>
      <c r="X15" s="15">
        <v>0.85</v>
      </c>
      <c r="Y15" s="13"/>
      <c r="Z15" s="16">
        <f t="shared" si="7"/>
        <v>6056250</v>
      </c>
      <c r="AA15" s="13"/>
      <c r="AB15" s="16">
        <f t="shared" si="8"/>
        <v>6056250</v>
      </c>
      <c r="AC15" s="13"/>
      <c r="AD15" s="13">
        <f t="shared" si="13"/>
        <v>300</v>
      </c>
      <c r="AE15" s="16">
        <f t="shared" si="17"/>
        <v>5700000</v>
      </c>
      <c r="AF15" s="16">
        <f t="shared" si="14"/>
        <v>1211250</v>
      </c>
      <c r="AG15" s="14"/>
      <c r="AM15" t="s">
        <v>29</v>
      </c>
      <c r="AN15">
        <v>500</v>
      </c>
      <c r="AO15">
        <v>8500</v>
      </c>
      <c r="AP15" s="5">
        <v>0.85</v>
      </c>
      <c r="AR15">
        <f>AN15*AO15*AP15</f>
        <v>3612500</v>
      </c>
      <c r="AU15">
        <f>AN15-AN14</f>
        <v>300</v>
      </c>
      <c r="AV15" s="3">
        <f>AU15*AO15*6</f>
        <v>15300000</v>
      </c>
      <c r="AW15" s="3">
        <f>AR15*0.2</f>
        <v>722500</v>
      </c>
      <c r="AX15" s="6"/>
    </row>
    <row r="16" spans="1:50" x14ac:dyDescent="0.2">
      <c r="A16" s="12"/>
      <c r="B16" s="13"/>
      <c r="C16" s="13" t="s">
        <v>29</v>
      </c>
      <c r="D16" s="13">
        <v>0</v>
      </c>
      <c r="E16" s="13">
        <f t="shared" si="15"/>
        <v>2146</v>
      </c>
      <c r="F16" s="13">
        <v>6000</v>
      </c>
      <c r="G16" s="15">
        <v>0.9</v>
      </c>
      <c r="H16" s="13"/>
      <c r="I16" s="16">
        <f t="shared" si="4"/>
        <v>11588400</v>
      </c>
      <c r="J16" s="13"/>
      <c r="K16" s="16">
        <f t="shared" si="5"/>
        <v>11588400</v>
      </c>
      <c r="L16" s="13"/>
      <c r="M16" s="13">
        <f t="shared" si="11"/>
        <v>0</v>
      </c>
      <c r="N16" s="16">
        <f t="shared" si="6"/>
        <v>0</v>
      </c>
      <c r="O16" s="16">
        <f t="shared" si="12"/>
        <v>579420</v>
      </c>
      <c r="P16" s="14"/>
      <c r="R16" s="12"/>
      <c r="S16" s="13"/>
      <c r="T16" s="13" t="s">
        <v>29</v>
      </c>
      <c r="U16" s="13">
        <v>0</v>
      </c>
      <c r="V16" s="13">
        <f t="shared" si="16"/>
        <v>750</v>
      </c>
      <c r="W16" s="13">
        <v>9500</v>
      </c>
      <c r="X16" s="15">
        <v>0.85</v>
      </c>
      <c r="Y16" s="13"/>
      <c r="Z16" s="16">
        <f t="shared" si="7"/>
        <v>6056250</v>
      </c>
      <c r="AA16" s="13"/>
      <c r="AB16" s="16">
        <f t="shared" si="8"/>
        <v>6056250</v>
      </c>
      <c r="AC16" s="13"/>
      <c r="AD16" s="13">
        <f t="shared" si="13"/>
        <v>0</v>
      </c>
      <c r="AE16" s="16">
        <f t="shared" si="17"/>
        <v>0</v>
      </c>
      <c r="AF16" s="16">
        <f t="shared" si="14"/>
        <v>1211250</v>
      </c>
      <c r="AG16" s="14"/>
      <c r="AR16" s="3">
        <f>SUM(AR10:AR15)</f>
        <v>7947500</v>
      </c>
      <c r="AV16" s="3"/>
    </row>
    <row r="17" spans="1:49" x14ac:dyDescent="0.2">
      <c r="A17" s="12"/>
      <c r="B17" s="13"/>
      <c r="C17" s="13"/>
      <c r="D17" s="13"/>
      <c r="E17" s="13"/>
      <c r="F17" s="13"/>
      <c r="G17" s="13"/>
      <c r="H17" s="13"/>
      <c r="I17" s="16"/>
      <c r="J17" s="13"/>
      <c r="K17" s="13"/>
      <c r="L17" s="13"/>
      <c r="M17" s="13"/>
      <c r="N17" s="13"/>
      <c r="O17" s="13"/>
      <c r="P17" s="14"/>
      <c r="R17" s="12"/>
      <c r="S17" s="13"/>
      <c r="T17" s="13"/>
      <c r="U17" s="13"/>
      <c r="V17" s="13"/>
      <c r="W17" s="13"/>
      <c r="X17" s="13"/>
      <c r="Y17" s="13"/>
      <c r="Z17" s="16"/>
      <c r="AA17" s="13"/>
      <c r="AB17" s="13"/>
      <c r="AC17" s="13"/>
      <c r="AD17" s="13"/>
      <c r="AE17" s="13"/>
      <c r="AF17" s="13"/>
      <c r="AG17" s="14"/>
    </row>
    <row r="18" spans="1:49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R18" s="12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4"/>
    </row>
    <row r="19" spans="1:49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R19" s="12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4"/>
      <c r="AM19" t="s">
        <v>23</v>
      </c>
    </row>
    <row r="20" spans="1:49" x14ac:dyDescent="0.2">
      <c r="A20" s="12"/>
      <c r="B20" s="13"/>
      <c r="C20" s="13" t="s">
        <v>23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R20" s="12"/>
      <c r="S20" s="13"/>
      <c r="T20" s="13" t="s">
        <v>23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4"/>
      <c r="AM20" t="s">
        <v>30</v>
      </c>
      <c r="AN20">
        <v>600</v>
      </c>
      <c r="AO20">
        <f>AO15</f>
        <v>8500</v>
      </c>
      <c r="AP20" s="5">
        <v>0.85</v>
      </c>
      <c r="AR20">
        <f t="shared" ref="AR20:AR25" si="20">AN20*AO20*AP20</f>
        <v>4335000</v>
      </c>
      <c r="AW20" s="3">
        <v>722500</v>
      </c>
    </row>
    <row r="21" spans="1:49" x14ac:dyDescent="0.2">
      <c r="A21" s="12"/>
      <c r="B21" s="13"/>
      <c r="C21" s="13" t="s">
        <v>30</v>
      </c>
      <c r="D21" s="13">
        <v>0</v>
      </c>
      <c r="E21" s="13">
        <f>D21+E16</f>
        <v>2146</v>
      </c>
      <c r="F21" s="13">
        <v>6000</v>
      </c>
      <c r="G21" s="15">
        <v>0.9</v>
      </c>
      <c r="H21" s="13"/>
      <c r="I21" s="16">
        <f t="shared" ref="I21:I26" si="21">E21*F21*G21</f>
        <v>11588400</v>
      </c>
      <c r="J21" s="13"/>
      <c r="K21" s="16">
        <f t="shared" ref="K21:K26" si="22">E21*F21*G21</f>
        <v>11588400</v>
      </c>
      <c r="L21" s="13"/>
      <c r="M21" s="13">
        <f t="shared" ref="M21:M26" si="23">D21</f>
        <v>0</v>
      </c>
      <c r="N21" s="16">
        <f t="shared" ref="N21:N26" si="24">M21*F21*2</f>
        <v>0</v>
      </c>
      <c r="O21" s="16">
        <f t="shared" ref="O21:O26" si="25">K21*$O$10</f>
        <v>579420</v>
      </c>
      <c r="P21" s="14"/>
      <c r="R21" s="12"/>
      <c r="S21" s="13"/>
      <c r="T21" s="13" t="s">
        <v>30</v>
      </c>
      <c r="U21" s="13">
        <v>0</v>
      </c>
      <c r="V21" s="13">
        <f>U21+V16</f>
        <v>750</v>
      </c>
      <c r="W21" s="13">
        <v>9500</v>
      </c>
      <c r="X21" s="15">
        <v>0.85</v>
      </c>
      <c r="Y21" s="13"/>
      <c r="Z21" s="16">
        <f t="shared" ref="Z21:Z26" si="26">V21*W21*X21</f>
        <v>6056250</v>
      </c>
      <c r="AA21" s="13"/>
      <c r="AB21" s="16">
        <f t="shared" ref="AB21:AB26" si="27">V21*W21*X21</f>
        <v>6056250</v>
      </c>
      <c r="AC21" s="13"/>
      <c r="AD21" s="13">
        <f t="shared" ref="AD21:AD26" si="28">U21</f>
        <v>0</v>
      </c>
      <c r="AE21" s="16">
        <f t="shared" ref="AE21:AE26" si="29">AD21*W21*2</f>
        <v>0</v>
      </c>
      <c r="AF21" s="16">
        <f t="shared" ref="AF21:AF26" si="30">AB21*$AF$10</f>
        <v>1211250</v>
      </c>
      <c r="AG21" s="14"/>
      <c r="AM21" t="s">
        <v>31</v>
      </c>
      <c r="AN21">
        <v>600</v>
      </c>
      <c r="AO21">
        <v>8500</v>
      </c>
      <c r="AP21" s="5">
        <v>0.85</v>
      </c>
      <c r="AR21">
        <f t="shared" si="20"/>
        <v>4335000</v>
      </c>
      <c r="AW21" s="3">
        <v>722500</v>
      </c>
    </row>
    <row r="22" spans="1:49" x14ac:dyDescent="0.2">
      <c r="A22" s="12"/>
      <c r="B22" s="13"/>
      <c r="C22" s="13" t="s">
        <v>31</v>
      </c>
      <c r="D22" s="13">
        <v>700</v>
      </c>
      <c r="E22" s="13">
        <f>D22+E21</f>
        <v>2846</v>
      </c>
      <c r="F22" s="13">
        <v>6000</v>
      </c>
      <c r="G22" s="15">
        <v>0.9</v>
      </c>
      <c r="H22" s="13"/>
      <c r="I22" s="16">
        <f t="shared" si="21"/>
        <v>15368400</v>
      </c>
      <c r="J22" s="13"/>
      <c r="K22" s="16">
        <f t="shared" si="22"/>
        <v>15368400</v>
      </c>
      <c r="L22" s="13"/>
      <c r="M22" s="13">
        <f t="shared" si="23"/>
        <v>700</v>
      </c>
      <c r="N22" s="16">
        <f t="shared" si="24"/>
        <v>8400000</v>
      </c>
      <c r="O22" s="16">
        <f t="shared" si="25"/>
        <v>768420</v>
      </c>
      <c r="P22" s="14"/>
      <c r="R22" s="12"/>
      <c r="S22" s="13"/>
      <c r="T22" s="13" t="s">
        <v>31</v>
      </c>
      <c r="U22" s="13">
        <v>300</v>
      </c>
      <c r="V22" s="13">
        <f>U22+V21</f>
        <v>1050</v>
      </c>
      <c r="W22" s="13">
        <v>9500</v>
      </c>
      <c r="X22" s="15">
        <v>0.85</v>
      </c>
      <c r="Y22" s="13"/>
      <c r="Z22" s="16">
        <f t="shared" si="26"/>
        <v>8478750</v>
      </c>
      <c r="AA22" s="13"/>
      <c r="AB22" s="16">
        <f t="shared" si="27"/>
        <v>8478750</v>
      </c>
      <c r="AC22" s="13"/>
      <c r="AD22" s="13">
        <f t="shared" si="28"/>
        <v>300</v>
      </c>
      <c r="AE22" s="16">
        <f t="shared" si="29"/>
        <v>5700000</v>
      </c>
      <c r="AF22" s="16">
        <f t="shared" si="30"/>
        <v>1695750</v>
      </c>
      <c r="AG22" s="31">
        <f>(((AF22-AF21)*12))/AE22*100</f>
        <v>102</v>
      </c>
      <c r="AM22" t="s">
        <v>32</v>
      </c>
      <c r="AN22">
        <v>800</v>
      </c>
      <c r="AO22">
        <v>8500</v>
      </c>
      <c r="AP22" s="5">
        <v>0.85</v>
      </c>
      <c r="AR22">
        <f t="shared" si="20"/>
        <v>5780000</v>
      </c>
      <c r="AU22">
        <f>AN22-AN21</f>
        <v>200</v>
      </c>
      <c r="AV22">
        <f>AU22*AO22*6</f>
        <v>10200000</v>
      </c>
      <c r="AW22" s="3">
        <f>AR22*0.2</f>
        <v>1156000</v>
      </c>
    </row>
    <row r="23" spans="1:49" x14ac:dyDescent="0.2">
      <c r="A23" s="12"/>
      <c r="B23" s="13"/>
      <c r="C23" s="13" t="s">
        <v>32</v>
      </c>
      <c r="D23" s="13">
        <v>0</v>
      </c>
      <c r="E23" s="13">
        <f t="shared" ref="E23:E26" si="31">D23+E22</f>
        <v>2846</v>
      </c>
      <c r="F23" s="13">
        <v>6000</v>
      </c>
      <c r="G23" s="15">
        <v>0.9</v>
      </c>
      <c r="H23" s="13"/>
      <c r="I23" s="16">
        <f t="shared" si="21"/>
        <v>15368400</v>
      </c>
      <c r="J23" s="13"/>
      <c r="K23" s="16">
        <f t="shared" si="22"/>
        <v>15368400</v>
      </c>
      <c r="L23" s="13"/>
      <c r="M23" s="13">
        <f t="shared" si="23"/>
        <v>0</v>
      </c>
      <c r="N23" s="16">
        <f t="shared" si="24"/>
        <v>0</v>
      </c>
      <c r="O23" s="16">
        <f t="shared" si="25"/>
        <v>768420</v>
      </c>
      <c r="P23" s="14"/>
      <c r="R23" s="12"/>
      <c r="S23" s="13"/>
      <c r="T23" s="13" t="s">
        <v>32</v>
      </c>
      <c r="U23" s="13">
        <v>0</v>
      </c>
      <c r="V23" s="13">
        <f t="shared" ref="V23:V26" si="32">U23+V22</f>
        <v>1050</v>
      </c>
      <c r="W23" s="13">
        <v>9500</v>
      </c>
      <c r="X23" s="15">
        <v>0.85</v>
      </c>
      <c r="Y23" s="13"/>
      <c r="Z23" s="16">
        <f t="shared" si="26"/>
        <v>8478750</v>
      </c>
      <c r="AA23" s="13"/>
      <c r="AB23" s="16">
        <f t="shared" si="27"/>
        <v>8478750</v>
      </c>
      <c r="AC23" s="13"/>
      <c r="AD23" s="13">
        <f t="shared" si="28"/>
        <v>0</v>
      </c>
      <c r="AE23" s="16">
        <f t="shared" si="29"/>
        <v>0</v>
      </c>
      <c r="AF23" s="16">
        <f t="shared" si="30"/>
        <v>1695750</v>
      </c>
      <c r="AG23" s="14"/>
      <c r="AM23" t="s">
        <v>33</v>
      </c>
      <c r="AN23">
        <v>800</v>
      </c>
      <c r="AO23">
        <v>8500</v>
      </c>
      <c r="AP23" s="5">
        <v>0.85</v>
      </c>
      <c r="AR23">
        <f t="shared" si="20"/>
        <v>5780000</v>
      </c>
      <c r="AW23" s="3">
        <f>AR23*0.2</f>
        <v>1156000</v>
      </c>
    </row>
    <row r="24" spans="1:49" x14ac:dyDescent="0.2">
      <c r="A24" s="12"/>
      <c r="B24" s="13"/>
      <c r="C24" s="13" t="s">
        <v>33</v>
      </c>
      <c r="D24" s="13">
        <v>700</v>
      </c>
      <c r="E24" s="13">
        <f t="shared" si="31"/>
        <v>3546</v>
      </c>
      <c r="F24" s="13">
        <v>6000</v>
      </c>
      <c r="G24" s="15">
        <v>0.9</v>
      </c>
      <c r="H24" s="13"/>
      <c r="I24" s="16">
        <f t="shared" si="21"/>
        <v>19148400</v>
      </c>
      <c r="J24" s="13"/>
      <c r="K24" s="16">
        <f t="shared" si="22"/>
        <v>19148400</v>
      </c>
      <c r="L24" s="13"/>
      <c r="M24" s="13">
        <f t="shared" si="23"/>
        <v>700</v>
      </c>
      <c r="N24" s="16">
        <f t="shared" si="24"/>
        <v>8400000</v>
      </c>
      <c r="O24" s="16">
        <f t="shared" si="25"/>
        <v>957420</v>
      </c>
      <c r="P24" s="14"/>
      <c r="R24" s="12"/>
      <c r="S24" s="13"/>
      <c r="T24" s="13" t="s">
        <v>33</v>
      </c>
      <c r="U24" s="13">
        <v>450</v>
      </c>
      <c r="V24" s="13">
        <f t="shared" si="32"/>
        <v>1500</v>
      </c>
      <c r="W24" s="13">
        <v>9500</v>
      </c>
      <c r="X24" s="15">
        <v>0.85</v>
      </c>
      <c r="Y24" s="13"/>
      <c r="Z24" s="16">
        <f t="shared" si="26"/>
        <v>12112500</v>
      </c>
      <c r="AA24" s="13"/>
      <c r="AB24" s="16">
        <f t="shared" si="27"/>
        <v>12112500</v>
      </c>
      <c r="AC24" s="13"/>
      <c r="AD24" s="13">
        <f t="shared" si="28"/>
        <v>450</v>
      </c>
      <c r="AE24" s="16">
        <f t="shared" si="29"/>
        <v>8550000</v>
      </c>
      <c r="AF24" s="16">
        <f t="shared" si="30"/>
        <v>2422500</v>
      </c>
      <c r="AG24" s="14"/>
      <c r="AM24" t="s">
        <v>34</v>
      </c>
      <c r="AN24">
        <v>1000</v>
      </c>
      <c r="AO24">
        <v>8500</v>
      </c>
      <c r="AP24" s="5">
        <v>0.85</v>
      </c>
      <c r="AR24">
        <f t="shared" si="20"/>
        <v>7225000</v>
      </c>
      <c r="AU24">
        <f>AN24-AN23</f>
        <v>200</v>
      </c>
      <c r="AV24">
        <f>AU24*AO24*6</f>
        <v>10200000</v>
      </c>
      <c r="AW24">
        <f>AR24*0.2</f>
        <v>1445000</v>
      </c>
    </row>
    <row r="25" spans="1:49" x14ac:dyDescent="0.2">
      <c r="A25" s="12"/>
      <c r="B25" s="13"/>
      <c r="C25" s="13" t="s">
        <v>34</v>
      </c>
      <c r="D25" s="13">
        <v>0</v>
      </c>
      <c r="E25" s="13">
        <f t="shared" si="31"/>
        <v>3546</v>
      </c>
      <c r="F25" s="13">
        <v>6000</v>
      </c>
      <c r="G25" s="15">
        <v>0.9</v>
      </c>
      <c r="H25" s="13"/>
      <c r="I25" s="16">
        <f t="shared" si="21"/>
        <v>19148400</v>
      </c>
      <c r="J25" s="13"/>
      <c r="K25" s="16">
        <f t="shared" si="22"/>
        <v>19148400</v>
      </c>
      <c r="L25" s="13"/>
      <c r="M25" s="13">
        <f t="shared" si="23"/>
        <v>0</v>
      </c>
      <c r="N25" s="16">
        <f t="shared" si="24"/>
        <v>0</v>
      </c>
      <c r="O25" s="16">
        <f t="shared" si="25"/>
        <v>957420</v>
      </c>
      <c r="P25" s="14"/>
      <c r="R25" s="12"/>
      <c r="S25" s="13"/>
      <c r="T25" s="13" t="s">
        <v>34</v>
      </c>
      <c r="U25" s="13">
        <v>0</v>
      </c>
      <c r="V25" s="13">
        <f t="shared" si="32"/>
        <v>1500</v>
      </c>
      <c r="W25" s="13">
        <v>9500</v>
      </c>
      <c r="X25" s="15">
        <v>0.85</v>
      </c>
      <c r="Y25" s="13"/>
      <c r="Z25" s="16">
        <f t="shared" si="26"/>
        <v>12112500</v>
      </c>
      <c r="AA25" s="13"/>
      <c r="AB25" s="16">
        <f t="shared" si="27"/>
        <v>12112500</v>
      </c>
      <c r="AC25" s="13"/>
      <c r="AD25" s="13">
        <f t="shared" si="28"/>
        <v>0</v>
      </c>
      <c r="AE25" s="16">
        <f t="shared" si="29"/>
        <v>0</v>
      </c>
      <c r="AF25" s="16">
        <f t="shared" si="30"/>
        <v>2422500</v>
      </c>
      <c r="AG25" s="14"/>
      <c r="AM25" t="s">
        <v>35</v>
      </c>
      <c r="AN25">
        <v>1000</v>
      </c>
      <c r="AO25">
        <f t="shared" ref="AO25" si="33">AO20</f>
        <v>8500</v>
      </c>
      <c r="AP25" s="5">
        <v>0.85</v>
      </c>
      <c r="AR25">
        <f t="shared" si="20"/>
        <v>7225000</v>
      </c>
      <c r="AW25">
        <f>AR25*0.2</f>
        <v>1445000</v>
      </c>
    </row>
    <row r="26" spans="1:49" x14ac:dyDescent="0.2">
      <c r="A26" s="12"/>
      <c r="B26" s="13"/>
      <c r="C26" s="13" t="s">
        <v>35</v>
      </c>
      <c r="D26" s="13">
        <v>0</v>
      </c>
      <c r="E26" s="13">
        <f t="shared" si="31"/>
        <v>3546</v>
      </c>
      <c r="F26" s="13">
        <v>6000</v>
      </c>
      <c r="G26" s="15">
        <v>0.9</v>
      </c>
      <c r="H26" s="13"/>
      <c r="I26" s="16">
        <f t="shared" si="21"/>
        <v>19148400</v>
      </c>
      <c r="J26" s="13"/>
      <c r="K26" s="16">
        <f t="shared" si="22"/>
        <v>19148400</v>
      </c>
      <c r="L26" s="13"/>
      <c r="M26" s="13">
        <f t="shared" si="23"/>
        <v>0</v>
      </c>
      <c r="N26" s="16">
        <f t="shared" si="24"/>
        <v>0</v>
      </c>
      <c r="O26" s="16">
        <f t="shared" si="25"/>
        <v>957420</v>
      </c>
      <c r="P26" s="14"/>
      <c r="R26" s="12"/>
      <c r="S26" s="13"/>
      <c r="T26" s="13" t="s">
        <v>35</v>
      </c>
      <c r="U26" s="13">
        <v>0</v>
      </c>
      <c r="V26" s="13">
        <f t="shared" si="32"/>
        <v>1500</v>
      </c>
      <c r="W26" s="13">
        <v>9500</v>
      </c>
      <c r="X26" s="15">
        <v>0.85</v>
      </c>
      <c r="Y26" s="13"/>
      <c r="Z26" s="16">
        <f t="shared" si="26"/>
        <v>12112500</v>
      </c>
      <c r="AA26" s="13"/>
      <c r="AB26" s="16">
        <f t="shared" si="27"/>
        <v>12112500</v>
      </c>
      <c r="AC26" s="13"/>
      <c r="AD26" s="13">
        <f t="shared" si="28"/>
        <v>0</v>
      </c>
      <c r="AE26" s="16">
        <f t="shared" si="29"/>
        <v>0</v>
      </c>
      <c r="AF26" s="16">
        <f t="shared" si="30"/>
        <v>2422500</v>
      </c>
      <c r="AG26" s="14"/>
      <c r="AR26" s="3">
        <f>SUM(AR20:AR25)</f>
        <v>34680000</v>
      </c>
      <c r="AT26" s="3">
        <f>AR3+AR16+AR26</f>
        <v>42627500</v>
      </c>
      <c r="AV26" s="3">
        <f>SUM(AV9:AV24)</f>
        <v>45900000</v>
      </c>
      <c r="AW26" s="3">
        <f>SUM(AW12:AW25)</f>
        <v>8236500</v>
      </c>
    </row>
    <row r="27" spans="1:49" x14ac:dyDescent="0.2">
      <c r="A27" s="12"/>
      <c r="B27" s="13"/>
      <c r="C27" s="13"/>
      <c r="D27" s="13"/>
      <c r="E27" s="13"/>
      <c r="F27" s="13"/>
      <c r="G27" s="13"/>
      <c r="H27" s="13">
        <f>F26*1.05</f>
        <v>6300</v>
      </c>
      <c r="I27" s="16"/>
      <c r="J27" s="13"/>
      <c r="K27" s="16"/>
      <c r="L27" s="19">
        <f>SUM(K11:K26)</f>
        <v>152560800</v>
      </c>
      <c r="M27" s="16"/>
      <c r="N27" s="19">
        <f>SUM(N8:N26)</f>
        <v>40000000</v>
      </c>
      <c r="O27" s="19">
        <f>SUM(O11:O26)</f>
        <v>7628040</v>
      </c>
      <c r="P27" s="22">
        <f>O27/N27</f>
        <v>0.19070100000000001</v>
      </c>
      <c r="Q27" s="6"/>
      <c r="R27" s="12"/>
      <c r="S27" s="13"/>
      <c r="T27" s="13"/>
      <c r="U27" s="13"/>
      <c r="V27" s="13"/>
      <c r="W27" s="13"/>
      <c r="X27" s="13"/>
      <c r="Y27" s="13">
        <f>W26*1.05</f>
        <v>9975</v>
      </c>
      <c r="Z27" s="16"/>
      <c r="AA27" s="13"/>
      <c r="AB27" s="16"/>
      <c r="AC27" s="19">
        <f>SUM(AB11:AB26)</f>
        <v>83980000</v>
      </c>
      <c r="AD27" s="16"/>
      <c r="AE27" s="19">
        <f>SUM(AE8:AE26)</f>
        <v>26700000</v>
      </c>
      <c r="AF27" s="19">
        <f>SUM(AF11:AF26)</f>
        <v>16796000</v>
      </c>
      <c r="AG27" s="22">
        <f>AF27/AE27</f>
        <v>0.62906367041198497</v>
      </c>
      <c r="AH27" s="6"/>
    </row>
    <row r="28" spans="1:49" x14ac:dyDescent="0.2">
      <c r="A28" s="23">
        <f>E26</f>
        <v>3546</v>
      </c>
      <c r="B28" s="13"/>
      <c r="C28" s="13"/>
      <c r="D28" s="13"/>
      <c r="E28" s="13"/>
      <c r="F28" s="16"/>
      <c r="G28" s="13"/>
      <c r="H28" s="13"/>
      <c r="I28" s="13"/>
      <c r="J28" s="13"/>
      <c r="K28" s="13"/>
      <c r="L28" s="13"/>
      <c r="M28" s="13"/>
      <c r="N28" s="13"/>
      <c r="O28" s="13"/>
      <c r="P28" s="14"/>
      <c r="R28" s="23">
        <f>V26</f>
        <v>1500</v>
      </c>
      <c r="S28" s="13"/>
      <c r="T28" s="13"/>
      <c r="U28" s="13"/>
      <c r="V28" s="13"/>
      <c r="W28" s="16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spans="1:49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R29" s="12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4"/>
    </row>
    <row r="30" spans="1:49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R30" s="12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4"/>
    </row>
    <row r="31" spans="1:49" x14ac:dyDescent="0.2">
      <c r="A31" s="12"/>
      <c r="B31" s="13"/>
      <c r="C31" s="20" t="s">
        <v>4</v>
      </c>
      <c r="D31" s="20"/>
      <c r="E31" s="20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R31" s="12"/>
      <c r="S31" s="13"/>
      <c r="T31" s="20" t="s">
        <v>4</v>
      </c>
      <c r="U31" s="20"/>
      <c r="V31" s="20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4"/>
    </row>
    <row r="32" spans="1:49" x14ac:dyDescent="0.2">
      <c r="A32" s="12"/>
      <c r="B32" s="13"/>
      <c r="C32" s="13" t="s">
        <v>16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5">
        <v>7.0000000000000007E-2</v>
      </c>
      <c r="P32" s="14"/>
      <c r="R32" s="12"/>
      <c r="S32" s="13"/>
      <c r="T32" s="13" t="s">
        <v>16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5">
        <v>0.22</v>
      </c>
      <c r="AG32" s="14"/>
    </row>
    <row r="33" spans="1:33" x14ac:dyDescent="0.2">
      <c r="A33" s="12"/>
      <c r="B33" s="13"/>
      <c r="C33" s="13" t="s">
        <v>24</v>
      </c>
      <c r="D33" s="13">
        <v>0</v>
      </c>
      <c r="E33" s="13">
        <f>E26</f>
        <v>3546</v>
      </c>
      <c r="F33" s="13">
        <f>H27</f>
        <v>6300</v>
      </c>
      <c r="G33" s="15">
        <v>0.9</v>
      </c>
      <c r="H33" s="13"/>
      <c r="I33" s="16">
        <f t="shared" ref="I33" si="34">D33*F33*G33</f>
        <v>0</v>
      </c>
      <c r="J33" s="13"/>
      <c r="K33" s="16">
        <f t="shared" ref="K33:K38" si="35">E33*F33*G33</f>
        <v>20105820</v>
      </c>
      <c r="L33" s="13"/>
      <c r="M33" s="13">
        <f>D33</f>
        <v>0</v>
      </c>
      <c r="N33" s="16">
        <f t="shared" ref="N33" si="36">M33*F33*2</f>
        <v>0</v>
      </c>
      <c r="O33" s="16">
        <f>K33*$O$32</f>
        <v>1407407.4000000001</v>
      </c>
      <c r="P33" s="14"/>
      <c r="R33" s="12"/>
      <c r="S33" s="13"/>
      <c r="T33" s="13" t="s">
        <v>24</v>
      </c>
      <c r="U33" s="13">
        <v>0</v>
      </c>
      <c r="V33" s="13">
        <f>V26</f>
        <v>1500</v>
      </c>
      <c r="W33" s="13">
        <f>Y27</f>
        <v>9975</v>
      </c>
      <c r="X33" s="15">
        <v>0.85</v>
      </c>
      <c r="Y33" s="13"/>
      <c r="Z33" s="16">
        <f t="shared" ref="Z33" si="37">U33*W33*X33</f>
        <v>0</v>
      </c>
      <c r="AA33" s="13"/>
      <c r="AB33" s="16">
        <f t="shared" ref="AB33:AB38" si="38">V33*W33*X33</f>
        <v>12718125</v>
      </c>
      <c r="AC33" s="13"/>
      <c r="AD33" s="13">
        <f>U33</f>
        <v>0</v>
      </c>
      <c r="AE33" s="16">
        <f t="shared" ref="AE33" si="39">AD33*W33*2</f>
        <v>0</v>
      </c>
      <c r="AF33" s="16">
        <f>AB33*$AF$32</f>
        <v>2797987.5</v>
      </c>
      <c r="AG33" s="14"/>
    </row>
    <row r="34" spans="1:33" x14ac:dyDescent="0.2">
      <c r="A34" s="12"/>
      <c r="B34" s="13"/>
      <c r="C34" s="13" t="s">
        <v>25</v>
      </c>
      <c r="D34" s="13">
        <v>600</v>
      </c>
      <c r="E34" s="13">
        <f>D34+E33</f>
        <v>4146</v>
      </c>
      <c r="F34" s="13">
        <f>F33</f>
        <v>6300</v>
      </c>
      <c r="G34" s="15">
        <v>0.9</v>
      </c>
      <c r="H34" s="13"/>
      <c r="I34" s="16">
        <f t="shared" ref="I34:I38" si="40">E34*F34*G34</f>
        <v>23507820</v>
      </c>
      <c r="J34" s="13"/>
      <c r="K34" s="16">
        <f t="shared" si="35"/>
        <v>23507820</v>
      </c>
      <c r="L34" s="13"/>
      <c r="M34" s="13">
        <f t="shared" ref="M34:M38" si="41">D34</f>
        <v>600</v>
      </c>
      <c r="N34" s="16">
        <f>M34*F34*2</f>
        <v>7560000</v>
      </c>
      <c r="O34" s="16">
        <f t="shared" ref="O34:O38" si="42">K34*$O$32</f>
        <v>1645547.4000000001</v>
      </c>
      <c r="P34" s="14"/>
      <c r="R34" s="12"/>
      <c r="S34" s="13"/>
      <c r="T34" s="13" t="s">
        <v>25</v>
      </c>
      <c r="U34" s="13">
        <v>500</v>
      </c>
      <c r="V34" s="13">
        <f>U34+V33</f>
        <v>2000</v>
      </c>
      <c r="W34" s="13">
        <f>W33</f>
        <v>9975</v>
      </c>
      <c r="X34" s="15">
        <v>0.85</v>
      </c>
      <c r="Y34" s="13"/>
      <c r="Z34" s="16">
        <f t="shared" ref="Z34:Z38" si="43">V34*W34*X34</f>
        <v>16957500</v>
      </c>
      <c r="AA34" s="13"/>
      <c r="AB34" s="16">
        <f t="shared" si="38"/>
        <v>16957500</v>
      </c>
      <c r="AC34" s="13"/>
      <c r="AD34" s="13">
        <f t="shared" ref="AD34:AD38" si="44">U34</f>
        <v>500</v>
      </c>
      <c r="AE34" s="16">
        <f>AD34*W34*2</f>
        <v>9975000</v>
      </c>
      <c r="AF34" s="16">
        <f t="shared" ref="AF34:AF38" si="45">AB34*$AF$32</f>
        <v>3730650</v>
      </c>
      <c r="AG34" s="14"/>
    </row>
    <row r="35" spans="1:33" x14ac:dyDescent="0.2">
      <c r="A35" s="12"/>
      <c r="B35" s="13"/>
      <c r="C35" s="13" t="s">
        <v>26</v>
      </c>
      <c r="D35" s="13">
        <v>0</v>
      </c>
      <c r="E35" s="13">
        <f t="shared" ref="E35:E38" si="46">D35+E34</f>
        <v>4146</v>
      </c>
      <c r="F35" s="13">
        <f t="shared" ref="F35:F38" si="47">F34</f>
        <v>6300</v>
      </c>
      <c r="G35" s="15">
        <v>0.9</v>
      </c>
      <c r="H35" s="13"/>
      <c r="I35" s="16">
        <f t="shared" si="40"/>
        <v>23507820</v>
      </c>
      <c r="J35" s="13"/>
      <c r="K35" s="16">
        <f t="shared" si="35"/>
        <v>23507820</v>
      </c>
      <c r="L35" s="13"/>
      <c r="M35" s="13">
        <f t="shared" si="41"/>
        <v>0</v>
      </c>
      <c r="N35" s="16">
        <f t="shared" ref="N35:N38" si="48">M35*F35*2</f>
        <v>0</v>
      </c>
      <c r="O35" s="16">
        <f t="shared" si="42"/>
        <v>1645547.4000000001</v>
      </c>
      <c r="P35" s="14"/>
      <c r="R35" s="12"/>
      <c r="S35" s="13"/>
      <c r="T35" s="13" t="s">
        <v>26</v>
      </c>
      <c r="U35" s="13">
        <v>0</v>
      </c>
      <c r="V35" s="13">
        <f t="shared" ref="V35:V38" si="49">U35+V34</f>
        <v>2000</v>
      </c>
      <c r="W35" s="13">
        <f t="shared" ref="W35:W38" si="50">W34</f>
        <v>9975</v>
      </c>
      <c r="X35" s="15">
        <v>0.85</v>
      </c>
      <c r="Y35" s="13"/>
      <c r="Z35" s="16">
        <f t="shared" si="43"/>
        <v>16957500</v>
      </c>
      <c r="AA35" s="13"/>
      <c r="AB35" s="16">
        <f t="shared" si="38"/>
        <v>16957500</v>
      </c>
      <c r="AC35" s="13"/>
      <c r="AD35" s="13">
        <f t="shared" si="44"/>
        <v>0</v>
      </c>
      <c r="AE35" s="16">
        <f t="shared" ref="AE35:AE38" si="51">AD35*W35*2</f>
        <v>0</v>
      </c>
      <c r="AF35" s="16">
        <f t="shared" si="45"/>
        <v>3730650</v>
      </c>
      <c r="AG35" s="14"/>
    </row>
    <row r="36" spans="1:33" x14ac:dyDescent="0.2">
      <c r="A36" s="12"/>
      <c r="B36" s="13"/>
      <c r="C36" s="13" t="s">
        <v>27</v>
      </c>
      <c r="D36" s="13">
        <v>0</v>
      </c>
      <c r="E36" s="13">
        <f t="shared" si="46"/>
        <v>4146</v>
      </c>
      <c r="F36" s="13">
        <f t="shared" si="47"/>
        <v>6300</v>
      </c>
      <c r="G36" s="15">
        <v>0.9</v>
      </c>
      <c r="H36" s="13"/>
      <c r="I36" s="16">
        <f t="shared" si="40"/>
        <v>23507820</v>
      </c>
      <c r="J36" s="13"/>
      <c r="K36" s="16">
        <f t="shared" si="35"/>
        <v>23507820</v>
      </c>
      <c r="L36" s="13"/>
      <c r="M36" s="13">
        <f t="shared" si="41"/>
        <v>0</v>
      </c>
      <c r="N36" s="16">
        <f t="shared" si="48"/>
        <v>0</v>
      </c>
      <c r="O36" s="16">
        <f t="shared" si="42"/>
        <v>1645547.4000000001</v>
      </c>
      <c r="P36" s="14"/>
      <c r="R36" s="12"/>
      <c r="S36" s="13"/>
      <c r="T36" s="13" t="s">
        <v>27</v>
      </c>
      <c r="U36" s="13">
        <v>0</v>
      </c>
      <c r="V36" s="13">
        <f t="shared" si="49"/>
        <v>2000</v>
      </c>
      <c r="W36" s="13">
        <f t="shared" si="50"/>
        <v>9975</v>
      </c>
      <c r="X36" s="15">
        <v>0.85</v>
      </c>
      <c r="Y36" s="13"/>
      <c r="Z36" s="16">
        <f t="shared" si="43"/>
        <v>16957500</v>
      </c>
      <c r="AA36" s="13"/>
      <c r="AB36" s="16">
        <f t="shared" si="38"/>
        <v>16957500</v>
      </c>
      <c r="AC36" s="13"/>
      <c r="AD36" s="13">
        <f t="shared" si="44"/>
        <v>0</v>
      </c>
      <c r="AE36" s="16">
        <f t="shared" si="51"/>
        <v>0</v>
      </c>
      <c r="AF36" s="16">
        <f t="shared" si="45"/>
        <v>3730650</v>
      </c>
      <c r="AG36" s="14"/>
    </row>
    <row r="37" spans="1:33" x14ac:dyDescent="0.2">
      <c r="A37" s="12"/>
      <c r="B37" s="13"/>
      <c r="C37" s="13" t="s">
        <v>28</v>
      </c>
      <c r="D37" s="13">
        <v>600</v>
      </c>
      <c r="E37" s="13">
        <f t="shared" si="46"/>
        <v>4746</v>
      </c>
      <c r="F37" s="13">
        <f t="shared" si="47"/>
        <v>6300</v>
      </c>
      <c r="G37" s="15">
        <v>0.9</v>
      </c>
      <c r="H37" s="13"/>
      <c r="I37" s="16">
        <f t="shared" si="40"/>
        <v>26909820</v>
      </c>
      <c r="J37" s="13"/>
      <c r="K37" s="16">
        <f t="shared" si="35"/>
        <v>26909820</v>
      </c>
      <c r="L37" s="13"/>
      <c r="M37" s="13">
        <f t="shared" si="41"/>
        <v>600</v>
      </c>
      <c r="N37" s="16">
        <f t="shared" si="48"/>
        <v>7560000</v>
      </c>
      <c r="O37" s="16">
        <f t="shared" si="42"/>
        <v>1883687.4000000001</v>
      </c>
      <c r="P37" s="14"/>
      <c r="R37" s="12"/>
      <c r="S37" s="13"/>
      <c r="T37" s="13" t="s">
        <v>28</v>
      </c>
      <c r="U37" s="13">
        <v>600</v>
      </c>
      <c r="V37" s="13">
        <f t="shared" si="49"/>
        <v>2600</v>
      </c>
      <c r="W37" s="13">
        <f t="shared" si="50"/>
        <v>9975</v>
      </c>
      <c r="X37" s="15">
        <v>0.85</v>
      </c>
      <c r="Y37" s="13"/>
      <c r="Z37" s="16">
        <f t="shared" si="43"/>
        <v>22044750</v>
      </c>
      <c r="AA37" s="13"/>
      <c r="AB37" s="16">
        <f t="shared" si="38"/>
        <v>22044750</v>
      </c>
      <c r="AC37" s="13"/>
      <c r="AD37" s="13">
        <f t="shared" si="44"/>
        <v>600</v>
      </c>
      <c r="AE37" s="16">
        <f t="shared" si="51"/>
        <v>11970000</v>
      </c>
      <c r="AF37" s="16">
        <f t="shared" si="45"/>
        <v>4849845</v>
      </c>
      <c r="AG37" s="14"/>
    </row>
    <row r="38" spans="1:33" x14ac:dyDescent="0.2">
      <c r="A38" s="12"/>
      <c r="B38" s="13"/>
      <c r="C38" s="13" t="s">
        <v>29</v>
      </c>
      <c r="D38" s="13">
        <v>0</v>
      </c>
      <c r="E38" s="13">
        <f t="shared" si="46"/>
        <v>4746</v>
      </c>
      <c r="F38" s="13">
        <f t="shared" si="47"/>
        <v>6300</v>
      </c>
      <c r="G38" s="15">
        <v>0.9</v>
      </c>
      <c r="H38" s="13"/>
      <c r="I38" s="16">
        <f t="shared" si="40"/>
        <v>26909820</v>
      </c>
      <c r="J38" s="13"/>
      <c r="K38" s="16">
        <f t="shared" si="35"/>
        <v>26909820</v>
      </c>
      <c r="L38" s="13"/>
      <c r="M38" s="13">
        <f t="shared" si="41"/>
        <v>0</v>
      </c>
      <c r="N38" s="16">
        <f t="shared" si="48"/>
        <v>0</v>
      </c>
      <c r="O38" s="16">
        <f t="shared" si="42"/>
        <v>1883687.4000000001</v>
      </c>
      <c r="P38" s="14"/>
      <c r="R38" s="12"/>
      <c r="S38" s="13"/>
      <c r="T38" s="13" t="s">
        <v>29</v>
      </c>
      <c r="U38" s="13">
        <v>0</v>
      </c>
      <c r="V38" s="13">
        <f t="shared" si="49"/>
        <v>2600</v>
      </c>
      <c r="W38" s="13">
        <f t="shared" si="50"/>
        <v>9975</v>
      </c>
      <c r="X38" s="15">
        <v>0.85</v>
      </c>
      <c r="Y38" s="13"/>
      <c r="Z38" s="16">
        <f t="shared" si="43"/>
        <v>22044750</v>
      </c>
      <c r="AA38" s="13"/>
      <c r="AB38" s="16">
        <f t="shared" si="38"/>
        <v>22044750</v>
      </c>
      <c r="AC38" s="13"/>
      <c r="AD38" s="13">
        <f t="shared" si="44"/>
        <v>0</v>
      </c>
      <c r="AE38" s="16">
        <f t="shared" si="51"/>
        <v>0</v>
      </c>
      <c r="AF38" s="16">
        <f t="shared" si="45"/>
        <v>4849845</v>
      </c>
      <c r="AG38" s="14"/>
    </row>
    <row r="39" spans="1:33" x14ac:dyDescent="0.2">
      <c r="A39" s="12"/>
      <c r="B39" s="13"/>
      <c r="C39" s="13"/>
      <c r="D39" s="13"/>
      <c r="E39" s="13"/>
      <c r="F39" s="13"/>
      <c r="G39" s="13"/>
      <c r="H39" s="13"/>
      <c r="I39" s="16"/>
      <c r="J39" s="13"/>
      <c r="K39" s="13"/>
      <c r="L39" s="13"/>
      <c r="M39" s="13"/>
      <c r="N39" s="13"/>
      <c r="O39" s="13"/>
      <c r="P39" s="14"/>
      <c r="R39" s="12"/>
      <c r="S39" s="13"/>
      <c r="T39" s="13"/>
      <c r="U39" s="13"/>
      <c r="V39" s="13"/>
      <c r="W39" s="13"/>
      <c r="X39" s="13"/>
      <c r="Y39" s="13"/>
      <c r="Z39" s="16"/>
      <c r="AA39" s="13"/>
      <c r="AB39" s="13"/>
      <c r="AC39" s="13"/>
      <c r="AD39" s="13"/>
      <c r="AE39" s="13"/>
      <c r="AF39" s="13"/>
      <c r="AG39" s="14"/>
    </row>
    <row r="40" spans="1:33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  <c r="R40" s="12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4"/>
    </row>
    <row r="41" spans="1:33" x14ac:dyDescent="0.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  <c r="R41" s="12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4"/>
    </row>
    <row r="42" spans="1:33" x14ac:dyDescent="0.2">
      <c r="A42" s="12"/>
      <c r="B42" s="13"/>
      <c r="C42" s="13" t="s">
        <v>17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  <c r="R42" s="12"/>
      <c r="S42" s="13"/>
      <c r="T42" s="13" t="s">
        <v>17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4"/>
    </row>
    <row r="43" spans="1:33" x14ac:dyDescent="0.2">
      <c r="A43" s="12"/>
      <c r="B43" s="13"/>
      <c r="C43" s="13" t="s">
        <v>30</v>
      </c>
      <c r="D43" s="13">
        <v>0</v>
      </c>
      <c r="E43" s="13">
        <f>D43+E38</f>
        <v>4746</v>
      </c>
      <c r="F43" s="13">
        <f>F38</f>
        <v>6300</v>
      </c>
      <c r="G43" s="15">
        <v>0.9</v>
      </c>
      <c r="H43" s="13"/>
      <c r="I43" s="16">
        <f t="shared" ref="I43:I48" si="52">E43*F43*G43</f>
        <v>26909820</v>
      </c>
      <c r="J43" s="13"/>
      <c r="K43" s="16">
        <f t="shared" ref="K43:K48" si="53">E43*F43*G43</f>
        <v>26909820</v>
      </c>
      <c r="L43" s="13"/>
      <c r="M43" s="13">
        <f t="shared" ref="M43:M48" si="54">D43</f>
        <v>0</v>
      </c>
      <c r="N43" s="16">
        <f t="shared" ref="N43:N48" si="55">M43*F43*2</f>
        <v>0</v>
      </c>
      <c r="O43" s="16">
        <f t="shared" ref="O43:O48" si="56">K43*$O$32</f>
        <v>1883687.4000000001</v>
      </c>
      <c r="P43" s="14"/>
      <c r="R43" s="12"/>
      <c r="S43" s="13"/>
      <c r="T43" s="13" t="s">
        <v>30</v>
      </c>
      <c r="U43" s="13">
        <v>0</v>
      </c>
      <c r="V43" s="13">
        <f>U43+V38</f>
        <v>2600</v>
      </c>
      <c r="W43" s="13">
        <f>W38</f>
        <v>9975</v>
      </c>
      <c r="X43" s="15">
        <v>0.85</v>
      </c>
      <c r="Y43" s="13"/>
      <c r="Z43" s="16">
        <f t="shared" ref="Z43:Z48" si="57">V43*W43*X43</f>
        <v>22044750</v>
      </c>
      <c r="AA43" s="13"/>
      <c r="AB43" s="16">
        <f t="shared" ref="AB43:AB48" si="58">V43*W43*X43</f>
        <v>22044750</v>
      </c>
      <c r="AC43" s="13"/>
      <c r="AD43" s="13">
        <f t="shared" ref="AD43:AD48" si="59">U43</f>
        <v>0</v>
      </c>
      <c r="AE43" s="16">
        <f t="shared" ref="AE43:AE48" si="60">AD43*W43*2</f>
        <v>0</v>
      </c>
      <c r="AF43" s="16">
        <f t="shared" ref="AF43:AF48" si="61">AB43*$AF$32</f>
        <v>4849845</v>
      </c>
      <c r="AG43" s="14"/>
    </row>
    <row r="44" spans="1:33" x14ac:dyDescent="0.2">
      <c r="A44" s="12"/>
      <c r="B44" s="13"/>
      <c r="C44" s="13" t="s">
        <v>31</v>
      </c>
      <c r="D44" s="13">
        <v>700</v>
      </c>
      <c r="E44" s="13">
        <f>D44+E43</f>
        <v>5446</v>
      </c>
      <c r="F44" s="13">
        <f>F43</f>
        <v>6300</v>
      </c>
      <c r="G44" s="15">
        <v>0.9</v>
      </c>
      <c r="H44" s="13"/>
      <c r="I44" s="16">
        <f t="shared" si="52"/>
        <v>30878820</v>
      </c>
      <c r="J44" s="13"/>
      <c r="K44" s="16">
        <f t="shared" si="53"/>
        <v>30878820</v>
      </c>
      <c r="L44" s="13"/>
      <c r="M44" s="13">
        <f t="shared" si="54"/>
        <v>700</v>
      </c>
      <c r="N44" s="16">
        <f t="shared" si="55"/>
        <v>8820000</v>
      </c>
      <c r="O44" s="16">
        <f t="shared" si="56"/>
        <v>2161517.4000000004</v>
      </c>
      <c r="P44" s="14"/>
      <c r="R44" s="12"/>
      <c r="S44" s="13"/>
      <c r="T44" s="13" t="s">
        <v>31</v>
      </c>
      <c r="U44" s="13">
        <v>600</v>
      </c>
      <c r="V44" s="13">
        <f>U44+V43</f>
        <v>3200</v>
      </c>
      <c r="W44" s="13">
        <f>W43</f>
        <v>9975</v>
      </c>
      <c r="X44" s="15">
        <v>0.85</v>
      </c>
      <c r="Y44" s="13"/>
      <c r="Z44" s="16">
        <f t="shared" si="57"/>
        <v>27132000</v>
      </c>
      <c r="AA44" s="13"/>
      <c r="AB44" s="16">
        <f t="shared" si="58"/>
        <v>27132000</v>
      </c>
      <c r="AC44" s="13"/>
      <c r="AD44" s="13">
        <f t="shared" si="59"/>
        <v>600</v>
      </c>
      <c r="AE44" s="16">
        <f t="shared" si="60"/>
        <v>11970000</v>
      </c>
      <c r="AF44" s="16">
        <f t="shared" si="61"/>
        <v>5969040</v>
      </c>
      <c r="AG44" s="14"/>
    </row>
    <row r="45" spans="1:33" x14ac:dyDescent="0.2">
      <c r="A45" s="12"/>
      <c r="B45" s="13"/>
      <c r="C45" s="13" t="s">
        <v>32</v>
      </c>
      <c r="D45" s="13">
        <v>0</v>
      </c>
      <c r="E45" s="13">
        <f t="shared" ref="E45:E48" si="62">D45+E44</f>
        <v>5446</v>
      </c>
      <c r="F45" s="13">
        <f t="shared" ref="F45:F48" si="63">F44</f>
        <v>6300</v>
      </c>
      <c r="G45" s="15">
        <v>0.9</v>
      </c>
      <c r="H45" s="13"/>
      <c r="I45" s="16">
        <f t="shared" si="52"/>
        <v>30878820</v>
      </c>
      <c r="J45" s="13"/>
      <c r="K45" s="16">
        <f t="shared" si="53"/>
        <v>30878820</v>
      </c>
      <c r="L45" s="13"/>
      <c r="M45" s="13">
        <f t="shared" si="54"/>
        <v>0</v>
      </c>
      <c r="N45" s="16">
        <f t="shared" si="55"/>
        <v>0</v>
      </c>
      <c r="O45" s="16">
        <f t="shared" si="56"/>
        <v>2161517.4000000004</v>
      </c>
      <c r="P45" s="14"/>
      <c r="R45" s="12"/>
      <c r="S45" s="13"/>
      <c r="T45" s="13" t="s">
        <v>32</v>
      </c>
      <c r="U45" s="13">
        <v>0</v>
      </c>
      <c r="V45" s="13">
        <f t="shared" ref="V45:V48" si="64">U45+V44</f>
        <v>3200</v>
      </c>
      <c r="W45" s="13">
        <f t="shared" ref="W45:W48" si="65">W44</f>
        <v>9975</v>
      </c>
      <c r="X45" s="15">
        <v>0.85</v>
      </c>
      <c r="Y45" s="13"/>
      <c r="Z45" s="16">
        <f t="shared" si="57"/>
        <v>27132000</v>
      </c>
      <c r="AA45" s="13"/>
      <c r="AB45" s="16">
        <f t="shared" si="58"/>
        <v>27132000</v>
      </c>
      <c r="AC45" s="13"/>
      <c r="AD45" s="13">
        <f t="shared" si="59"/>
        <v>0</v>
      </c>
      <c r="AE45" s="16">
        <f t="shared" si="60"/>
        <v>0</v>
      </c>
      <c r="AF45" s="16">
        <f t="shared" si="61"/>
        <v>5969040</v>
      </c>
      <c r="AG45" s="14"/>
    </row>
    <row r="46" spans="1:33" x14ac:dyDescent="0.2">
      <c r="A46" s="12"/>
      <c r="B46" s="13"/>
      <c r="C46" s="13" t="s">
        <v>33</v>
      </c>
      <c r="D46" s="13">
        <v>700</v>
      </c>
      <c r="E46" s="13">
        <f t="shared" si="62"/>
        <v>6146</v>
      </c>
      <c r="F46" s="13">
        <f t="shared" si="63"/>
        <v>6300</v>
      </c>
      <c r="G46" s="15">
        <v>0.9</v>
      </c>
      <c r="H46" s="13"/>
      <c r="I46" s="16">
        <f t="shared" si="52"/>
        <v>34847820</v>
      </c>
      <c r="J46" s="13"/>
      <c r="K46" s="16">
        <f t="shared" si="53"/>
        <v>34847820</v>
      </c>
      <c r="L46" s="13"/>
      <c r="M46" s="13">
        <f t="shared" si="54"/>
        <v>700</v>
      </c>
      <c r="N46" s="16">
        <f t="shared" si="55"/>
        <v>8820000</v>
      </c>
      <c r="O46" s="16">
        <f t="shared" si="56"/>
        <v>2439347.4000000004</v>
      </c>
      <c r="P46" s="14"/>
      <c r="R46" s="12"/>
      <c r="S46" s="13"/>
      <c r="T46" s="13" t="s">
        <v>33</v>
      </c>
      <c r="U46" s="13">
        <v>800</v>
      </c>
      <c r="V46" s="13">
        <f t="shared" si="64"/>
        <v>4000</v>
      </c>
      <c r="W46" s="13">
        <f t="shared" si="65"/>
        <v>9975</v>
      </c>
      <c r="X46" s="15">
        <v>0.85</v>
      </c>
      <c r="Y46" s="13"/>
      <c r="Z46" s="16">
        <f t="shared" si="57"/>
        <v>33915000</v>
      </c>
      <c r="AA46" s="13"/>
      <c r="AB46" s="16">
        <f t="shared" si="58"/>
        <v>33915000</v>
      </c>
      <c r="AC46" s="13"/>
      <c r="AD46" s="13">
        <f t="shared" si="59"/>
        <v>800</v>
      </c>
      <c r="AE46" s="16">
        <f t="shared" si="60"/>
        <v>15960000</v>
      </c>
      <c r="AF46" s="16">
        <f t="shared" si="61"/>
        <v>7461300</v>
      </c>
      <c r="AG46" s="14"/>
    </row>
    <row r="47" spans="1:33" x14ac:dyDescent="0.2">
      <c r="A47" s="12"/>
      <c r="B47" s="13"/>
      <c r="C47" s="13" t="s">
        <v>34</v>
      </c>
      <c r="D47" s="13">
        <v>0</v>
      </c>
      <c r="E47" s="13">
        <f t="shared" si="62"/>
        <v>6146</v>
      </c>
      <c r="F47" s="13">
        <f t="shared" si="63"/>
        <v>6300</v>
      </c>
      <c r="G47" s="15">
        <v>0.9</v>
      </c>
      <c r="H47" s="13"/>
      <c r="I47" s="16">
        <f t="shared" si="52"/>
        <v>34847820</v>
      </c>
      <c r="J47" s="13"/>
      <c r="K47" s="16">
        <f t="shared" si="53"/>
        <v>34847820</v>
      </c>
      <c r="L47" s="13"/>
      <c r="M47" s="13">
        <f t="shared" si="54"/>
        <v>0</v>
      </c>
      <c r="N47" s="16">
        <f t="shared" si="55"/>
        <v>0</v>
      </c>
      <c r="O47" s="16">
        <f t="shared" si="56"/>
        <v>2439347.4000000004</v>
      </c>
      <c r="P47" s="14"/>
      <c r="R47" s="12"/>
      <c r="S47" s="13"/>
      <c r="T47" s="13" t="s">
        <v>34</v>
      </c>
      <c r="U47" s="13">
        <v>0</v>
      </c>
      <c r="V47" s="13">
        <f t="shared" si="64"/>
        <v>4000</v>
      </c>
      <c r="W47" s="13">
        <f t="shared" si="65"/>
        <v>9975</v>
      </c>
      <c r="X47" s="15">
        <v>0.85</v>
      </c>
      <c r="Y47" s="13"/>
      <c r="Z47" s="16">
        <f t="shared" si="57"/>
        <v>33915000</v>
      </c>
      <c r="AA47" s="13"/>
      <c r="AB47" s="16">
        <f t="shared" si="58"/>
        <v>33915000</v>
      </c>
      <c r="AC47" s="13"/>
      <c r="AD47" s="13">
        <f t="shared" si="59"/>
        <v>0</v>
      </c>
      <c r="AE47" s="16">
        <f t="shared" si="60"/>
        <v>0</v>
      </c>
      <c r="AF47" s="16">
        <f t="shared" si="61"/>
        <v>7461300</v>
      </c>
      <c r="AG47" s="14"/>
    </row>
    <row r="48" spans="1:33" x14ac:dyDescent="0.2">
      <c r="A48" s="12"/>
      <c r="B48" s="13"/>
      <c r="C48" s="13" t="s">
        <v>35</v>
      </c>
      <c r="D48" s="13">
        <v>0</v>
      </c>
      <c r="E48" s="13">
        <f t="shared" si="62"/>
        <v>6146</v>
      </c>
      <c r="F48" s="13">
        <f t="shared" si="63"/>
        <v>6300</v>
      </c>
      <c r="G48" s="15">
        <v>0.9</v>
      </c>
      <c r="H48" s="13"/>
      <c r="I48" s="16">
        <f t="shared" si="52"/>
        <v>34847820</v>
      </c>
      <c r="J48" s="13"/>
      <c r="K48" s="16">
        <f t="shared" si="53"/>
        <v>34847820</v>
      </c>
      <c r="L48" s="13"/>
      <c r="M48" s="13">
        <f t="shared" si="54"/>
        <v>0</v>
      </c>
      <c r="N48" s="16">
        <f t="shared" si="55"/>
        <v>0</v>
      </c>
      <c r="O48" s="16">
        <f t="shared" si="56"/>
        <v>2439347.4000000004</v>
      </c>
      <c r="P48" s="14"/>
      <c r="R48" s="12"/>
      <c r="S48" s="13"/>
      <c r="T48" s="13" t="s">
        <v>35</v>
      </c>
      <c r="U48" s="13">
        <v>0</v>
      </c>
      <c r="V48" s="13">
        <f t="shared" si="64"/>
        <v>4000</v>
      </c>
      <c r="W48" s="13">
        <f t="shared" si="65"/>
        <v>9975</v>
      </c>
      <c r="X48" s="15">
        <v>0.85</v>
      </c>
      <c r="Y48" s="13"/>
      <c r="Z48" s="16">
        <f t="shared" si="57"/>
        <v>33915000</v>
      </c>
      <c r="AA48" s="13"/>
      <c r="AB48" s="16">
        <f t="shared" si="58"/>
        <v>33915000</v>
      </c>
      <c r="AC48" s="13"/>
      <c r="AD48" s="13">
        <f t="shared" si="59"/>
        <v>0</v>
      </c>
      <c r="AE48" s="16">
        <f t="shared" si="60"/>
        <v>0</v>
      </c>
      <c r="AF48" s="16">
        <f t="shared" si="61"/>
        <v>7461300</v>
      </c>
      <c r="AG48" s="14"/>
    </row>
    <row r="49" spans="1:33" x14ac:dyDescent="0.2">
      <c r="A49" s="12"/>
      <c r="B49" s="13">
        <f>B27+F48</f>
        <v>6300</v>
      </c>
      <c r="C49" s="13"/>
      <c r="D49" s="13"/>
      <c r="E49" s="13"/>
      <c r="F49" s="13"/>
      <c r="G49" s="13"/>
      <c r="H49" s="13">
        <f>F48*1.05</f>
        <v>6615</v>
      </c>
      <c r="I49" s="16"/>
      <c r="J49" s="13"/>
      <c r="K49" s="16"/>
      <c r="L49" s="19">
        <f>SUM(K33:K48)</f>
        <v>337659840</v>
      </c>
      <c r="M49" s="16"/>
      <c r="N49" s="19">
        <f>SUM(N27:N48)</f>
        <v>72760000</v>
      </c>
      <c r="O49" s="19">
        <f>SUM(O33:O48)</f>
        <v>23636188.799999997</v>
      </c>
      <c r="P49" s="22">
        <f>O49/N49</f>
        <v>0.32485141286421104</v>
      </c>
      <c r="R49" s="12"/>
      <c r="S49" s="13"/>
      <c r="T49" s="13"/>
      <c r="U49" s="13"/>
      <c r="V49" s="13"/>
      <c r="W49" s="13"/>
      <c r="X49" s="13"/>
      <c r="Y49" s="13">
        <f>W48*1.05</f>
        <v>10473.75</v>
      </c>
      <c r="Z49" s="16"/>
      <c r="AA49" s="13"/>
      <c r="AB49" s="16"/>
      <c r="AC49" s="19">
        <f>SUM(AB33:AB48)</f>
        <v>285733875</v>
      </c>
      <c r="AD49" s="16"/>
      <c r="AE49" s="19">
        <f>SUM(AE27:AE48)</f>
        <v>76575000</v>
      </c>
      <c r="AF49" s="19">
        <f>SUM(AF33:AF48)</f>
        <v>62861452.5</v>
      </c>
      <c r="AG49" s="22">
        <f>AF49/AE49</f>
        <v>0.8209135161606268</v>
      </c>
    </row>
    <row r="50" spans="1:33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  <c r="R50" s="23">
        <f>V48</f>
        <v>4000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4"/>
    </row>
    <row r="51" spans="1:33" x14ac:dyDescent="0.2">
      <c r="A51" s="23">
        <f>E48</f>
        <v>6146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R51" s="12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4"/>
    </row>
    <row r="52" spans="1:33" x14ac:dyDescent="0.2">
      <c r="A52" s="12"/>
      <c r="B52" s="13"/>
      <c r="C52" s="20" t="s">
        <v>5</v>
      </c>
      <c r="D52" s="20"/>
      <c r="E52" s="20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R52" s="12"/>
      <c r="S52" s="13"/>
      <c r="T52" s="20" t="s">
        <v>5</v>
      </c>
      <c r="U52" s="20"/>
      <c r="V52" s="20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4"/>
    </row>
    <row r="53" spans="1:33" x14ac:dyDescent="0.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R53" s="12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4"/>
    </row>
    <row r="54" spans="1:33" x14ac:dyDescent="0.2">
      <c r="A54" s="12"/>
      <c r="B54" s="13"/>
      <c r="C54" s="13" t="s">
        <v>16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5">
        <v>0.1</v>
      </c>
      <c r="P54" s="14"/>
      <c r="R54" s="12"/>
      <c r="S54" s="13"/>
      <c r="T54" s="13" t="s">
        <v>16</v>
      </c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5">
        <v>0.25</v>
      </c>
      <c r="AG54" s="14"/>
    </row>
    <row r="55" spans="1:33" x14ac:dyDescent="0.2">
      <c r="A55" s="12"/>
      <c r="B55" s="13"/>
      <c r="C55" s="13" t="s">
        <v>24</v>
      </c>
      <c r="D55" s="13">
        <v>0</v>
      </c>
      <c r="E55" s="13">
        <f>E48</f>
        <v>6146</v>
      </c>
      <c r="F55" s="13">
        <f>H49</f>
        <v>6615</v>
      </c>
      <c r="G55" s="15">
        <v>0.9</v>
      </c>
      <c r="H55" s="13"/>
      <c r="I55" s="16">
        <f t="shared" ref="I55" si="66">D55*F55*G55</f>
        <v>0</v>
      </c>
      <c r="J55" s="13"/>
      <c r="K55" s="16">
        <f t="shared" ref="K55:K60" si="67">E55*F55*G55</f>
        <v>36590211</v>
      </c>
      <c r="L55" s="13"/>
      <c r="M55" s="13">
        <f>D55</f>
        <v>0</v>
      </c>
      <c r="N55" s="16">
        <f t="shared" ref="N55" si="68">M55*F55*2</f>
        <v>0</v>
      </c>
      <c r="O55" s="16">
        <f>K55*$O$54</f>
        <v>3659021.1</v>
      </c>
      <c r="P55" s="14"/>
      <c r="R55" s="12"/>
      <c r="S55" s="13"/>
      <c r="T55" s="13" t="s">
        <v>24</v>
      </c>
      <c r="U55" s="13">
        <v>0</v>
      </c>
      <c r="V55" s="13">
        <f>V48</f>
        <v>4000</v>
      </c>
      <c r="W55" s="24">
        <f>Y49</f>
        <v>10473.75</v>
      </c>
      <c r="X55" s="15">
        <v>0.85</v>
      </c>
      <c r="Y55" s="13"/>
      <c r="Z55" s="16">
        <f t="shared" ref="Z55" si="69">U55*W55*X55</f>
        <v>0</v>
      </c>
      <c r="AA55" s="13"/>
      <c r="AB55" s="16">
        <f t="shared" ref="AB55:AB60" si="70">V55*W55*X55</f>
        <v>35610750</v>
      </c>
      <c r="AC55" s="13"/>
      <c r="AD55" s="13">
        <f>U55</f>
        <v>0</v>
      </c>
      <c r="AE55" s="16">
        <f t="shared" ref="AE55" si="71">AD55*W55*2</f>
        <v>0</v>
      </c>
      <c r="AF55" s="16">
        <f>AB55*$AF$54</f>
        <v>8902687.5</v>
      </c>
      <c r="AG55" s="14"/>
    </row>
    <row r="56" spans="1:33" x14ac:dyDescent="0.2">
      <c r="A56" s="12"/>
      <c r="B56" s="13"/>
      <c r="C56" s="13" t="s">
        <v>25</v>
      </c>
      <c r="D56" s="13">
        <v>2000</v>
      </c>
      <c r="E56" s="13">
        <f>D56+E55</f>
        <v>8146</v>
      </c>
      <c r="F56" s="13">
        <f>F55</f>
        <v>6615</v>
      </c>
      <c r="G56" s="15">
        <v>0.9</v>
      </c>
      <c r="H56" s="13"/>
      <c r="I56" s="16">
        <f t="shared" ref="I56:I60" si="72">E56*F56*G56</f>
        <v>48497211</v>
      </c>
      <c r="J56" s="13"/>
      <c r="K56" s="16">
        <f t="shared" si="67"/>
        <v>48497211</v>
      </c>
      <c r="L56" s="13"/>
      <c r="M56" s="13">
        <f t="shared" ref="M56:M60" si="73">D56</f>
        <v>2000</v>
      </c>
      <c r="N56" s="16">
        <f>M56*F56*2</f>
        <v>26460000</v>
      </c>
      <c r="O56" s="16">
        <f t="shared" ref="O56:O60" si="74">K56*$O$54</f>
        <v>4849721.1000000006</v>
      </c>
      <c r="P56" s="14"/>
      <c r="R56" s="12"/>
      <c r="S56" s="13"/>
      <c r="T56" s="13" t="s">
        <v>25</v>
      </c>
      <c r="U56" s="13">
        <v>1500</v>
      </c>
      <c r="V56" s="13">
        <f>U56+V55</f>
        <v>5500</v>
      </c>
      <c r="W56" s="24">
        <f>W55</f>
        <v>10473.75</v>
      </c>
      <c r="X56" s="15">
        <v>0.85</v>
      </c>
      <c r="Y56" s="13"/>
      <c r="Z56" s="16">
        <f t="shared" ref="Z56:Z60" si="75">V56*W56*X56</f>
        <v>48964781.25</v>
      </c>
      <c r="AA56" s="13"/>
      <c r="AB56" s="16">
        <f t="shared" si="70"/>
        <v>48964781.25</v>
      </c>
      <c r="AC56" s="13"/>
      <c r="AD56" s="13">
        <f t="shared" ref="AD56:AD60" si="76">U56</f>
        <v>1500</v>
      </c>
      <c r="AE56" s="16">
        <f>AD56*W56*2</f>
        <v>31421250</v>
      </c>
      <c r="AF56" s="16">
        <f t="shared" ref="AF56:AF60" si="77">AB56*$AF$54</f>
        <v>12241195.3125</v>
      </c>
      <c r="AG56" s="14"/>
    </row>
    <row r="57" spans="1:33" x14ac:dyDescent="0.2">
      <c r="A57" s="12"/>
      <c r="B57" s="13"/>
      <c r="C57" s="13" t="s">
        <v>26</v>
      </c>
      <c r="D57" s="13">
        <v>0</v>
      </c>
      <c r="E57" s="13">
        <f t="shared" ref="E57:E60" si="78">D57+E56</f>
        <v>8146</v>
      </c>
      <c r="F57" s="13">
        <f t="shared" ref="F57:F60" si="79">F56</f>
        <v>6615</v>
      </c>
      <c r="G57" s="15">
        <v>0.9</v>
      </c>
      <c r="H57" s="13"/>
      <c r="I57" s="16">
        <f t="shared" si="72"/>
        <v>48497211</v>
      </c>
      <c r="J57" s="13"/>
      <c r="K57" s="16">
        <f t="shared" si="67"/>
        <v>48497211</v>
      </c>
      <c r="L57" s="13"/>
      <c r="M57" s="13">
        <f t="shared" si="73"/>
        <v>0</v>
      </c>
      <c r="N57" s="16">
        <f t="shared" ref="N57:N60" si="80">M57*F57*2</f>
        <v>0</v>
      </c>
      <c r="O57" s="16">
        <f t="shared" si="74"/>
        <v>4849721.1000000006</v>
      </c>
      <c r="P57" s="14"/>
      <c r="R57" s="12"/>
      <c r="S57" s="13"/>
      <c r="T57" s="13" t="s">
        <v>26</v>
      </c>
      <c r="U57" s="13">
        <v>0</v>
      </c>
      <c r="V57" s="13">
        <f t="shared" ref="V57:V60" si="81">U57+V56</f>
        <v>5500</v>
      </c>
      <c r="W57" s="24">
        <f t="shared" ref="W57:W60" si="82">W56</f>
        <v>10473.75</v>
      </c>
      <c r="X57" s="15">
        <v>0.85</v>
      </c>
      <c r="Y57" s="13"/>
      <c r="Z57" s="16">
        <f t="shared" si="75"/>
        <v>48964781.25</v>
      </c>
      <c r="AA57" s="13"/>
      <c r="AB57" s="16">
        <f t="shared" si="70"/>
        <v>48964781.25</v>
      </c>
      <c r="AC57" s="13"/>
      <c r="AD57" s="13">
        <f t="shared" si="76"/>
        <v>0</v>
      </c>
      <c r="AE57" s="16">
        <f t="shared" ref="AE57:AE60" si="83">AD57*W57*2</f>
        <v>0</v>
      </c>
      <c r="AF57" s="16">
        <f t="shared" si="77"/>
        <v>12241195.3125</v>
      </c>
      <c r="AG57" s="14"/>
    </row>
    <row r="58" spans="1:33" x14ac:dyDescent="0.2">
      <c r="A58" s="12"/>
      <c r="B58" s="13"/>
      <c r="C58" s="13" t="s">
        <v>27</v>
      </c>
      <c r="D58" s="13">
        <v>0</v>
      </c>
      <c r="E58" s="13">
        <f t="shared" si="78"/>
        <v>8146</v>
      </c>
      <c r="F58" s="13">
        <f t="shared" si="79"/>
        <v>6615</v>
      </c>
      <c r="G58" s="15">
        <v>0.9</v>
      </c>
      <c r="H58" s="13"/>
      <c r="I58" s="16">
        <f t="shared" si="72"/>
        <v>48497211</v>
      </c>
      <c r="J58" s="13"/>
      <c r="K58" s="16">
        <f t="shared" si="67"/>
        <v>48497211</v>
      </c>
      <c r="L58" s="13"/>
      <c r="M58" s="13">
        <f t="shared" si="73"/>
        <v>0</v>
      </c>
      <c r="N58" s="16">
        <f t="shared" si="80"/>
        <v>0</v>
      </c>
      <c r="O58" s="16">
        <f t="shared" si="74"/>
        <v>4849721.1000000006</v>
      </c>
      <c r="P58" s="14"/>
      <c r="R58" s="12"/>
      <c r="S58" s="13"/>
      <c r="T58" s="13" t="s">
        <v>27</v>
      </c>
      <c r="U58" s="13">
        <v>0</v>
      </c>
      <c r="V58" s="13">
        <f t="shared" si="81"/>
        <v>5500</v>
      </c>
      <c r="W58" s="24">
        <f t="shared" si="82"/>
        <v>10473.75</v>
      </c>
      <c r="X58" s="15">
        <v>0.85</v>
      </c>
      <c r="Y58" s="13"/>
      <c r="Z58" s="16">
        <f t="shared" si="75"/>
        <v>48964781.25</v>
      </c>
      <c r="AA58" s="13"/>
      <c r="AB58" s="16">
        <f t="shared" si="70"/>
        <v>48964781.25</v>
      </c>
      <c r="AC58" s="13"/>
      <c r="AD58" s="13">
        <f t="shared" si="76"/>
        <v>0</v>
      </c>
      <c r="AE58" s="16">
        <f t="shared" si="83"/>
        <v>0</v>
      </c>
      <c r="AF58" s="16">
        <f t="shared" si="77"/>
        <v>12241195.3125</v>
      </c>
      <c r="AG58" s="14"/>
    </row>
    <row r="59" spans="1:33" x14ac:dyDescent="0.2">
      <c r="A59" s="12"/>
      <c r="B59" s="13"/>
      <c r="C59" s="13" t="s">
        <v>28</v>
      </c>
      <c r="D59" s="13">
        <v>3000</v>
      </c>
      <c r="E59" s="13">
        <f t="shared" si="78"/>
        <v>11146</v>
      </c>
      <c r="F59" s="13">
        <f t="shared" si="79"/>
        <v>6615</v>
      </c>
      <c r="G59" s="15">
        <v>0.9</v>
      </c>
      <c r="H59" s="13"/>
      <c r="I59" s="16">
        <f t="shared" si="72"/>
        <v>66357711</v>
      </c>
      <c r="J59" s="13"/>
      <c r="K59" s="16">
        <f t="shared" si="67"/>
        <v>66357711</v>
      </c>
      <c r="L59" s="13"/>
      <c r="M59" s="13">
        <f t="shared" si="73"/>
        <v>3000</v>
      </c>
      <c r="N59" s="16">
        <f t="shared" si="80"/>
        <v>39690000</v>
      </c>
      <c r="O59" s="16">
        <f t="shared" si="74"/>
        <v>6635771.1000000006</v>
      </c>
      <c r="P59" s="14"/>
      <c r="R59" s="12"/>
      <c r="S59" s="13"/>
      <c r="T59" s="13" t="s">
        <v>28</v>
      </c>
      <c r="U59" s="13">
        <v>1500</v>
      </c>
      <c r="V59" s="13">
        <f t="shared" si="81"/>
        <v>7000</v>
      </c>
      <c r="W59" s="24">
        <f t="shared" si="82"/>
        <v>10473.75</v>
      </c>
      <c r="X59" s="15">
        <v>0.85</v>
      </c>
      <c r="Y59" s="13"/>
      <c r="Z59" s="16">
        <f t="shared" si="75"/>
        <v>62318812.5</v>
      </c>
      <c r="AA59" s="13"/>
      <c r="AB59" s="16">
        <f t="shared" si="70"/>
        <v>62318812.5</v>
      </c>
      <c r="AC59" s="13"/>
      <c r="AD59" s="13">
        <f t="shared" si="76"/>
        <v>1500</v>
      </c>
      <c r="AE59" s="16">
        <f t="shared" si="83"/>
        <v>31421250</v>
      </c>
      <c r="AF59" s="16">
        <f t="shared" si="77"/>
        <v>15579703.125</v>
      </c>
      <c r="AG59" s="14"/>
    </row>
    <row r="60" spans="1:33" x14ac:dyDescent="0.2">
      <c r="A60" s="12"/>
      <c r="B60" s="13"/>
      <c r="C60" s="13" t="s">
        <v>29</v>
      </c>
      <c r="D60" s="13">
        <v>0</v>
      </c>
      <c r="E60" s="13">
        <f t="shared" si="78"/>
        <v>11146</v>
      </c>
      <c r="F60" s="13">
        <f t="shared" si="79"/>
        <v>6615</v>
      </c>
      <c r="G60" s="15">
        <v>0.9</v>
      </c>
      <c r="H60" s="13"/>
      <c r="I60" s="16">
        <f t="shared" si="72"/>
        <v>66357711</v>
      </c>
      <c r="J60" s="13"/>
      <c r="K60" s="16">
        <f t="shared" si="67"/>
        <v>66357711</v>
      </c>
      <c r="L60" s="13"/>
      <c r="M60" s="13">
        <f t="shared" si="73"/>
        <v>0</v>
      </c>
      <c r="N60" s="16">
        <f t="shared" si="80"/>
        <v>0</v>
      </c>
      <c r="O60" s="16">
        <f t="shared" si="74"/>
        <v>6635771.1000000006</v>
      </c>
      <c r="P60" s="14"/>
      <c r="R60" s="12"/>
      <c r="S60" s="13"/>
      <c r="T60" s="13" t="s">
        <v>29</v>
      </c>
      <c r="U60" s="13">
        <v>0</v>
      </c>
      <c r="V60" s="13">
        <f t="shared" si="81"/>
        <v>7000</v>
      </c>
      <c r="W60" s="24">
        <f t="shared" si="82"/>
        <v>10473.75</v>
      </c>
      <c r="X60" s="15">
        <v>0.85</v>
      </c>
      <c r="Y60" s="13"/>
      <c r="Z60" s="16">
        <f t="shared" si="75"/>
        <v>62318812.5</v>
      </c>
      <c r="AA60" s="13"/>
      <c r="AB60" s="16">
        <f t="shared" si="70"/>
        <v>62318812.5</v>
      </c>
      <c r="AC60" s="13"/>
      <c r="AD60" s="13">
        <f t="shared" si="76"/>
        <v>0</v>
      </c>
      <c r="AE60" s="16">
        <f t="shared" si="83"/>
        <v>0</v>
      </c>
      <c r="AF60" s="16">
        <f t="shared" si="77"/>
        <v>15579703.125</v>
      </c>
      <c r="AG60" s="14"/>
    </row>
    <row r="61" spans="1:33" x14ac:dyDescent="0.2">
      <c r="A61" s="12"/>
      <c r="B61" s="13"/>
      <c r="C61" s="13"/>
      <c r="D61" s="13"/>
      <c r="E61" s="13"/>
      <c r="F61" s="13"/>
      <c r="G61" s="13"/>
      <c r="H61" s="13"/>
      <c r="I61" s="16"/>
      <c r="J61" s="13"/>
      <c r="K61" s="13"/>
      <c r="L61" s="13"/>
      <c r="M61" s="13"/>
      <c r="N61" s="13"/>
      <c r="O61" s="13"/>
      <c r="P61" s="14"/>
      <c r="R61" s="12"/>
      <c r="S61" s="13"/>
      <c r="T61" s="13"/>
      <c r="U61" s="13"/>
      <c r="V61" s="13"/>
      <c r="W61" s="24"/>
      <c r="X61" s="13"/>
      <c r="Y61" s="13"/>
      <c r="Z61" s="16"/>
      <c r="AA61" s="13"/>
      <c r="AB61" s="13"/>
      <c r="AC61" s="13"/>
      <c r="AD61" s="13"/>
      <c r="AE61" s="13"/>
      <c r="AF61" s="13"/>
      <c r="AG61" s="14"/>
    </row>
    <row r="62" spans="1:33" x14ac:dyDescent="0.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  <c r="R62" s="12"/>
      <c r="S62" s="13"/>
      <c r="T62" s="13"/>
      <c r="U62" s="13"/>
      <c r="V62" s="13"/>
      <c r="W62" s="24"/>
      <c r="X62" s="13"/>
      <c r="Y62" s="13"/>
      <c r="Z62" s="13"/>
      <c r="AA62" s="13"/>
      <c r="AB62" s="13"/>
      <c r="AC62" s="13"/>
      <c r="AD62" s="13"/>
      <c r="AE62" s="13"/>
      <c r="AF62" s="13"/>
      <c r="AG62" s="14"/>
    </row>
    <row r="63" spans="1:33" x14ac:dyDescent="0.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  <c r="R63" s="12"/>
      <c r="S63" s="13"/>
      <c r="T63" s="13"/>
      <c r="U63" s="13"/>
      <c r="V63" s="13"/>
      <c r="W63" s="24"/>
      <c r="X63" s="13"/>
      <c r="Y63" s="13"/>
      <c r="Z63" s="13"/>
      <c r="AA63" s="13"/>
      <c r="AB63" s="13"/>
      <c r="AC63" s="13"/>
      <c r="AD63" s="13"/>
      <c r="AE63" s="13"/>
      <c r="AF63" s="13"/>
      <c r="AG63" s="14"/>
    </row>
    <row r="64" spans="1:33" x14ac:dyDescent="0.2">
      <c r="A64" s="12"/>
      <c r="B64" s="13"/>
      <c r="C64" s="13" t="s">
        <v>17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  <c r="R64" s="12"/>
      <c r="S64" s="13"/>
      <c r="T64" s="13" t="s">
        <v>17</v>
      </c>
      <c r="U64" s="13"/>
      <c r="V64" s="13"/>
      <c r="W64" s="24"/>
      <c r="X64" s="13"/>
      <c r="Y64" s="13"/>
      <c r="Z64" s="13"/>
      <c r="AA64" s="13"/>
      <c r="AB64" s="13"/>
      <c r="AC64" s="13"/>
      <c r="AD64" s="13"/>
      <c r="AE64" s="13"/>
      <c r="AF64" s="13"/>
      <c r="AG64" s="14"/>
    </row>
    <row r="65" spans="1:34" x14ac:dyDescent="0.2">
      <c r="A65" s="12"/>
      <c r="B65" s="13"/>
      <c r="C65" s="13" t="s">
        <v>30</v>
      </c>
      <c r="D65" s="13">
        <v>0</v>
      </c>
      <c r="E65" s="13">
        <f>D65+E60</f>
        <v>11146</v>
      </c>
      <c r="F65" s="13">
        <f>F60</f>
        <v>6615</v>
      </c>
      <c r="G65" s="15">
        <v>0.9</v>
      </c>
      <c r="H65" s="13"/>
      <c r="I65" s="16">
        <f t="shared" ref="I65:I70" si="84">E65*F65*G65</f>
        <v>66357711</v>
      </c>
      <c r="J65" s="13"/>
      <c r="K65" s="16">
        <f t="shared" ref="K65:K70" si="85">E65*F65*G65</f>
        <v>66357711</v>
      </c>
      <c r="L65" s="13"/>
      <c r="M65" s="13">
        <f t="shared" ref="M65:M70" si="86">D65</f>
        <v>0</v>
      </c>
      <c r="N65" s="16">
        <f t="shared" ref="N65:N70" si="87">M65*F65*2</f>
        <v>0</v>
      </c>
      <c r="O65" s="16">
        <f t="shared" ref="O65:O70" si="88">K65*$O$54</f>
        <v>6635771.1000000006</v>
      </c>
      <c r="P65" s="14"/>
      <c r="R65" s="12"/>
      <c r="S65" s="13"/>
      <c r="T65" s="13" t="s">
        <v>30</v>
      </c>
      <c r="U65" s="13">
        <v>0</v>
      </c>
      <c r="V65" s="13">
        <f>U65+V60</f>
        <v>7000</v>
      </c>
      <c r="W65" s="24">
        <f>W60</f>
        <v>10473.75</v>
      </c>
      <c r="X65" s="15">
        <v>0.85</v>
      </c>
      <c r="Y65" s="13"/>
      <c r="Z65" s="16">
        <f t="shared" ref="Z65:Z70" si="89">V65*W65*X65</f>
        <v>62318812.5</v>
      </c>
      <c r="AA65" s="13"/>
      <c r="AB65" s="16">
        <f t="shared" ref="AB65:AB70" si="90">V65*W65*X65</f>
        <v>62318812.5</v>
      </c>
      <c r="AC65" s="13"/>
      <c r="AD65" s="13">
        <f t="shared" ref="AD65:AD70" si="91">U65</f>
        <v>0</v>
      </c>
      <c r="AE65" s="16">
        <f t="shared" ref="AE65:AE70" si="92">AD65*W65*2</f>
        <v>0</v>
      </c>
      <c r="AF65" s="16">
        <f t="shared" ref="AF65:AF70" si="93">AB65*$AF$54</f>
        <v>15579703.125</v>
      </c>
      <c r="AG65" s="14"/>
    </row>
    <row r="66" spans="1:34" x14ac:dyDescent="0.2">
      <c r="A66" s="12"/>
      <c r="B66" s="13"/>
      <c r="C66" s="13" t="s">
        <v>31</v>
      </c>
      <c r="D66" s="13">
        <v>3000</v>
      </c>
      <c r="E66" s="13">
        <f>D66+E65</f>
        <v>14146</v>
      </c>
      <c r="F66" s="13">
        <f>F65</f>
        <v>6615</v>
      </c>
      <c r="G66" s="15">
        <v>0.9</v>
      </c>
      <c r="H66" s="13"/>
      <c r="I66" s="16">
        <f t="shared" si="84"/>
        <v>84218211</v>
      </c>
      <c r="J66" s="13"/>
      <c r="K66" s="16">
        <f t="shared" si="85"/>
        <v>84218211</v>
      </c>
      <c r="L66" s="13"/>
      <c r="M66" s="13">
        <f t="shared" si="86"/>
        <v>3000</v>
      </c>
      <c r="N66" s="16">
        <f t="shared" si="87"/>
        <v>39690000</v>
      </c>
      <c r="O66" s="16">
        <f t="shared" si="88"/>
        <v>8421821.0999999996</v>
      </c>
      <c r="P66" s="14"/>
      <c r="R66" s="12"/>
      <c r="S66" s="13"/>
      <c r="T66" s="13" t="s">
        <v>31</v>
      </c>
      <c r="U66" s="13">
        <v>2500</v>
      </c>
      <c r="V66" s="13">
        <f>U66+V65</f>
        <v>9500</v>
      </c>
      <c r="W66" s="24">
        <f>W65</f>
        <v>10473.75</v>
      </c>
      <c r="X66" s="15">
        <v>0.85</v>
      </c>
      <c r="Y66" s="13"/>
      <c r="Z66" s="16">
        <f t="shared" si="89"/>
        <v>84575531.25</v>
      </c>
      <c r="AA66" s="13"/>
      <c r="AB66" s="16">
        <f t="shared" si="90"/>
        <v>84575531.25</v>
      </c>
      <c r="AC66" s="13"/>
      <c r="AD66" s="13">
        <f t="shared" si="91"/>
        <v>2500</v>
      </c>
      <c r="AE66" s="16">
        <f t="shared" si="92"/>
        <v>52368750</v>
      </c>
      <c r="AF66" s="16">
        <f t="shared" si="93"/>
        <v>21143882.8125</v>
      </c>
      <c r="AG66" s="14"/>
    </row>
    <row r="67" spans="1:34" x14ac:dyDescent="0.2">
      <c r="A67" s="12"/>
      <c r="B67" s="13"/>
      <c r="C67" s="13" t="s">
        <v>32</v>
      </c>
      <c r="D67" s="13">
        <v>0</v>
      </c>
      <c r="E67" s="13">
        <f t="shared" ref="E67:E70" si="94">D67+E66</f>
        <v>14146</v>
      </c>
      <c r="F67" s="13">
        <f t="shared" ref="F67:F70" si="95">F66</f>
        <v>6615</v>
      </c>
      <c r="G67" s="15">
        <v>0.9</v>
      </c>
      <c r="H67" s="13"/>
      <c r="I67" s="16">
        <f t="shared" si="84"/>
        <v>84218211</v>
      </c>
      <c r="J67" s="13"/>
      <c r="K67" s="16">
        <f t="shared" si="85"/>
        <v>84218211</v>
      </c>
      <c r="L67" s="13"/>
      <c r="M67" s="13">
        <f t="shared" si="86"/>
        <v>0</v>
      </c>
      <c r="N67" s="16">
        <f t="shared" si="87"/>
        <v>0</v>
      </c>
      <c r="O67" s="16">
        <f t="shared" si="88"/>
        <v>8421821.0999999996</v>
      </c>
      <c r="P67" s="14"/>
      <c r="R67" s="12"/>
      <c r="S67" s="13"/>
      <c r="T67" s="13" t="s">
        <v>32</v>
      </c>
      <c r="U67" s="13">
        <v>0</v>
      </c>
      <c r="V67" s="13">
        <f t="shared" ref="V67:V70" si="96">U67+V66</f>
        <v>9500</v>
      </c>
      <c r="W67" s="24">
        <f t="shared" ref="W67:W70" si="97">W66</f>
        <v>10473.75</v>
      </c>
      <c r="X67" s="15">
        <v>0.85</v>
      </c>
      <c r="Y67" s="13"/>
      <c r="Z67" s="16">
        <f t="shared" si="89"/>
        <v>84575531.25</v>
      </c>
      <c r="AA67" s="13"/>
      <c r="AB67" s="16">
        <f t="shared" si="90"/>
        <v>84575531.25</v>
      </c>
      <c r="AC67" s="13"/>
      <c r="AD67" s="13">
        <f t="shared" si="91"/>
        <v>0</v>
      </c>
      <c r="AE67" s="16">
        <f t="shared" si="92"/>
        <v>0</v>
      </c>
      <c r="AF67" s="16">
        <f t="shared" si="93"/>
        <v>21143882.8125</v>
      </c>
      <c r="AG67" s="14"/>
    </row>
    <row r="68" spans="1:34" x14ac:dyDescent="0.2">
      <c r="A68" s="12"/>
      <c r="B68" s="13"/>
      <c r="C68" s="13" t="s">
        <v>33</v>
      </c>
      <c r="D68" s="13">
        <v>4000</v>
      </c>
      <c r="E68" s="13">
        <f t="shared" si="94"/>
        <v>18146</v>
      </c>
      <c r="F68" s="13">
        <f t="shared" si="95"/>
        <v>6615</v>
      </c>
      <c r="G68" s="15">
        <v>0.9</v>
      </c>
      <c r="H68" s="13"/>
      <c r="I68" s="16">
        <f t="shared" si="84"/>
        <v>108032211</v>
      </c>
      <c r="J68" s="13"/>
      <c r="K68" s="16">
        <f t="shared" si="85"/>
        <v>108032211</v>
      </c>
      <c r="L68" s="13"/>
      <c r="M68" s="13">
        <f t="shared" si="86"/>
        <v>4000</v>
      </c>
      <c r="N68" s="16">
        <f t="shared" si="87"/>
        <v>52920000</v>
      </c>
      <c r="O68" s="16">
        <f t="shared" si="88"/>
        <v>10803221.100000001</v>
      </c>
      <c r="P68" s="14"/>
      <c r="R68" s="12"/>
      <c r="S68" s="13"/>
      <c r="T68" s="13" t="s">
        <v>33</v>
      </c>
      <c r="U68" s="13">
        <v>2500</v>
      </c>
      <c r="V68" s="13">
        <f t="shared" si="96"/>
        <v>12000</v>
      </c>
      <c r="W68" s="24">
        <f t="shared" si="97"/>
        <v>10473.75</v>
      </c>
      <c r="X68" s="15">
        <v>0.85</v>
      </c>
      <c r="Y68" s="13"/>
      <c r="Z68" s="16">
        <f t="shared" si="89"/>
        <v>106832250</v>
      </c>
      <c r="AA68" s="13"/>
      <c r="AB68" s="16">
        <f t="shared" si="90"/>
        <v>106832250</v>
      </c>
      <c r="AC68" s="13"/>
      <c r="AD68" s="13">
        <f t="shared" si="91"/>
        <v>2500</v>
      </c>
      <c r="AE68" s="16">
        <f t="shared" si="92"/>
        <v>52368750</v>
      </c>
      <c r="AF68" s="16">
        <f t="shared" si="93"/>
        <v>26708062.5</v>
      </c>
      <c r="AG68" s="14"/>
    </row>
    <row r="69" spans="1:34" x14ac:dyDescent="0.2">
      <c r="A69" s="12"/>
      <c r="B69" s="13"/>
      <c r="C69" s="13" t="s">
        <v>34</v>
      </c>
      <c r="D69" s="13">
        <v>0</v>
      </c>
      <c r="E69" s="13">
        <f t="shared" si="94"/>
        <v>18146</v>
      </c>
      <c r="F69" s="13">
        <f t="shared" si="95"/>
        <v>6615</v>
      </c>
      <c r="G69" s="15">
        <v>0.9</v>
      </c>
      <c r="H69" s="13"/>
      <c r="I69" s="16">
        <f t="shared" si="84"/>
        <v>108032211</v>
      </c>
      <c r="J69" s="13"/>
      <c r="K69" s="16">
        <f t="shared" si="85"/>
        <v>108032211</v>
      </c>
      <c r="L69" s="13"/>
      <c r="M69" s="13">
        <f t="shared" si="86"/>
        <v>0</v>
      </c>
      <c r="N69" s="16">
        <f t="shared" si="87"/>
        <v>0</v>
      </c>
      <c r="O69" s="16">
        <f t="shared" si="88"/>
        <v>10803221.100000001</v>
      </c>
      <c r="P69" s="14"/>
      <c r="R69" s="12"/>
      <c r="S69" s="13"/>
      <c r="T69" s="13" t="s">
        <v>34</v>
      </c>
      <c r="U69" s="13">
        <v>0</v>
      </c>
      <c r="V69" s="13">
        <f t="shared" si="96"/>
        <v>12000</v>
      </c>
      <c r="W69" s="24">
        <f t="shared" si="97"/>
        <v>10473.75</v>
      </c>
      <c r="X69" s="15">
        <v>0.85</v>
      </c>
      <c r="Y69" s="13"/>
      <c r="Z69" s="16">
        <f t="shared" si="89"/>
        <v>106832250</v>
      </c>
      <c r="AA69" s="13"/>
      <c r="AB69" s="16">
        <f t="shared" si="90"/>
        <v>106832250</v>
      </c>
      <c r="AC69" s="13"/>
      <c r="AD69" s="13">
        <f t="shared" si="91"/>
        <v>0</v>
      </c>
      <c r="AE69" s="16">
        <f t="shared" si="92"/>
        <v>0</v>
      </c>
      <c r="AF69" s="16">
        <f t="shared" si="93"/>
        <v>26708062.5</v>
      </c>
      <c r="AG69" s="14"/>
    </row>
    <row r="70" spans="1:34" x14ac:dyDescent="0.2">
      <c r="A70" s="12"/>
      <c r="B70" s="13"/>
      <c r="C70" s="13" t="s">
        <v>35</v>
      </c>
      <c r="D70" s="13">
        <v>0</v>
      </c>
      <c r="E70" s="13">
        <f t="shared" si="94"/>
        <v>18146</v>
      </c>
      <c r="F70" s="13">
        <f t="shared" si="95"/>
        <v>6615</v>
      </c>
      <c r="G70" s="15">
        <v>0.9</v>
      </c>
      <c r="H70" s="13"/>
      <c r="I70" s="16">
        <f t="shared" si="84"/>
        <v>108032211</v>
      </c>
      <c r="J70" s="13"/>
      <c r="K70" s="16">
        <f t="shared" si="85"/>
        <v>108032211</v>
      </c>
      <c r="L70" s="13"/>
      <c r="M70" s="13">
        <f t="shared" si="86"/>
        <v>0</v>
      </c>
      <c r="N70" s="16">
        <f t="shared" si="87"/>
        <v>0</v>
      </c>
      <c r="O70" s="16">
        <f t="shared" si="88"/>
        <v>10803221.100000001</v>
      </c>
      <c r="P70" s="14"/>
      <c r="R70" s="12"/>
      <c r="S70" s="13"/>
      <c r="T70" s="13" t="s">
        <v>35</v>
      </c>
      <c r="U70" s="13">
        <v>0</v>
      </c>
      <c r="V70" s="13">
        <f t="shared" si="96"/>
        <v>12000</v>
      </c>
      <c r="W70" s="24">
        <f t="shared" si="97"/>
        <v>10473.75</v>
      </c>
      <c r="X70" s="15">
        <v>0.85</v>
      </c>
      <c r="Y70" s="13"/>
      <c r="Z70" s="16">
        <f t="shared" si="89"/>
        <v>106832250</v>
      </c>
      <c r="AA70" s="13"/>
      <c r="AB70" s="16">
        <f t="shared" si="90"/>
        <v>106832250</v>
      </c>
      <c r="AC70" s="13"/>
      <c r="AD70" s="13">
        <f t="shared" si="91"/>
        <v>0</v>
      </c>
      <c r="AE70" s="16">
        <f t="shared" si="92"/>
        <v>0</v>
      </c>
      <c r="AF70" s="16">
        <f t="shared" si="93"/>
        <v>26708062.5</v>
      </c>
      <c r="AG70" s="14"/>
    </row>
    <row r="71" spans="1:34" x14ac:dyDescent="0.2">
      <c r="A71" s="12"/>
      <c r="B71" s="13">
        <f>B49+F70</f>
        <v>12915</v>
      </c>
      <c r="C71" s="13"/>
      <c r="D71" s="13"/>
      <c r="E71" s="13"/>
      <c r="F71" s="13"/>
      <c r="G71" s="13"/>
      <c r="H71" s="13">
        <f>F70*1.05</f>
        <v>6945.75</v>
      </c>
      <c r="I71" s="16"/>
      <c r="J71" s="13"/>
      <c r="K71" s="16"/>
      <c r="L71" s="19">
        <f>SUM(K55:K70)</f>
        <v>873688032</v>
      </c>
      <c r="M71" s="16"/>
      <c r="N71" s="19">
        <f>SUM(N49:N70)</f>
        <v>231520000</v>
      </c>
      <c r="O71" s="19">
        <f>SUM(O55:O70)</f>
        <v>87368803.200000018</v>
      </c>
      <c r="P71" s="22">
        <f>O71/N71</f>
        <v>0.37737043538355225</v>
      </c>
      <c r="Q71" s="3"/>
      <c r="R71" s="28"/>
      <c r="S71" s="13"/>
      <c r="T71" s="13"/>
      <c r="U71" s="13"/>
      <c r="V71" s="13"/>
      <c r="W71" s="24"/>
      <c r="X71" s="13"/>
      <c r="Y71" s="13">
        <f>W70*1.05</f>
        <v>10997.4375</v>
      </c>
      <c r="Z71" s="16"/>
      <c r="AA71" s="13"/>
      <c r="AB71" s="16"/>
      <c r="AC71" s="19">
        <f>SUM(AB55:AB70)</f>
        <v>859109343.75</v>
      </c>
      <c r="AD71" s="16"/>
      <c r="AE71" s="19">
        <f>SUM(AE49:AE70)</f>
        <v>244155000</v>
      </c>
      <c r="AF71" s="19">
        <f>SUM(AF55:AF70)</f>
        <v>214777335.9375</v>
      </c>
      <c r="AG71" s="22">
        <f>AF71/AE71</f>
        <v>0.87967617266695342</v>
      </c>
      <c r="AH71" s="3"/>
    </row>
    <row r="72" spans="1:34" x14ac:dyDescent="0.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  <c r="R72" s="23">
        <f>V70</f>
        <v>12000</v>
      </c>
      <c r="S72" s="13"/>
      <c r="T72" s="13"/>
      <c r="U72" s="13"/>
      <c r="V72" s="13"/>
      <c r="W72" s="24"/>
      <c r="X72" s="13"/>
      <c r="Y72" s="13"/>
      <c r="Z72" s="13"/>
      <c r="AA72" s="13"/>
      <c r="AB72" s="13"/>
      <c r="AC72" s="13"/>
      <c r="AD72" s="13"/>
      <c r="AE72" s="13"/>
      <c r="AF72" s="13"/>
      <c r="AG72" s="14"/>
    </row>
    <row r="73" spans="1:34" x14ac:dyDescent="0.2">
      <c r="A73" s="23">
        <f>E70</f>
        <v>18146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  <c r="R73" s="12"/>
      <c r="S73" s="13"/>
      <c r="T73" s="13"/>
      <c r="U73" s="13"/>
      <c r="V73" s="13"/>
      <c r="W73" s="24"/>
      <c r="X73" s="13"/>
      <c r="Y73" s="13"/>
      <c r="Z73" s="13"/>
      <c r="AA73" s="13"/>
      <c r="AB73" s="13"/>
      <c r="AC73" s="13"/>
      <c r="AD73" s="13"/>
      <c r="AE73" s="13"/>
      <c r="AF73" s="13"/>
      <c r="AG73" s="14"/>
    </row>
    <row r="74" spans="1:34" x14ac:dyDescent="0.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  <c r="R74" s="12"/>
      <c r="S74" s="13"/>
      <c r="T74" s="13"/>
      <c r="U74" s="13"/>
      <c r="V74" s="13"/>
      <c r="W74" s="24"/>
      <c r="X74" s="13"/>
      <c r="Y74" s="13"/>
      <c r="Z74" s="13"/>
      <c r="AA74" s="13"/>
      <c r="AB74" s="13"/>
      <c r="AC74" s="13"/>
      <c r="AD74" s="13"/>
      <c r="AE74" s="13"/>
      <c r="AF74" s="13"/>
      <c r="AG74" s="14"/>
    </row>
    <row r="75" spans="1:34" x14ac:dyDescent="0.2">
      <c r="A75" s="12"/>
      <c r="B75" s="13"/>
      <c r="C75" s="20" t="s">
        <v>6</v>
      </c>
      <c r="D75" s="20"/>
      <c r="E75" s="20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  <c r="R75" s="12"/>
      <c r="S75" s="13"/>
      <c r="T75" s="20" t="s">
        <v>6</v>
      </c>
      <c r="U75" s="20"/>
      <c r="V75" s="20"/>
      <c r="W75" s="24"/>
      <c r="X75" s="13"/>
      <c r="Y75" s="13"/>
      <c r="Z75" s="13"/>
      <c r="AA75" s="13"/>
      <c r="AB75" s="13"/>
      <c r="AC75" s="13"/>
      <c r="AD75" s="13"/>
      <c r="AE75" s="13"/>
      <c r="AF75" s="13"/>
      <c r="AG75" s="14"/>
    </row>
    <row r="76" spans="1:34" x14ac:dyDescent="0.2">
      <c r="A76" s="12"/>
      <c r="B76" s="13"/>
      <c r="C76" s="13" t="s">
        <v>16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5">
        <v>0.13</v>
      </c>
      <c r="P76" s="14"/>
      <c r="R76" s="12"/>
      <c r="S76" s="13"/>
      <c r="T76" s="13" t="s">
        <v>16</v>
      </c>
      <c r="U76" s="13"/>
      <c r="V76" s="13"/>
      <c r="W76" s="24"/>
      <c r="X76" s="13"/>
      <c r="Y76" s="13"/>
      <c r="Z76" s="13"/>
      <c r="AA76" s="13"/>
      <c r="AB76" s="13"/>
      <c r="AC76" s="13"/>
      <c r="AD76" s="13"/>
      <c r="AE76" s="13"/>
      <c r="AF76" s="15">
        <v>0.25</v>
      </c>
      <c r="AG76" s="14"/>
    </row>
    <row r="77" spans="1:34" x14ac:dyDescent="0.2">
      <c r="A77" s="12"/>
      <c r="B77" s="13"/>
      <c r="C77" s="13" t="s">
        <v>24</v>
      </c>
      <c r="D77" s="13">
        <v>0</v>
      </c>
      <c r="E77" s="13">
        <f>E70</f>
        <v>18146</v>
      </c>
      <c r="F77" s="24">
        <f>H71</f>
        <v>6945.75</v>
      </c>
      <c r="G77" s="15">
        <v>0.9</v>
      </c>
      <c r="H77" s="13"/>
      <c r="I77" s="16">
        <f t="shared" ref="I77" si="98">D77*F77*G77</f>
        <v>0</v>
      </c>
      <c r="J77" s="13"/>
      <c r="K77" s="16">
        <f t="shared" ref="K77:K82" si="99">E77*F77*G77</f>
        <v>113433821.55</v>
      </c>
      <c r="L77" s="13"/>
      <c r="M77" s="13">
        <f>D77</f>
        <v>0</v>
      </c>
      <c r="N77" s="16">
        <f t="shared" ref="N77" si="100">M77*F77*2</f>
        <v>0</v>
      </c>
      <c r="O77" s="16">
        <f>K77*$O$76</f>
        <v>14746396.8015</v>
      </c>
      <c r="P77" s="14"/>
      <c r="R77" s="12"/>
      <c r="S77" s="13"/>
      <c r="T77" s="13" t="s">
        <v>24</v>
      </c>
      <c r="U77" s="13">
        <v>0</v>
      </c>
      <c r="V77" s="13">
        <f>V70</f>
        <v>12000</v>
      </c>
      <c r="W77" s="24">
        <f>Y71</f>
        <v>10997.4375</v>
      </c>
      <c r="X77" s="15">
        <v>0.85</v>
      </c>
      <c r="Y77" s="13"/>
      <c r="Z77" s="16">
        <f t="shared" ref="Z77" si="101">U77*W77*X77</f>
        <v>0</v>
      </c>
      <c r="AA77" s="13"/>
      <c r="AB77" s="16">
        <f t="shared" ref="AB77:AB82" si="102">V77*W77*X77</f>
        <v>112173862.5</v>
      </c>
      <c r="AC77" s="13"/>
      <c r="AD77" s="13">
        <f>U77</f>
        <v>0</v>
      </c>
      <c r="AE77" s="16">
        <f t="shared" ref="AE77" si="103">AD77*W77*2</f>
        <v>0</v>
      </c>
      <c r="AF77" s="16">
        <f>AB77*$AF$76</f>
        <v>28043465.625</v>
      </c>
      <c r="AG77" s="14"/>
    </row>
    <row r="78" spans="1:34" x14ac:dyDescent="0.2">
      <c r="A78" s="12"/>
      <c r="B78" s="13"/>
      <c r="C78" s="13" t="s">
        <v>25</v>
      </c>
      <c r="D78" s="13">
        <v>4000</v>
      </c>
      <c r="E78" s="13">
        <f>D78+E77</f>
        <v>22146</v>
      </c>
      <c r="F78" s="24">
        <f>F77</f>
        <v>6945.75</v>
      </c>
      <c r="G78" s="15">
        <v>0.9</v>
      </c>
      <c r="H78" s="13"/>
      <c r="I78" s="16">
        <f t="shared" ref="I78:I82" si="104">E78*F78*G78</f>
        <v>138438521.55000001</v>
      </c>
      <c r="J78" s="13"/>
      <c r="K78" s="16">
        <f t="shared" si="99"/>
        <v>138438521.55000001</v>
      </c>
      <c r="L78" s="13"/>
      <c r="M78" s="13">
        <f t="shared" ref="M78:M82" si="105">D78</f>
        <v>4000</v>
      </c>
      <c r="N78" s="16">
        <f>M78*F78*2</f>
        <v>55566000</v>
      </c>
      <c r="O78" s="16">
        <f t="shared" ref="O78:O82" si="106">K78*$O$76</f>
        <v>17997007.801500004</v>
      </c>
      <c r="P78" s="14"/>
      <c r="R78" s="12"/>
      <c r="S78" s="13"/>
      <c r="T78" s="13" t="s">
        <v>25</v>
      </c>
      <c r="U78" s="13">
        <v>4000</v>
      </c>
      <c r="V78" s="13">
        <f>U78+V77</f>
        <v>16000</v>
      </c>
      <c r="W78" s="24">
        <f>W77</f>
        <v>10997.4375</v>
      </c>
      <c r="X78" s="15">
        <v>0.85</v>
      </c>
      <c r="Y78" s="13"/>
      <c r="Z78" s="16">
        <f t="shared" ref="Z78:Z82" si="107">V78*W78*X78</f>
        <v>149565150</v>
      </c>
      <c r="AA78" s="13"/>
      <c r="AB78" s="16">
        <f t="shared" si="102"/>
        <v>149565150</v>
      </c>
      <c r="AC78" s="13"/>
      <c r="AD78" s="13">
        <f t="shared" ref="AD78:AD82" si="108">U78</f>
        <v>4000</v>
      </c>
      <c r="AE78" s="16">
        <f>AD78*W78*2</f>
        <v>87979500</v>
      </c>
      <c r="AF78" s="16">
        <f t="shared" ref="AF78:AF82" si="109">AB78*$AF$76</f>
        <v>37391287.5</v>
      </c>
      <c r="AG78" s="14"/>
    </row>
    <row r="79" spans="1:34" x14ac:dyDescent="0.2">
      <c r="A79" s="12"/>
      <c r="B79" s="13"/>
      <c r="C79" s="13" t="s">
        <v>26</v>
      </c>
      <c r="D79" s="13">
        <v>0</v>
      </c>
      <c r="E79" s="13">
        <f t="shared" ref="E79:E82" si="110">D79+E78</f>
        <v>22146</v>
      </c>
      <c r="F79" s="24">
        <f t="shared" ref="F79:F82" si="111">F78</f>
        <v>6945.75</v>
      </c>
      <c r="G79" s="15">
        <v>0.9</v>
      </c>
      <c r="H79" s="13"/>
      <c r="I79" s="16">
        <f t="shared" si="104"/>
        <v>138438521.55000001</v>
      </c>
      <c r="J79" s="13"/>
      <c r="K79" s="16">
        <f t="shared" si="99"/>
        <v>138438521.55000001</v>
      </c>
      <c r="L79" s="13"/>
      <c r="M79" s="13">
        <f t="shared" si="105"/>
        <v>0</v>
      </c>
      <c r="N79" s="16">
        <f t="shared" ref="N79:N82" si="112">M79*F79*2</f>
        <v>0</v>
      </c>
      <c r="O79" s="16">
        <f t="shared" si="106"/>
        <v>17997007.801500004</v>
      </c>
      <c r="P79" s="14"/>
      <c r="R79" s="12"/>
      <c r="S79" s="13"/>
      <c r="T79" s="13" t="s">
        <v>26</v>
      </c>
      <c r="U79" s="13">
        <v>0</v>
      </c>
      <c r="V79" s="13">
        <f t="shared" ref="V79:V82" si="113">U79+V78</f>
        <v>16000</v>
      </c>
      <c r="W79" s="24">
        <f t="shared" ref="W79:W82" si="114">W78</f>
        <v>10997.4375</v>
      </c>
      <c r="X79" s="15">
        <v>0.85</v>
      </c>
      <c r="Y79" s="13"/>
      <c r="Z79" s="16">
        <f t="shared" si="107"/>
        <v>149565150</v>
      </c>
      <c r="AA79" s="13"/>
      <c r="AB79" s="16">
        <f t="shared" si="102"/>
        <v>149565150</v>
      </c>
      <c r="AC79" s="13"/>
      <c r="AD79" s="13">
        <f t="shared" si="108"/>
        <v>0</v>
      </c>
      <c r="AE79" s="16">
        <f t="shared" ref="AE79:AE82" si="115">AD79*W79*2</f>
        <v>0</v>
      </c>
      <c r="AF79" s="16">
        <f t="shared" si="109"/>
        <v>37391287.5</v>
      </c>
      <c r="AG79" s="14"/>
    </row>
    <row r="80" spans="1:34" x14ac:dyDescent="0.2">
      <c r="A80" s="12"/>
      <c r="B80" s="13"/>
      <c r="C80" s="13" t="s">
        <v>27</v>
      </c>
      <c r="D80" s="13">
        <v>0</v>
      </c>
      <c r="E80" s="13">
        <f t="shared" si="110"/>
        <v>22146</v>
      </c>
      <c r="F80" s="24">
        <f t="shared" si="111"/>
        <v>6945.75</v>
      </c>
      <c r="G80" s="15">
        <v>0.9</v>
      </c>
      <c r="H80" s="13"/>
      <c r="I80" s="16">
        <f t="shared" si="104"/>
        <v>138438521.55000001</v>
      </c>
      <c r="J80" s="13"/>
      <c r="K80" s="16">
        <f t="shared" si="99"/>
        <v>138438521.55000001</v>
      </c>
      <c r="L80" s="13"/>
      <c r="M80" s="13">
        <f t="shared" si="105"/>
        <v>0</v>
      </c>
      <c r="N80" s="16">
        <f t="shared" si="112"/>
        <v>0</v>
      </c>
      <c r="O80" s="16">
        <f t="shared" si="106"/>
        <v>17997007.801500004</v>
      </c>
      <c r="P80" s="14"/>
      <c r="R80" s="12"/>
      <c r="S80" s="13"/>
      <c r="T80" s="13" t="s">
        <v>27</v>
      </c>
      <c r="U80" s="13">
        <v>0</v>
      </c>
      <c r="V80" s="13">
        <f t="shared" si="113"/>
        <v>16000</v>
      </c>
      <c r="W80" s="24">
        <f t="shared" si="114"/>
        <v>10997.4375</v>
      </c>
      <c r="X80" s="15">
        <v>0.85</v>
      </c>
      <c r="Y80" s="13"/>
      <c r="Z80" s="16">
        <f t="shared" si="107"/>
        <v>149565150</v>
      </c>
      <c r="AA80" s="13"/>
      <c r="AB80" s="16">
        <f t="shared" si="102"/>
        <v>149565150</v>
      </c>
      <c r="AC80" s="13"/>
      <c r="AD80" s="13">
        <f t="shared" si="108"/>
        <v>0</v>
      </c>
      <c r="AE80" s="16">
        <f t="shared" si="115"/>
        <v>0</v>
      </c>
      <c r="AF80" s="16">
        <f t="shared" si="109"/>
        <v>37391287.5</v>
      </c>
      <c r="AG80" s="14"/>
    </row>
    <row r="81" spans="1:33" x14ac:dyDescent="0.2">
      <c r="A81" s="12"/>
      <c r="B81" s="13"/>
      <c r="C81" s="13" t="s">
        <v>28</v>
      </c>
      <c r="D81" s="13">
        <v>4000</v>
      </c>
      <c r="E81" s="13">
        <f t="shared" si="110"/>
        <v>26146</v>
      </c>
      <c r="F81" s="24">
        <f t="shared" si="111"/>
        <v>6945.75</v>
      </c>
      <c r="G81" s="15">
        <v>0.9</v>
      </c>
      <c r="H81" s="13"/>
      <c r="I81" s="16">
        <f t="shared" si="104"/>
        <v>163443221.55000001</v>
      </c>
      <c r="J81" s="13"/>
      <c r="K81" s="16">
        <f t="shared" si="99"/>
        <v>163443221.55000001</v>
      </c>
      <c r="L81" s="13"/>
      <c r="M81" s="13">
        <f t="shared" si="105"/>
        <v>4000</v>
      </c>
      <c r="N81" s="16">
        <f t="shared" si="112"/>
        <v>55566000</v>
      </c>
      <c r="O81" s="16">
        <f t="shared" si="106"/>
        <v>21247618.801500004</v>
      </c>
      <c r="P81" s="14"/>
      <c r="R81" s="12"/>
      <c r="S81" s="13"/>
      <c r="T81" s="13" t="s">
        <v>28</v>
      </c>
      <c r="U81" s="13">
        <v>5000</v>
      </c>
      <c r="V81" s="13">
        <f t="shared" si="113"/>
        <v>21000</v>
      </c>
      <c r="W81" s="24">
        <f t="shared" si="114"/>
        <v>10997.4375</v>
      </c>
      <c r="X81" s="15">
        <v>0.85</v>
      </c>
      <c r="Y81" s="13"/>
      <c r="Z81" s="16">
        <f t="shared" si="107"/>
        <v>196304259.375</v>
      </c>
      <c r="AA81" s="13"/>
      <c r="AB81" s="16">
        <f t="shared" si="102"/>
        <v>196304259.375</v>
      </c>
      <c r="AC81" s="13"/>
      <c r="AD81" s="13">
        <f t="shared" si="108"/>
        <v>5000</v>
      </c>
      <c r="AE81" s="16">
        <f t="shared" si="115"/>
        <v>109974375</v>
      </c>
      <c r="AF81" s="16">
        <f t="shared" si="109"/>
        <v>49076064.84375</v>
      </c>
      <c r="AG81" s="14"/>
    </row>
    <row r="82" spans="1:33" x14ac:dyDescent="0.2">
      <c r="A82" s="12"/>
      <c r="B82" s="13"/>
      <c r="C82" s="13" t="s">
        <v>29</v>
      </c>
      <c r="D82" s="13">
        <v>0</v>
      </c>
      <c r="E82" s="13">
        <f t="shared" si="110"/>
        <v>26146</v>
      </c>
      <c r="F82" s="24">
        <f t="shared" si="111"/>
        <v>6945.75</v>
      </c>
      <c r="G82" s="15">
        <v>0.9</v>
      </c>
      <c r="H82" s="13"/>
      <c r="I82" s="16">
        <f t="shared" si="104"/>
        <v>163443221.55000001</v>
      </c>
      <c r="J82" s="13"/>
      <c r="K82" s="16">
        <f t="shared" si="99"/>
        <v>163443221.55000001</v>
      </c>
      <c r="L82" s="13"/>
      <c r="M82" s="13">
        <f t="shared" si="105"/>
        <v>0</v>
      </c>
      <c r="N82" s="16">
        <f t="shared" si="112"/>
        <v>0</v>
      </c>
      <c r="O82" s="16">
        <f t="shared" si="106"/>
        <v>21247618.801500004</v>
      </c>
      <c r="P82" s="14"/>
      <c r="R82" s="12"/>
      <c r="S82" s="13"/>
      <c r="T82" s="13" t="s">
        <v>29</v>
      </c>
      <c r="U82" s="13">
        <v>0</v>
      </c>
      <c r="V82" s="13">
        <f t="shared" si="113"/>
        <v>21000</v>
      </c>
      <c r="W82" s="24">
        <f t="shared" si="114"/>
        <v>10997.4375</v>
      </c>
      <c r="X82" s="15">
        <v>0.85</v>
      </c>
      <c r="Y82" s="13"/>
      <c r="Z82" s="16">
        <f t="shared" si="107"/>
        <v>196304259.375</v>
      </c>
      <c r="AA82" s="13"/>
      <c r="AB82" s="16">
        <f t="shared" si="102"/>
        <v>196304259.375</v>
      </c>
      <c r="AC82" s="13"/>
      <c r="AD82" s="13">
        <f t="shared" si="108"/>
        <v>0</v>
      </c>
      <c r="AE82" s="16">
        <f t="shared" si="115"/>
        <v>0</v>
      </c>
      <c r="AF82" s="16">
        <f t="shared" si="109"/>
        <v>49076064.84375</v>
      </c>
      <c r="AG82" s="14"/>
    </row>
    <row r="83" spans="1:33" x14ac:dyDescent="0.2">
      <c r="A83" s="12"/>
      <c r="B83" s="13"/>
      <c r="C83" s="13"/>
      <c r="D83" s="13"/>
      <c r="E83" s="13"/>
      <c r="F83" s="24"/>
      <c r="G83" s="13"/>
      <c r="H83" s="13"/>
      <c r="I83" s="16"/>
      <c r="J83" s="13"/>
      <c r="K83" s="13"/>
      <c r="L83" s="13"/>
      <c r="M83" s="13"/>
      <c r="N83" s="13"/>
      <c r="O83" s="13"/>
      <c r="P83" s="14"/>
      <c r="R83" s="12"/>
      <c r="S83" s="13"/>
      <c r="T83" s="13"/>
      <c r="U83" s="13"/>
      <c r="V83" s="13"/>
      <c r="W83" s="24"/>
      <c r="X83" s="13"/>
      <c r="Y83" s="13"/>
      <c r="Z83" s="16"/>
      <c r="AA83" s="13"/>
      <c r="AB83" s="13"/>
      <c r="AC83" s="13"/>
      <c r="AD83" s="13"/>
      <c r="AE83" s="13"/>
      <c r="AF83" s="13"/>
      <c r="AG83" s="14"/>
    </row>
    <row r="84" spans="1:33" x14ac:dyDescent="0.2">
      <c r="A84" s="12"/>
      <c r="B84" s="13"/>
      <c r="C84" s="13"/>
      <c r="D84" s="13"/>
      <c r="E84" s="13"/>
      <c r="F84" s="24"/>
      <c r="G84" s="13"/>
      <c r="H84" s="13"/>
      <c r="I84" s="13"/>
      <c r="J84" s="13"/>
      <c r="K84" s="13"/>
      <c r="L84" s="13"/>
      <c r="M84" s="13"/>
      <c r="N84" s="13"/>
      <c r="O84" s="13"/>
      <c r="P84" s="14"/>
      <c r="R84" s="12"/>
      <c r="S84" s="13"/>
      <c r="T84" s="13"/>
      <c r="U84" s="13"/>
      <c r="V84" s="13"/>
      <c r="W84" s="24"/>
      <c r="X84" s="13"/>
      <c r="Y84" s="13"/>
      <c r="Z84" s="13"/>
      <c r="AA84" s="13"/>
      <c r="AB84" s="13"/>
      <c r="AC84" s="13"/>
      <c r="AD84" s="13"/>
      <c r="AE84" s="13"/>
      <c r="AF84" s="13"/>
      <c r="AG84" s="14"/>
    </row>
    <row r="85" spans="1:33" x14ac:dyDescent="0.2">
      <c r="A85" s="12"/>
      <c r="B85" s="13"/>
      <c r="C85" s="13"/>
      <c r="D85" s="13"/>
      <c r="E85" s="13"/>
      <c r="F85" s="24"/>
      <c r="G85" s="13"/>
      <c r="H85" s="13"/>
      <c r="I85" s="13"/>
      <c r="J85" s="13"/>
      <c r="K85" s="13"/>
      <c r="L85" s="13"/>
      <c r="M85" s="13"/>
      <c r="N85" s="13"/>
      <c r="O85" s="13"/>
      <c r="P85" s="14"/>
      <c r="R85" s="12"/>
      <c r="S85" s="13"/>
      <c r="T85" s="13"/>
      <c r="U85" s="13"/>
      <c r="V85" s="13"/>
      <c r="W85" s="24"/>
      <c r="X85" s="13"/>
      <c r="Y85" s="13"/>
      <c r="Z85" s="13"/>
      <c r="AA85" s="13"/>
      <c r="AB85" s="13"/>
      <c r="AC85" s="13"/>
      <c r="AD85" s="13"/>
      <c r="AE85" s="13"/>
      <c r="AF85" s="13"/>
      <c r="AG85" s="14"/>
    </row>
    <row r="86" spans="1:33" x14ac:dyDescent="0.2">
      <c r="A86" s="12"/>
      <c r="B86" s="13"/>
      <c r="C86" s="13" t="s">
        <v>17</v>
      </c>
      <c r="D86" s="13"/>
      <c r="E86" s="13"/>
      <c r="F86" s="24"/>
      <c r="G86" s="13"/>
      <c r="H86" s="13"/>
      <c r="I86" s="13"/>
      <c r="J86" s="13"/>
      <c r="K86" s="13"/>
      <c r="L86" s="13"/>
      <c r="M86" s="13"/>
      <c r="N86" s="13"/>
      <c r="O86" s="13"/>
      <c r="P86" s="14"/>
      <c r="R86" s="12"/>
      <c r="S86" s="13"/>
      <c r="T86" s="13" t="s">
        <v>17</v>
      </c>
      <c r="U86" s="13"/>
      <c r="V86" s="13"/>
      <c r="W86" s="24"/>
      <c r="X86" s="13"/>
      <c r="Y86" s="13"/>
      <c r="Z86" s="13"/>
      <c r="AA86" s="13"/>
      <c r="AB86" s="13"/>
      <c r="AC86" s="13"/>
      <c r="AD86" s="13"/>
      <c r="AE86" s="13"/>
      <c r="AF86" s="13"/>
      <c r="AG86" s="14"/>
    </row>
    <row r="87" spans="1:33" x14ac:dyDescent="0.2">
      <c r="A87" s="12"/>
      <c r="B87" s="13"/>
      <c r="C87" s="13" t="s">
        <v>30</v>
      </c>
      <c r="D87" s="13">
        <v>0</v>
      </c>
      <c r="E87" s="13">
        <f>D87+E82</f>
        <v>26146</v>
      </c>
      <c r="F87" s="24">
        <f>F82</f>
        <v>6945.75</v>
      </c>
      <c r="G87" s="15">
        <v>0.9</v>
      </c>
      <c r="H87" s="13"/>
      <c r="I87" s="16">
        <f t="shared" ref="I87:I92" si="116">E87*F87*G87</f>
        <v>163443221.55000001</v>
      </c>
      <c r="J87" s="13"/>
      <c r="K87" s="16">
        <f t="shared" ref="K87:K92" si="117">E87*F87*G87</f>
        <v>163443221.55000001</v>
      </c>
      <c r="L87" s="13"/>
      <c r="M87" s="13">
        <f t="shared" ref="M87:M92" si="118">D87</f>
        <v>0</v>
      </c>
      <c r="N87" s="16">
        <f t="shared" ref="N87:N92" si="119">M87*F87*2</f>
        <v>0</v>
      </c>
      <c r="O87" s="16">
        <f t="shared" ref="O87:O92" si="120">K87*$O$76</f>
        <v>21247618.801500004</v>
      </c>
      <c r="P87" s="14"/>
      <c r="R87" s="12"/>
      <c r="S87" s="13"/>
      <c r="T87" s="13" t="s">
        <v>30</v>
      </c>
      <c r="U87" s="13">
        <v>0</v>
      </c>
      <c r="V87" s="13">
        <f>U87+V82</f>
        <v>21000</v>
      </c>
      <c r="W87" s="24">
        <f>W82</f>
        <v>10997.4375</v>
      </c>
      <c r="X87" s="15">
        <v>0.85</v>
      </c>
      <c r="Y87" s="13"/>
      <c r="Z87" s="16">
        <f t="shared" ref="Z87:Z92" si="121">V87*W87*X87</f>
        <v>196304259.375</v>
      </c>
      <c r="AA87" s="13"/>
      <c r="AB87" s="16">
        <f t="shared" ref="AB87:AB92" si="122">V87*W87*X87</f>
        <v>196304259.375</v>
      </c>
      <c r="AC87" s="13"/>
      <c r="AD87" s="13">
        <f t="shared" ref="AD87:AD92" si="123">U87</f>
        <v>0</v>
      </c>
      <c r="AE87" s="16">
        <f t="shared" ref="AE87:AE92" si="124">AD87*W87*2</f>
        <v>0</v>
      </c>
      <c r="AF87" s="16">
        <f t="shared" ref="AF87:AF92" si="125">AB87*$AF$76</f>
        <v>49076064.84375</v>
      </c>
      <c r="AG87" s="14"/>
    </row>
    <row r="88" spans="1:33" x14ac:dyDescent="0.2">
      <c r="A88" s="12"/>
      <c r="B88" s="13"/>
      <c r="C88" s="13" t="s">
        <v>31</v>
      </c>
      <c r="D88" s="13">
        <v>4500</v>
      </c>
      <c r="E88" s="13">
        <f>D88+E87</f>
        <v>30646</v>
      </c>
      <c r="F88" s="24">
        <f>F87</f>
        <v>6945.75</v>
      </c>
      <c r="G88" s="15">
        <v>0.9</v>
      </c>
      <c r="H88" s="13"/>
      <c r="I88" s="16">
        <f t="shared" si="116"/>
        <v>191573509.05000001</v>
      </c>
      <c r="J88" s="13"/>
      <c r="K88" s="16">
        <f t="shared" si="117"/>
        <v>191573509.05000001</v>
      </c>
      <c r="L88" s="13"/>
      <c r="M88" s="13">
        <f t="shared" si="118"/>
        <v>4500</v>
      </c>
      <c r="N88" s="16">
        <f t="shared" si="119"/>
        <v>62511750</v>
      </c>
      <c r="O88" s="16">
        <f t="shared" si="120"/>
        <v>24904556.176500004</v>
      </c>
      <c r="P88" s="14"/>
      <c r="R88" s="12"/>
      <c r="S88" s="13"/>
      <c r="T88" s="13" t="s">
        <v>31</v>
      </c>
      <c r="U88" s="13">
        <v>7000</v>
      </c>
      <c r="V88" s="13">
        <f>U88+V87</f>
        <v>28000</v>
      </c>
      <c r="W88" s="24">
        <f>W87</f>
        <v>10997.4375</v>
      </c>
      <c r="X88" s="15">
        <v>0.85</v>
      </c>
      <c r="Y88" s="13"/>
      <c r="Z88" s="16">
        <f t="shared" si="121"/>
        <v>261739012.5</v>
      </c>
      <c r="AA88" s="13"/>
      <c r="AB88" s="16">
        <f t="shared" si="122"/>
        <v>261739012.5</v>
      </c>
      <c r="AC88" s="13"/>
      <c r="AD88" s="13">
        <f t="shared" si="123"/>
        <v>7000</v>
      </c>
      <c r="AE88" s="16">
        <f t="shared" si="124"/>
        <v>153964125</v>
      </c>
      <c r="AF88" s="16">
        <f t="shared" si="125"/>
        <v>65434753.125</v>
      </c>
      <c r="AG88" s="14"/>
    </row>
    <row r="89" spans="1:33" x14ac:dyDescent="0.2">
      <c r="A89" s="12"/>
      <c r="B89" s="13"/>
      <c r="C89" s="13" t="s">
        <v>32</v>
      </c>
      <c r="D89" s="13">
        <v>0</v>
      </c>
      <c r="E89" s="13">
        <f t="shared" ref="E89:E92" si="126">D89+E88</f>
        <v>30646</v>
      </c>
      <c r="F89" s="24">
        <f t="shared" ref="F89:F92" si="127">F88</f>
        <v>6945.75</v>
      </c>
      <c r="G89" s="15">
        <v>0.9</v>
      </c>
      <c r="H89" s="13"/>
      <c r="I89" s="16">
        <f t="shared" si="116"/>
        <v>191573509.05000001</v>
      </c>
      <c r="J89" s="13"/>
      <c r="K89" s="16">
        <f t="shared" si="117"/>
        <v>191573509.05000001</v>
      </c>
      <c r="L89" s="13"/>
      <c r="M89" s="13">
        <f t="shared" si="118"/>
        <v>0</v>
      </c>
      <c r="N89" s="16">
        <f t="shared" si="119"/>
        <v>0</v>
      </c>
      <c r="O89" s="16">
        <f t="shared" si="120"/>
        <v>24904556.176500004</v>
      </c>
      <c r="P89" s="14"/>
      <c r="R89" s="12"/>
      <c r="S89" s="13"/>
      <c r="T89" s="13" t="s">
        <v>32</v>
      </c>
      <c r="U89" s="13">
        <v>0</v>
      </c>
      <c r="V89" s="13">
        <f t="shared" ref="V89:V92" si="128">U89+V88</f>
        <v>28000</v>
      </c>
      <c r="W89" s="24">
        <f t="shared" ref="W89:W92" si="129">W88</f>
        <v>10997.4375</v>
      </c>
      <c r="X89" s="15">
        <v>0.85</v>
      </c>
      <c r="Y89" s="13"/>
      <c r="Z89" s="16">
        <f t="shared" si="121"/>
        <v>261739012.5</v>
      </c>
      <c r="AA89" s="13"/>
      <c r="AB89" s="16">
        <f t="shared" si="122"/>
        <v>261739012.5</v>
      </c>
      <c r="AC89" s="13"/>
      <c r="AD89" s="13">
        <f t="shared" si="123"/>
        <v>0</v>
      </c>
      <c r="AE89" s="16">
        <f t="shared" si="124"/>
        <v>0</v>
      </c>
      <c r="AF89" s="16">
        <f t="shared" si="125"/>
        <v>65434753.125</v>
      </c>
      <c r="AG89" s="14"/>
    </row>
    <row r="90" spans="1:33" x14ac:dyDescent="0.2">
      <c r="A90" s="12"/>
      <c r="B90" s="13"/>
      <c r="C90" s="13" t="s">
        <v>33</v>
      </c>
      <c r="D90" s="13">
        <v>4500</v>
      </c>
      <c r="E90" s="13">
        <f t="shared" si="126"/>
        <v>35146</v>
      </c>
      <c r="F90" s="24">
        <f t="shared" si="127"/>
        <v>6945.75</v>
      </c>
      <c r="G90" s="15">
        <v>0.9</v>
      </c>
      <c r="H90" s="13"/>
      <c r="I90" s="16">
        <f t="shared" si="116"/>
        <v>219703796.55000001</v>
      </c>
      <c r="J90" s="13"/>
      <c r="K90" s="16">
        <f t="shared" si="117"/>
        <v>219703796.55000001</v>
      </c>
      <c r="L90" s="13"/>
      <c r="M90" s="13">
        <f t="shared" si="118"/>
        <v>4500</v>
      </c>
      <c r="N90" s="16">
        <f t="shared" si="119"/>
        <v>62511750</v>
      </c>
      <c r="O90" s="16">
        <f t="shared" si="120"/>
        <v>28561493.551500004</v>
      </c>
      <c r="P90" s="14"/>
      <c r="R90" s="12"/>
      <c r="S90" s="13"/>
      <c r="T90" s="13" t="s">
        <v>33</v>
      </c>
      <c r="U90" s="13">
        <v>7000</v>
      </c>
      <c r="V90" s="13">
        <f t="shared" si="128"/>
        <v>35000</v>
      </c>
      <c r="W90" s="24">
        <f t="shared" si="129"/>
        <v>10997.4375</v>
      </c>
      <c r="X90" s="15">
        <v>0.85</v>
      </c>
      <c r="Y90" s="13"/>
      <c r="Z90" s="16">
        <f t="shared" si="121"/>
        <v>327173765.625</v>
      </c>
      <c r="AA90" s="13"/>
      <c r="AB90" s="16">
        <f t="shared" si="122"/>
        <v>327173765.625</v>
      </c>
      <c r="AC90" s="13"/>
      <c r="AD90" s="13">
        <f t="shared" si="123"/>
        <v>7000</v>
      </c>
      <c r="AE90" s="16">
        <f t="shared" si="124"/>
        <v>153964125</v>
      </c>
      <c r="AF90" s="16">
        <f t="shared" si="125"/>
        <v>81793441.40625</v>
      </c>
      <c r="AG90" s="14"/>
    </row>
    <row r="91" spans="1:33" x14ac:dyDescent="0.2">
      <c r="A91" s="12"/>
      <c r="B91" s="13"/>
      <c r="C91" s="13" t="s">
        <v>34</v>
      </c>
      <c r="D91" s="13">
        <v>0</v>
      </c>
      <c r="E91" s="13">
        <f t="shared" si="126"/>
        <v>35146</v>
      </c>
      <c r="F91" s="24">
        <f t="shared" si="127"/>
        <v>6945.75</v>
      </c>
      <c r="G91" s="15">
        <v>0.9</v>
      </c>
      <c r="H91" s="13"/>
      <c r="I91" s="16">
        <f t="shared" si="116"/>
        <v>219703796.55000001</v>
      </c>
      <c r="J91" s="13"/>
      <c r="K91" s="16">
        <f t="shared" si="117"/>
        <v>219703796.55000001</v>
      </c>
      <c r="L91" s="13"/>
      <c r="M91" s="13">
        <f t="shared" si="118"/>
        <v>0</v>
      </c>
      <c r="N91" s="16">
        <f t="shared" si="119"/>
        <v>0</v>
      </c>
      <c r="O91" s="16">
        <f t="shared" si="120"/>
        <v>28561493.551500004</v>
      </c>
      <c r="P91" s="14"/>
      <c r="R91" s="12"/>
      <c r="S91" s="13"/>
      <c r="T91" s="13" t="s">
        <v>34</v>
      </c>
      <c r="U91" s="13">
        <v>0</v>
      </c>
      <c r="V91" s="13">
        <f t="shared" si="128"/>
        <v>35000</v>
      </c>
      <c r="W91" s="24">
        <f t="shared" si="129"/>
        <v>10997.4375</v>
      </c>
      <c r="X91" s="15">
        <v>0.85</v>
      </c>
      <c r="Y91" s="13"/>
      <c r="Z91" s="16">
        <f t="shared" si="121"/>
        <v>327173765.625</v>
      </c>
      <c r="AA91" s="13"/>
      <c r="AB91" s="16">
        <f t="shared" si="122"/>
        <v>327173765.625</v>
      </c>
      <c r="AC91" s="13"/>
      <c r="AD91" s="13">
        <f t="shared" si="123"/>
        <v>0</v>
      </c>
      <c r="AE91" s="16">
        <f t="shared" si="124"/>
        <v>0</v>
      </c>
      <c r="AF91" s="16">
        <f t="shared" si="125"/>
        <v>81793441.40625</v>
      </c>
      <c r="AG91" s="14"/>
    </row>
    <row r="92" spans="1:33" x14ac:dyDescent="0.2">
      <c r="A92" s="12"/>
      <c r="B92" s="13"/>
      <c r="C92" s="13" t="s">
        <v>35</v>
      </c>
      <c r="D92" s="13">
        <v>0</v>
      </c>
      <c r="E92" s="13">
        <f t="shared" si="126"/>
        <v>35146</v>
      </c>
      <c r="F92" s="24">
        <f t="shared" si="127"/>
        <v>6945.75</v>
      </c>
      <c r="G92" s="15">
        <v>0.9</v>
      </c>
      <c r="H92" s="13"/>
      <c r="I92" s="16">
        <f t="shared" si="116"/>
        <v>219703796.55000001</v>
      </c>
      <c r="J92" s="13"/>
      <c r="K92" s="16">
        <f t="shared" si="117"/>
        <v>219703796.55000001</v>
      </c>
      <c r="L92" s="13"/>
      <c r="M92" s="13">
        <f t="shared" si="118"/>
        <v>0</v>
      </c>
      <c r="N92" s="16">
        <f t="shared" si="119"/>
        <v>0</v>
      </c>
      <c r="O92" s="16">
        <f t="shared" si="120"/>
        <v>28561493.551500004</v>
      </c>
      <c r="P92" s="14"/>
      <c r="R92" s="12"/>
      <c r="S92" s="13"/>
      <c r="T92" s="13" t="s">
        <v>35</v>
      </c>
      <c r="U92" s="13">
        <v>0</v>
      </c>
      <c r="V92" s="13">
        <f t="shared" si="128"/>
        <v>35000</v>
      </c>
      <c r="W92" s="24">
        <f t="shared" si="129"/>
        <v>10997.4375</v>
      </c>
      <c r="X92" s="15">
        <v>0.85</v>
      </c>
      <c r="Y92" s="13"/>
      <c r="Z92" s="16">
        <f t="shared" si="121"/>
        <v>327173765.625</v>
      </c>
      <c r="AA92" s="13"/>
      <c r="AB92" s="16">
        <f t="shared" si="122"/>
        <v>327173765.625</v>
      </c>
      <c r="AC92" s="13"/>
      <c r="AD92" s="13">
        <f t="shared" si="123"/>
        <v>0</v>
      </c>
      <c r="AE92" s="16">
        <f t="shared" si="124"/>
        <v>0</v>
      </c>
      <c r="AF92" s="16">
        <f t="shared" si="125"/>
        <v>81793441.40625</v>
      </c>
      <c r="AG92" s="14"/>
    </row>
    <row r="93" spans="1:33" x14ac:dyDescent="0.2">
      <c r="A93" s="12"/>
      <c r="B93" s="13">
        <f>B71+F92</f>
        <v>19860.75</v>
      </c>
      <c r="C93" s="13"/>
      <c r="D93" s="13"/>
      <c r="E93" s="13"/>
      <c r="F93" s="13"/>
      <c r="G93" s="13"/>
      <c r="H93" s="13">
        <f>F92*1.05</f>
        <v>7293.0375000000004</v>
      </c>
      <c r="I93" s="16"/>
      <c r="J93" s="13"/>
      <c r="K93" s="16"/>
      <c r="L93" s="19">
        <f>SUM(K77:K92)</f>
        <v>2061337458.5999997</v>
      </c>
      <c r="M93" s="16"/>
      <c r="N93" s="19">
        <f>SUM(N71:N92)</f>
        <v>467675500</v>
      </c>
      <c r="O93" s="19">
        <f>SUM(O77:O92)</f>
        <v>267973869.618</v>
      </c>
      <c r="P93" s="22">
        <f>O93/N93</f>
        <v>0.57299103677229191</v>
      </c>
      <c r="R93" s="29"/>
      <c r="S93" s="13"/>
      <c r="T93" s="13"/>
      <c r="U93" s="13"/>
      <c r="V93" s="13"/>
      <c r="W93" s="24"/>
      <c r="X93" s="13"/>
      <c r="Y93" s="13">
        <f>W92*1.05</f>
        <v>11547.309375000001</v>
      </c>
      <c r="Z93" s="16"/>
      <c r="AA93" s="13"/>
      <c r="AB93" s="16"/>
      <c r="AC93" s="19">
        <f>SUM(AB77:AB92)</f>
        <v>2654781412.5</v>
      </c>
      <c r="AD93" s="16"/>
      <c r="AE93" s="19">
        <f>SUM(AE71:AE92)</f>
        <v>750037125</v>
      </c>
      <c r="AF93" s="19">
        <f>SUM(AF77:AF92)</f>
        <v>663695353.125</v>
      </c>
      <c r="AG93" s="22">
        <f>AF93/AE93</f>
        <v>0.8848833357748791</v>
      </c>
    </row>
    <row r="94" spans="1:33" x14ac:dyDescent="0.2">
      <c r="A94" s="23">
        <f>E91</f>
        <v>35146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  <c r="R94" s="23">
        <f>V92</f>
        <v>35000</v>
      </c>
      <c r="S94" s="13"/>
      <c r="T94" s="13"/>
      <c r="U94" s="13"/>
      <c r="V94" s="13"/>
      <c r="W94" s="24"/>
      <c r="X94" s="13"/>
      <c r="Y94" s="13"/>
      <c r="Z94" s="13"/>
      <c r="AA94" s="13"/>
      <c r="AB94" s="13"/>
      <c r="AC94" s="13"/>
      <c r="AD94" s="13"/>
      <c r="AE94" s="13"/>
      <c r="AF94" s="13"/>
      <c r="AG94" s="14"/>
    </row>
    <row r="95" spans="1:33" x14ac:dyDescent="0.2">
      <c r="A95" s="12"/>
      <c r="B95" s="13"/>
      <c r="C95" s="20" t="s">
        <v>36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  <c r="R95" s="12"/>
      <c r="S95" s="13"/>
      <c r="T95" s="20" t="s">
        <v>36</v>
      </c>
      <c r="U95" s="13"/>
      <c r="V95" s="13"/>
      <c r="W95" s="24"/>
      <c r="X95" s="13"/>
      <c r="Y95" s="13"/>
      <c r="Z95" s="13"/>
      <c r="AA95" s="13"/>
      <c r="AB95" s="13"/>
      <c r="AC95" s="13"/>
      <c r="AD95" s="13"/>
      <c r="AE95" s="13"/>
      <c r="AF95" s="13"/>
      <c r="AG95" s="14"/>
    </row>
    <row r="96" spans="1:33" x14ac:dyDescent="0.2">
      <c r="A96" s="12"/>
      <c r="B96" s="13"/>
      <c r="C96" s="13" t="s">
        <v>16</v>
      </c>
      <c r="D96" s="13"/>
      <c r="E96" s="13"/>
      <c r="F96" s="13"/>
      <c r="G96" s="13"/>
      <c r="H96" s="13"/>
      <c r="I96" s="13"/>
      <c r="J96" s="13"/>
      <c r="K96" s="16"/>
      <c r="L96" s="16"/>
      <c r="M96" s="16"/>
      <c r="N96" s="16"/>
      <c r="O96" s="15">
        <v>0.15</v>
      </c>
      <c r="P96" s="14"/>
      <c r="R96" s="12"/>
      <c r="S96" s="13"/>
      <c r="T96" s="13" t="s">
        <v>16</v>
      </c>
      <c r="U96" s="13"/>
      <c r="V96" s="13"/>
      <c r="W96" s="24"/>
      <c r="X96" s="13"/>
      <c r="Y96" s="13"/>
      <c r="Z96" s="13"/>
      <c r="AA96" s="13"/>
      <c r="AB96" s="16"/>
      <c r="AC96" s="16"/>
      <c r="AD96" s="16"/>
      <c r="AE96" s="16"/>
      <c r="AF96" s="15">
        <v>0.25</v>
      </c>
      <c r="AG96" s="14"/>
    </row>
    <row r="97" spans="1:33" x14ac:dyDescent="0.2">
      <c r="A97" s="12"/>
      <c r="B97" s="13"/>
      <c r="C97" s="13" t="s">
        <v>24</v>
      </c>
      <c r="D97" s="13">
        <v>0</v>
      </c>
      <c r="E97" s="13">
        <f>E92</f>
        <v>35146</v>
      </c>
      <c r="F97" s="24">
        <f>H93</f>
        <v>7293.0375000000004</v>
      </c>
      <c r="G97" s="15">
        <v>0.9</v>
      </c>
      <c r="H97" s="13"/>
      <c r="I97" s="16">
        <f t="shared" ref="I97" si="130">D97*F97*G97</f>
        <v>0</v>
      </c>
      <c r="J97" s="13"/>
      <c r="K97" s="16">
        <f t="shared" ref="K97:K102" si="131">E97*F97*G97</f>
        <v>230688986.37750003</v>
      </c>
      <c r="L97" s="13"/>
      <c r="M97" s="13">
        <f>D97</f>
        <v>0</v>
      </c>
      <c r="N97" s="16">
        <f t="shared" ref="N97" si="132">M97*F97*2</f>
        <v>0</v>
      </c>
      <c r="O97" s="16">
        <f>K97*$O$96</f>
        <v>34603347.956625</v>
      </c>
      <c r="P97" s="14"/>
      <c r="R97" s="12"/>
      <c r="S97" s="13"/>
      <c r="T97" s="13" t="s">
        <v>24</v>
      </c>
      <c r="U97" s="13">
        <v>0</v>
      </c>
      <c r="V97" s="13">
        <f>V92</f>
        <v>35000</v>
      </c>
      <c r="W97" s="24">
        <f>Y93</f>
        <v>11547.309375000001</v>
      </c>
      <c r="X97" s="15">
        <v>0.85</v>
      </c>
      <c r="Y97" s="13"/>
      <c r="Z97" s="16">
        <f t="shared" ref="Z97" si="133">U97*W97*X97</f>
        <v>0</v>
      </c>
      <c r="AA97" s="13"/>
      <c r="AB97" s="16">
        <f t="shared" ref="AB97:AB102" si="134">V97*W97*X97</f>
        <v>343532453.90625</v>
      </c>
      <c r="AC97" s="13"/>
      <c r="AD97" s="13">
        <f>U97</f>
        <v>0</v>
      </c>
      <c r="AE97" s="16">
        <f t="shared" ref="AE97" si="135">AD97*W97*2</f>
        <v>0</v>
      </c>
      <c r="AF97" s="16">
        <f>AB97*$O$96</f>
        <v>51529868.0859375</v>
      </c>
      <c r="AG97" s="14"/>
    </row>
    <row r="98" spans="1:33" x14ac:dyDescent="0.2">
      <c r="A98" s="12"/>
      <c r="B98" s="13"/>
      <c r="C98" s="13" t="s">
        <v>25</v>
      </c>
      <c r="D98" s="13">
        <v>2500</v>
      </c>
      <c r="E98" s="13">
        <f>D98+E97</f>
        <v>37646</v>
      </c>
      <c r="F98" s="24">
        <f>F97</f>
        <v>7293.0375000000004</v>
      </c>
      <c r="G98" s="15">
        <v>0.9</v>
      </c>
      <c r="H98" s="13"/>
      <c r="I98" s="16">
        <f t="shared" ref="I98:I102" si="136">E98*F98*G98</f>
        <v>247098320.75250003</v>
      </c>
      <c r="J98" s="13"/>
      <c r="K98" s="16">
        <f t="shared" si="131"/>
        <v>247098320.75250003</v>
      </c>
      <c r="L98" s="13"/>
      <c r="M98" s="13">
        <f t="shared" ref="M98:M102" si="137">D98</f>
        <v>2500</v>
      </c>
      <c r="N98" s="16">
        <f>M98*F98*2</f>
        <v>36465187.5</v>
      </c>
      <c r="O98" s="16">
        <f t="shared" ref="O98:O102" si="138">K98*$O$96</f>
        <v>37064748.112875</v>
      </c>
      <c r="P98" s="14"/>
      <c r="R98" s="12"/>
      <c r="S98" s="13"/>
      <c r="T98" s="13" t="s">
        <v>25</v>
      </c>
      <c r="U98" s="13">
        <v>5000</v>
      </c>
      <c r="V98" s="13">
        <f>U98+V97</f>
        <v>40000</v>
      </c>
      <c r="W98" s="24">
        <f>W97</f>
        <v>11547.309375000001</v>
      </c>
      <c r="X98" s="15">
        <v>0.85</v>
      </c>
      <c r="Y98" s="13"/>
      <c r="Z98" s="16">
        <f t="shared" ref="Z98:Z102" si="139">V98*W98*X98</f>
        <v>392608518.75</v>
      </c>
      <c r="AA98" s="13"/>
      <c r="AB98" s="16">
        <f t="shared" si="134"/>
        <v>392608518.75</v>
      </c>
      <c r="AC98" s="13"/>
      <c r="AD98" s="13">
        <f t="shared" ref="AD98:AD102" si="140">U98</f>
        <v>5000</v>
      </c>
      <c r="AE98" s="16">
        <f>AD98*W98*2</f>
        <v>115473093.75</v>
      </c>
      <c r="AF98" s="16">
        <f t="shared" ref="AF98:AF102" si="141">AB98*$O$96</f>
        <v>58891277.8125</v>
      </c>
      <c r="AG98" s="14"/>
    </row>
    <row r="99" spans="1:33" x14ac:dyDescent="0.2">
      <c r="A99" s="12"/>
      <c r="B99" s="13"/>
      <c r="C99" s="13" t="s">
        <v>26</v>
      </c>
      <c r="D99" s="13">
        <v>0</v>
      </c>
      <c r="E99" s="13">
        <f t="shared" ref="E99:E102" si="142">D99+E98</f>
        <v>37646</v>
      </c>
      <c r="F99" s="24">
        <f t="shared" ref="F99:F102" si="143">F98</f>
        <v>7293.0375000000004</v>
      </c>
      <c r="G99" s="15">
        <v>0.9</v>
      </c>
      <c r="H99" s="13"/>
      <c r="I99" s="16">
        <f t="shared" si="136"/>
        <v>247098320.75250003</v>
      </c>
      <c r="J99" s="13"/>
      <c r="K99" s="16">
        <f t="shared" si="131"/>
        <v>247098320.75250003</v>
      </c>
      <c r="L99" s="13"/>
      <c r="M99" s="13">
        <f t="shared" si="137"/>
        <v>0</v>
      </c>
      <c r="N99" s="16">
        <f t="shared" ref="N99:N102" si="144">M99*F99*2</f>
        <v>0</v>
      </c>
      <c r="O99" s="16">
        <f t="shared" si="138"/>
        <v>37064748.112875</v>
      </c>
      <c r="P99" s="14"/>
      <c r="R99" s="12"/>
      <c r="S99" s="13"/>
      <c r="T99" s="13" t="s">
        <v>26</v>
      </c>
      <c r="U99" s="13">
        <v>0</v>
      </c>
      <c r="V99" s="13">
        <f t="shared" ref="V99:V102" si="145">U99+V98</f>
        <v>40000</v>
      </c>
      <c r="W99" s="24">
        <f t="shared" ref="W99:W102" si="146">W98</f>
        <v>11547.309375000001</v>
      </c>
      <c r="X99" s="15">
        <v>0.85</v>
      </c>
      <c r="Y99" s="13"/>
      <c r="Z99" s="16">
        <f t="shared" si="139"/>
        <v>392608518.75</v>
      </c>
      <c r="AA99" s="13"/>
      <c r="AB99" s="16">
        <f t="shared" si="134"/>
        <v>392608518.75</v>
      </c>
      <c r="AC99" s="13"/>
      <c r="AD99" s="13">
        <f t="shared" si="140"/>
        <v>0</v>
      </c>
      <c r="AE99" s="16">
        <f t="shared" ref="AE99:AE102" si="147">AD99*W99*2</f>
        <v>0</v>
      </c>
      <c r="AF99" s="16">
        <f t="shared" si="141"/>
        <v>58891277.8125</v>
      </c>
      <c r="AG99" s="14"/>
    </row>
    <row r="100" spans="1:33" x14ac:dyDescent="0.2">
      <c r="A100" s="12"/>
      <c r="B100" s="13"/>
      <c r="C100" s="13" t="s">
        <v>27</v>
      </c>
      <c r="D100" s="13">
        <v>0</v>
      </c>
      <c r="E100" s="13">
        <f t="shared" si="142"/>
        <v>37646</v>
      </c>
      <c r="F100" s="24">
        <f t="shared" si="143"/>
        <v>7293.0375000000004</v>
      </c>
      <c r="G100" s="15">
        <v>0.9</v>
      </c>
      <c r="H100" s="13"/>
      <c r="I100" s="16">
        <f t="shared" si="136"/>
        <v>247098320.75250003</v>
      </c>
      <c r="J100" s="13"/>
      <c r="K100" s="16">
        <f t="shared" si="131"/>
        <v>247098320.75250003</v>
      </c>
      <c r="L100" s="13"/>
      <c r="M100" s="13">
        <f t="shared" si="137"/>
        <v>0</v>
      </c>
      <c r="N100" s="16">
        <f t="shared" si="144"/>
        <v>0</v>
      </c>
      <c r="O100" s="16">
        <f t="shared" si="138"/>
        <v>37064748.112875</v>
      </c>
      <c r="P100" s="14"/>
      <c r="R100" s="12"/>
      <c r="S100" s="13"/>
      <c r="T100" s="13" t="s">
        <v>27</v>
      </c>
      <c r="U100" s="13">
        <v>0</v>
      </c>
      <c r="V100" s="13">
        <f t="shared" si="145"/>
        <v>40000</v>
      </c>
      <c r="W100" s="24">
        <f t="shared" si="146"/>
        <v>11547.309375000001</v>
      </c>
      <c r="X100" s="15">
        <v>0.85</v>
      </c>
      <c r="Y100" s="13"/>
      <c r="Z100" s="16">
        <f t="shared" si="139"/>
        <v>392608518.75</v>
      </c>
      <c r="AA100" s="13"/>
      <c r="AB100" s="16">
        <f t="shared" si="134"/>
        <v>392608518.75</v>
      </c>
      <c r="AC100" s="13"/>
      <c r="AD100" s="13">
        <f t="shared" si="140"/>
        <v>0</v>
      </c>
      <c r="AE100" s="16">
        <f t="shared" si="147"/>
        <v>0</v>
      </c>
      <c r="AF100" s="16">
        <f t="shared" si="141"/>
        <v>58891277.8125</v>
      </c>
      <c r="AG100" s="14"/>
    </row>
    <row r="101" spans="1:33" x14ac:dyDescent="0.2">
      <c r="A101" s="12"/>
      <c r="B101" s="13"/>
      <c r="C101" s="13" t="s">
        <v>28</v>
      </c>
      <c r="D101" s="13">
        <v>2500</v>
      </c>
      <c r="E101" s="13">
        <f t="shared" si="142"/>
        <v>40146</v>
      </c>
      <c r="F101" s="24">
        <f t="shared" si="143"/>
        <v>7293.0375000000004</v>
      </c>
      <c r="G101" s="15">
        <v>0.9</v>
      </c>
      <c r="H101" s="13"/>
      <c r="I101" s="16">
        <f t="shared" si="136"/>
        <v>263507655.12750003</v>
      </c>
      <c r="J101" s="13"/>
      <c r="K101" s="16">
        <f t="shared" si="131"/>
        <v>263507655.12750003</v>
      </c>
      <c r="L101" s="13"/>
      <c r="M101" s="13">
        <f t="shared" si="137"/>
        <v>2500</v>
      </c>
      <c r="N101" s="16">
        <f t="shared" si="144"/>
        <v>36465187.5</v>
      </c>
      <c r="O101" s="16">
        <f t="shared" si="138"/>
        <v>39526148.269125</v>
      </c>
      <c r="P101" s="14"/>
      <c r="R101" s="12"/>
      <c r="S101" s="13"/>
      <c r="T101" s="13" t="s">
        <v>28</v>
      </c>
      <c r="U101" s="13">
        <v>5000</v>
      </c>
      <c r="V101" s="13">
        <f t="shared" si="145"/>
        <v>45000</v>
      </c>
      <c r="W101" s="24">
        <f t="shared" si="146"/>
        <v>11547.309375000001</v>
      </c>
      <c r="X101" s="15">
        <v>0.85</v>
      </c>
      <c r="Y101" s="13"/>
      <c r="Z101" s="16">
        <f t="shared" si="139"/>
        <v>441684583.59375006</v>
      </c>
      <c r="AA101" s="13"/>
      <c r="AB101" s="16">
        <f t="shared" si="134"/>
        <v>441684583.59375006</v>
      </c>
      <c r="AC101" s="13"/>
      <c r="AD101" s="13">
        <f t="shared" si="140"/>
        <v>5000</v>
      </c>
      <c r="AE101" s="16">
        <f t="shared" si="147"/>
        <v>115473093.75</v>
      </c>
      <c r="AF101" s="16">
        <f t="shared" si="141"/>
        <v>66252687.539062507</v>
      </c>
      <c r="AG101" s="14"/>
    </row>
    <row r="102" spans="1:33" x14ac:dyDescent="0.2">
      <c r="A102" s="12"/>
      <c r="B102" s="13"/>
      <c r="C102" s="13" t="s">
        <v>29</v>
      </c>
      <c r="D102" s="13">
        <v>0</v>
      </c>
      <c r="E102" s="13">
        <f t="shared" si="142"/>
        <v>40146</v>
      </c>
      <c r="F102" s="24">
        <f t="shared" si="143"/>
        <v>7293.0375000000004</v>
      </c>
      <c r="G102" s="15">
        <v>0.9</v>
      </c>
      <c r="H102" s="13"/>
      <c r="I102" s="16">
        <f t="shared" si="136"/>
        <v>263507655.12750003</v>
      </c>
      <c r="J102" s="13"/>
      <c r="K102" s="16">
        <f t="shared" si="131"/>
        <v>263507655.12750003</v>
      </c>
      <c r="L102" s="13"/>
      <c r="M102" s="13">
        <f t="shared" si="137"/>
        <v>0</v>
      </c>
      <c r="N102" s="16">
        <f t="shared" si="144"/>
        <v>0</v>
      </c>
      <c r="O102" s="16">
        <f t="shared" si="138"/>
        <v>39526148.269125</v>
      </c>
      <c r="P102" s="14"/>
      <c r="R102" s="12"/>
      <c r="S102" s="13"/>
      <c r="T102" s="13" t="s">
        <v>29</v>
      </c>
      <c r="U102" s="13">
        <v>0</v>
      </c>
      <c r="V102" s="13">
        <f t="shared" si="145"/>
        <v>45000</v>
      </c>
      <c r="W102" s="24">
        <f t="shared" si="146"/>
        <v>11547.309375000001</v>
      </c>
      <c r="X102" s="15">
        <v>0.85</v>
      </c>
      <c r="Y102" s="13"/>
      <c r="Z102" s="16">
        <f t="shared" si="139"/>
        <v>441684583.59375006</v>
      </c>
      <c r="AA102" s="13"/>
      <c r="AB102" s="16">
        <f t="shared" si="134"/>
        <v>441684583.59375006</v>
      </c>
      <c r="AC102" s="13"/>
      <c r="AD102" s="13">
        <f t="shared" si="140"/>
        <v>0</v>
      </c>
      <c r="AE102" s="16">
        <f t="shared" si="147"/>
        <v>0</v>
      </c>
      <c r="AF102" s="16">
        <f t="shared" si="141"/>
        <v>66252687.539062507</v>
      </c>
      <c r="AG102" s="14"/>
    </row>
    <row r="103" spans="1:33" x14ac:dyDescent="0.2">
      <c r="A103" s="12"/>
      <c r="B103" s="13"/>
      <c r="C103" s="13"/>
      <c r="D103" s="13"/>
      <c r="E103" s="13"/>
      <c r="F103" s="24"/>
      <c r="G103" s="13"/>
      <c r="H103" s="13"/>
      <c r="I103" s="16"/>
      <c r="J103" s="13"/>
      <c r="K103" s="13"/>
      <c r="L103" s="13"/>
      <c r="M103" s="13"/>
      <c r="N103" s="13"/>
      <c r="O103" s="13"/>
      <c r="P103" s="14"/>
      <c r="R103" s="12"/>
      <c r="S103" s="13"/>
      <c r="T103" s="13"/>
      <c r="U103" s="13"/>
      <c r="V103" s="13"/>
      <c r="W103" s="24"/>
      <c r="X103" s="13"/>
      <c r="Y103" s="13"/>
      <c r="Z103" s="16"/>
      <c r="AA103" s="13"/>
      <c r="AB103" s="13"/>
      <c r="AC103" s="13"/>
      <c r="AD103" s="13"/>
      <c r="AE103" s="13"/>
      <c r="AF103" s="13"/>
      <c r="AG103" s="14"/>
    </row>
    <row r="104" spans="1:33" x14ac:dyDescent="0.2">
      <c r="A104" s="12"/>
      <c r="B104" s="13"/>
      <c r="C104" s="13"/>
      <c r="D104" s="13"/>
      <c r="E104" s="13"/>
      <c r="F104" s="24"/>
      <c r="G104" s="13"/>
      <c r="H104" s="13"/>
      <c r="I104" s="13"/>
      <c r="J104" s="13"/>
      <c r="K104" s="13"/>
      <c r="L104" s="13"/>
      <c r="M104" s="13"/>
      <c r="N104" s="13"/>
      <c r="O104" s="13"/>
      <c r="P104" s="14"/>
      <c r="R104" s="12"/>
      <c r="S104" s="13"/>
      <c r="T104" s="13"/>
      <c r="U104" s="13"/>
      <c r="V104" s="13"/>
      <c r="W104" s="24"/>
      <c r="X104" s="13"/>
      <c r="Y104" s="13"/>
      <c r="Z104" s="13"/>
      <c r="AA104" s="13"/>
      <c r="AB104" s="13"/>
      <c r="AC104" s="13"/>
      <c r="AD104" s="13"/>
      <c r="AE104" s="13"/>
      <c r="AF104" s="13"/>
      <c r="AG104" s="14"/>
    </row>
    <row r="105" spans="1:33" x14ac:dyDescent="0.2">
      <c r="A105" s="12"/>
      <c r="B105" s="13"/>
      <c r="C105" s="13"/>
      <c r="D105" s="13"/>
      <c r="E105" s="13"/>
      <c r="F105" s="24"/>
      <c r="G105" s="13"/>
      <c r="H105" s="13"/>
      <c r="I105" s="13"/>
      <c r="J105" s="13"/>
      <c r="K105" s="13"/>
      <c r="L105" s="13"/>
      <c r="M105" s="13"/>
      <c r="N105" s="13"/>
      <c r="O105" s="13"/>
      <c r="P105" s="14"/>
      <c r="R105" s="12"/>
      <c r="S105" s="13"/>
      <c r="T105" s="13"/>
      <c r="U105" s="13"/>
      <c r="V105" s="13"/>
      <c r="W105" s="24"/>
      <c r="X105" s="13"/>
      <c r="Y105" s="13"/>
      <c r="Z105" s="13"/>
      <c r="AA105" s="13"/>
      <c r="AB105" s="13"/>
      <c r="AC105" s="13"/>
      <c r="AD105" s="13"/>
      <c r="AE105" s="13"/>
      <c r="AF105" s="13"/>
      <c r="AG105" s="14"/>
    </row>
    <row r="106" spans="1:33" x14ac:dyDescent="0.2">
      <c r="A106" s="12"/>
      <c r="B106" s="13"/>
      <c r="C106" s="13" t="s">
        <v>17</v>
      </c>
      <c r="D106" s="13"/>
      <c r="E106" s="13"/>
      <c r="F106" s="24"/>
      <c r="G106" s="13"/>
      <c r="H106" s="13"/>
      <c r="I106" s="13"/>
      <c r="J106" s="13"/>
      <c r="K106" s="13"/>
      <c r="L106" s="13"/>
      <c r="M106" s="13"/>
      <c r="N106" s="13"/>
      <c r="O106" s="13"/>
      <c r="P106" s="14"/>
      <c r="R106" s="12"/>
      <c r="S106" s="13"/>
      <c r="T106" s="13" t="s">
        <v>17</v>
      </c>
      <c r="U106" s="13"/>
      <c r="V106" s="13"/>
      <c r="W106" s="24"/>
      <c r="X106" s="13"/>
      <c r="Y106" s="13"/>
      <c r="Z106" s="13"/>
      <c r="AA106" s="13"/>
      <c r="AB106" s="13"/>
      <c r="AC106" s="13"/>
      <c r="AD106" s="13"/>
      <c r="AE106" s="13"/>
      <c r="AF106" s="13"/>
      <c r="AG106" s="14"/>
    </row>
    <row r="107" spans="1:33" x14ac:dyDescent="0.2">
      <c r="A107" s="12"/>
      <c r="B107" s="13"/>
      <c r="C107" s="13" t="s">
        <v>30</v>
      </c>
      <c r="D107" s="13">
        <v>0</v>
      </c>
      <c r="E107" s="13">
        <f>D107+E102</f>
        <v>40146</v>
      </c>
      <c r="F107" s="24">
        <f>F102</f>
        <v>7293.0375000000004</v>
      </c>
      <c r="G107" s="15">
        <v>0.9</v>
      </c>
      <c r="H107" s="13"/>
      <c r="I107" s="16">
        <f t="shared" ref="I107:I112" si="148">E107*F107*G107</f>
        <v>263507655.12750003</v>
      </c>
      <c r="J107" s="13"/>
      <c r="K107" s="16">
        <f t="shared" ref="K107:K112" si="149">E107*F107*G107</f>
        <v>263507655.12750003</v>
      </c>
      <c r="L107" s="13"/>
      <c r="M107" s="13">
        <f t="shared" ref="M107:M112" si="150">D107</f>
        <v>0</v>
      </c>
      <c r="N107" s="16">
        <f t="shared" ref="N107:N112" si="151">M107*F107*2</f>
        <v>0</v>
      </c>
      <c r="O107" s="16">
        <f t="shared" ref="O107:O112" si="152">K107*$O$96</f>
        <v>39526148.269125</v>
      </c>
      <c r="P107" s="14"/>
      <c r="R107" s="12"/>
      <c r="S107" s="13"/>
      <c r="T107" s="13" t="s">
        <v>30</v>
      </c>
      <c r="U107" s="13">
        <v>0</v>
      </c>
      <c r="V107" s="13">
        <f>U107+V102</f>
        <v>45000</v>
      </c>
      <c r="W107" s="24">
        <f>W102</f>
        <v>11547.309375000001</v>
      </c>
      <c r="X107" s="15">
        <v>0.85</v>
      </c>
      <c r="Y107" s="13"/>
      <c r="Z107" s="16">
        <f t="shared" ref="Z107:Z112" si="153">V107*W107*X107</f>
        <v>441684583.59375006</v>
      </c>
      <c r="AA107" s="13"/>
      <c r="AB107" s="16">
        <f t="shared" ref="AB107:AB112" si="154">V107*W107*X107</f>
        <v>441684583.59375006</v>
      </c>
      <c r="AC107" s="13"/>
      <c r="AD107" s="13">
        <f t="shared" ref="AD107:AD112" si="155">U107</f>
        <v>0</v>
      </c>
      <c r="AE107" s="16">
        <f t="shared" ref="AE107:AE112" si="156">AD107*W107*2</f>
        <v>0</v>
      </c>
      <c r="AF107" s="16">
        <f t="shared" ref="AF107:AF112" si="157">AB107*$O$96</f>
        <v>66252687.539062507</v>
      </c>
      <c r="AG107" s="14"/>
    </row>
    <row r="108" spans="1:33" x14ac:dyDescent="0.2">
      <c r="A108" s="12"/>
      <c r="B108" s="13"/>
      <c r="C108" s="13" t="s">
        <v>31</v>
      </c>
      <c r="D108" s="13">
        <v>2500</v>
      </c>
      <c r="E108" s="13">
        <f>D108+E107</f>
        <v>42646</v>
      </c>
      <c r="F108" s="24">
        <f>F107</f>
        <v>7293.0375000000004</v>
      </c>
      <c r="G108" s="15">
        <v>0.9</v>
      </c>
      <c r="H108" s="13"/>
      <c r="I108" s="16">
        <f t="shared" si="148"/>
        <v>279916989.50250006</v>
      </c>
      <c r="J108" s="13"/>
      <c r="K108" s="16">
        <f t="shared" si="149"/>
        <v>279916989.50250006</v>
      </c>
      <c r="L108" s="13"/>
      <c r="M108" s="13">
        <f t="shared" si="150"/>
        <v>2500</v>
      </c>
      <c r="N108" s="16">
        <f t="shared" si="151"/>
        <v>36465187.5</v>
      </c>
      <c r="O108" s="16">
        <f t="shared" si="152"/>
        <v>41987548.425375007</v>
      </c>
      <c r="P108" s="14"/>
      <c r="R108" s="12"/>
      <c r="S108" s="13"/>
      <c r="T108" s="13" t="s">
        <v>31</v>
      </c>
      <c r="U108" s="13">
        <v>5000</v>
      </c>
      <c r="V108" s="13">
        <f>U108+V107</f>
        <v>50000</v>
      </c>
      <c r="W108" s="24">
        <f>W107</f>
        <v>11547.309375000001</v>
      </c>
      <c r="X108" s="15">
        <v>0.85</v>
      </c>
      <c r="Y108" s="13"/>
      <c r="Z108" s="16">
        <f t="shared" si="153"/>
        <v>490760648.4375</v>
      </c>
      <c r="AA108" s="13"/>
      <c r="AB108" s="16">
        <f t="shared" si="154"/>
        <v>490760648.4375</v>
      </c>
      <c r="AC108" s="13"/>
      <c r="AD108" s="13">
        <f t="shared" si="155"/>
        <v>5000</v>
      </c>
      <c r="AE108" s="16">
        <f t="shared" si="156"/>
        <v>115473093.75</v>
      </c>
      <c r="AF108" s="16">
        <f t="shared" si="157"/>
        <v>73614097.265625</v>
      </c>
      <c r="AG108" s="14"/>
    </row>
    <row r="109" spans="1:33" x14ac:dyDescent="0.2">
      <c r="A109" s="12"/>
      <c r="B109" s="13"/>
      <c r="C109" s="13" t="s">
        <v>32</v>
      </c>
      <c r="D109" s="13">
        <v>0</v>
      </c>
      <c r="E109" s="13">
        <f t="shared" ref="E109:E112" si="158">D109+E108</f>
        <v>42646</v>
      </c>
      <c r="F109" s="24">
        <f t="shared" ref="F109:F112" si="159">F108</f>
        <v>7293.0375000000004</v>
      </c>
      <c r="G109" s="15">
        <v>0.9</v>
      </c>
      <c r="H109" s="13"/>
      <c r="I109" s="16">
        <f t="shared" si="148"/>
        <v>279916989.50250006</v>
      </c>
      <c r="J109" s="13"/>
      <c r="K109" s="16">
        <f t="shared" si="149"/>
        <v>279916989.50250006</v>
      </c>
      <c r="L109" s="13"/>
      <c r="M109" s="13">
        <f t="shared" si="150"/>
        <v>0</v>
      </c>
      <c r="N109" s="16">
        <f t="shared" si="151"/>
        <v>0</v>
      </c>
      <c r="O109" s="16">
        <f t="shared" si="152"/>
        <v>41987548.425375007</v>
      </c>
      <c r="P109" s="14"/>
      <c r="R109" s="12"/>
      <c r="S109" s="13"/>
      <c r="T109" s="13" t="s">
        <v>32</v>
      </c>
      <c r="U109" s="13">
        <v>0</v>
      </c>
      <c r="V109" s="13">
        <f t="shared" ref="V109:V112" si="160">U109+V108</f>
        <v>50000</v>
      </c>
      <c r="W109" s="24">
        <f t="shared" ref="W109:W112" si="161">W108</f>
        <v>11547.309375000001</v>
      </c>
      <c r="X109" s="15">
        <v>0.85</v>
      </c>
      <c r="Y109" s="13"/>
      <c r="Z109" s="16">
        <f t="shared" si="153"/>
        <v>490760648.4375</v>
      </c>
      <c r="AA109" s="13"/>
      <c r="AB109" s="16">
        <f t="shared" si="154"/>
        <v>490760648.4375</v>
      </c>
      <c r="AC109" s="13"/>
      <c r="AD109" s="13">
        <f t="shared" si="155"/>
        <v>0</v>
      </c>
      <c r="AE109" s="16">
        <f t="shared" si="156"/>
        <v>0</v>
      </c>
      <c r="AF109" s="16">
        <f t="shared" si="157"/>
        <v>73614097.265625</v>
      </c>
      <c r="AG109" s="14"/>
    </row>
    <row r="110" spans="1:33" x14ac:dyDescent="0.2">
      <c r="A110" s="12"/>
      <c r="B110" s="13"/>
      <c r="C110" s="13" t="s">
        <v>33</v>
      </c>
      <c r="D110" s="13">
        <v>2500</v>
      </c>
      <c r="E110" s="13">
        <f t="shared" si="158"/>
        <v>45146</v>
      </c>
      <c r="F110" s="24">
        <f t="shared" si="159"/>
        <v>7293.0375000000004</v>
      </c>
      <c r="G110" s="15">
        <v>0.9</v>
      </c>
      <c r="H110" s="13"/>
      <c r="I110" s="16">
        <f t="shared" si="148"/>
        <v>296326323.87750006</v>
      </c>
      <c r="J110" s="13"/>
      <c r="K110" s="16">
        <f t="shared" si="149"/>
        <v>296326323.87750006</v>
      </c>
      <c r="L110" s="13"/>
      <c r="M110" s="13">
        <f t="shared" si="150"/>
        <v>2500</v>
      </c>
      <c r="N110" s="16">
        <f t="shared" si="151"/>
        <v>36465187.5</v>
      </c>
      <c r="O110" s="16">
        <f t="shared" si="152"/>
        <v>44448948.581625007</v>
      </c>
      <c r="P110" s="14"/>
      <c r="R110" s="12"/>
      <c r="S110" s="13"/>
      <c r="T110" s="13" t="s">
        <v>33</v>
      </c>
      <c r="U110" s="13">
        <v>5000</v>
      </c>
      <c r="V110" s="13">
        <f t="shared" si="160"/>
        <v>55000</v>
      </c>
      <c r="W110" s="24">
        <f t="shared" si="161"/>
        <v>11547.309375000001</v>
      </c>
      <c r="X110" s="15">
        <v>0.85</v>
      </c>
      <c r="Y110" s="13"/>
      <c r="Z110" s="16">
        <f t="shared" si="153"/>
        <v>539836713.28125</v>
      </c>
      <c r="AA110" s="13"/>
      <c r="AB110" s="16">
        <f t="shared" si="154"/>
        <v>539836713.28125</v>
      </c>
      <c r="AC110" s="13"/>
      <c r="AD110" s="13">
        <f t="shared" si="155"/>
        <v>5000</v>
      </c>
      <c r="AE110" s="16">
        <f t="shared" si="156"/>
        <v>115473093.75</v>
      </c>
      <c r="AF110" s="16">
        <f t="shared" si="157"/>
        <v>80975506.9921875</v>
      </c>
      <c r="AG110" s="14"/>
    </row>
    <row r="111" spans="1:33" x14ac:dyDescent="0.2">
      <c r="A111" s="12"/>
      <c r="B111" s="13"/>
      <c r="C111" s="13" t="s">
        <v>34</v>
      </c>
      <c r="D111" s="13">
        <v>0</v>
      </c>
      <c r="E111" s="13">
        <f t="shared" si="158"/>
        <v>45146</v>
      </c>
      <c r="F111" s="24">
        <f t="shared" si="159"/>
        <v>7293.0375000000004</v>
      </c>
      <c r="G111" s="15">
        <v>0.9</v>
      </c>
      <c r="H111" s="13"/>
      <c r="I111" s="16">
        <f t="shared" si="148"/>
        <v>296326323.87750006</v>
      </c>
      <c r="J111" s="13"/>
      <c r="K111" s="16">
        <f t="shared" si="149"/>
        <v>296326323.87750006</v>
      </c>
      <c r="L111" s="13"/>
      <c r="M111" s="13">
        <f t="shared" si="150"/>
        <v>0</v>
      </c>
      <c r="N111" s="16">
        <f t="shared" si="151"/>
        <v>0</v>
      </c>
      <c r="O111" s="16">
        <f t="shared" si="152"/>
        <v>44448948.581625007</v>
      </c>
      <c r="P111" s="14"/>
      <c r="R111" s="12"/>
      <c r="S111" s="13"/>
      <c r="T111" s="13" t="s">
        <v>34</v>
      </c>
      <c r="U111" s="13">
        <v>0</v>
      </c>
      <c r="V111" s="13">
        <f t="shared" si="160"/>
        <v>55000</v>
      </c>
      <c r="W111" s="24">
        <f t="shared" si="161"/>
        <v>11547.309375000001</v>
      </c>
      <c r="X111" s="15">
        <v>0.85</v>
      </c>
      <c r="Y111" s="13"/>
      <c r="Z111" s="16">
        <f t="shared" si="153"/>
        <v>539836713.28125</v>
      </c>
      <c r="AA111" s="13"/>
      <c r="AB111" s="16">
        <f t="shared" si="154"/>
        <v>539836713.28125</v>
      </c>
      <c r="AC111" s="13"/>
      <c r="AD111" s="13">
        <f t="shared" si="155"/>
        <v>0</v>
      </c>
      <c r="AE111" s="16">
        <f t="shared" si="156"/>
        <v>0</v>
      </c>
      <c r="AF111" s="16">
        <f t="shared" si="157"/>
        <v>80975506.9921875</v>
      </c>
      <c r="AG111" s="14"/>
    </row>
    <row r="112" spans="1:33" x14ac:dyDescent="0.2">
      <c r="A112" s="12"/>
      <c r="B112" s="13"/>
      <c r="C112" s="13" t="s">
        <v>35</v>
      </c>
      <c r="D112" s="13">
        <v>0</v>
      </c>
      <c r="E112" s="13">
        <f t="shared" si="158"/>
        <v>45146</v>
      </c>
      <c r="F112" s="24">
        <f t="shared" si="159"/>
        <v>7293.0375000000004</v>
      </c>
      <c r="G112" s="15">
        <v>0.9</v>
      </c>
      <c r="H112" s="13"/>
      <c r="I112" s="16">
        <f t="shared" si="148"/>
        <v>296326323.87750006</v>
      </c>
      <c r="J112" s="13"/>
      <c r="K112" s="16">
        <f t="shared" si="149"/>
        <v>296326323.87750006</v>
      </c>
      <c r="L112" s="13"/>
      <c r="M112" s="13">
        <f t="shared" si="150"/>
        <v>0</v>
      </c>
      <c r="N112" s="16">
        <f t="shared" si="151"/>
        <v>0</v>
      </c>
      <c r="O112" s="16">
        <f t="shared" si="152"/>
        <v>44448948.581625007</v>
      </c>
      <c r="P112" s="14"/>
      <c r="R112" s="12"/>
      <c r="S112" s="13"/>
      <c r="T112" s="13" t="s">
        <v>35</v>
      </c>
      <c r="U112" s="13">
        <v>0</v>
      </c>
      <c r="V112" s="13">
        <f t="shared" si="160"/>
        <v>55000</v>
      </c>
      <c r="W112" s="24">
        <f t="shared" si="161"/>
        <v>11547.309375000001</v>
      </c>
      <c r="X112" s="15">
        <v>0.85</v>
      </c>
      <c r="Y112" s="13"/>
      <c r="Z112" s="16">
        <f t="shared" si="153"/>
        <v>539836713.28125</v>
      </c>
      <c r="AA112" s="13"/>
      <c r="AB112" s="16">
        <f t="shared" si="154"/>
        <v>539836713.28125</v>
      </c>
      <c r="AC112" s="13"/>
      <c r="AD112" s="13">
        <f t="shared" si="155"/>
        <v>0</v>
      </c>
      <c r="AE112" s="16">
        <f t="shared" si="156"/>
        <v>0</v>
      </c>
      <c r="AF112" s="16">
        <f t="shared" si="157"/>
        <v>80975506.9921875</v>
      </c>
      <c r="AG112" s="14"/>
    </row>
    <row r="113" spans="1:33" x14ac:dyDescent="0.2">
      <c r="A113" s="12"/>
      <c r="B113" s="13"/>
      <c r="C113" s="13"/>
      <c r="D113" s="13"/>
      <c r="E113" s="13"/>
      <c r="F113" s="13"/>
      <c r="G113" s="13"/>
      <c r="H113" s="13"/>
      <c r="I113" s="16"/>
      <c r="J113" s="13"/>
      <c r="K113" s="16"/>
      <c r="L113" s="19">
        <f>SUM(K97:K112)</f>
        <v>3211319864.6550002</v>
      </c>
      <c r="M113" s="16"/>
      <c r="N113" s="19">
        <f>SUM(N93:N112)</f>
        <v>613536250</v>
      </c>
      <c r="O113" s="19">
        <f>SUM(O97:O112)</f>
        <v>481697979.69824988</v>
      </c>
      <c r="P113" s="22">
        <f>O113/N113</f>
        <v>0.78511739069737096</v>
      </c>
      <c r="R113" s="12"/>
      <c r="S113" s="13"/>
      <c r="T113" s="13"/>
      <c r="U113" s="13"/>
      <c r="V113" s="13"/>
      <c r="W113" s="24"/>
      <c r="X113" s="13"/>
      <c r="Y113" s="13"/>
      <c r="Z113" s="16"/>
      <c r="AA113" s="13"/>
      <c r="AB113" s="16"/>
      <c r="AC113" s="19">
        <f>SUM(AB97:AB112)</f>
        <v>5447443197.65625</v>
      </c>
      <c r="AD113" s="16"/>
      <c r="AE113" s="19">
        <f>SUM(AE93:AE112)</f>
        <v>1211929500</v>
      </c>
      <c r="AF113" s="19">
        <f>SUM(AF97:AF112)</f>
        <v>817116479.6484375</v>
      </c>
      <c r="AG113" s="22">
        <f>AF113/AE113</f>
        <v>0.67422773325382168</v>
      </c>
    </row>
    <row r="114" spans="1:33" ht="17" thickBot="1" x14ac:dyDescent="0.2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  <c r="R114" s="25">
        <f>V112</f>
        <v>55000</v>
      </c>
      <c r="S114" s="26"/>
      <c r="T114" s="26"/>
      <c r="U114" s="26"/>
      <c r="V114" s="26"/>
      <c r="W114" s="30"/>
      <c r="X114" s="26"/>
      <c r="Y114" s="26"/>
      <c r="Z114" s="26"/>
      <c r="AA114" s="26"/>
      <c r="AB114" s="26"/>
      <c r="AC114" s="26"/>
      <c r="AD114" s="26"/>
      <c r="AE114" s="26"/>
      <c r="AF114" s="26"/>
      <c r="AG114" s="27"/>
    </row>
    <row r="115" spans="1:33" ht="17" thickBot="1" x14ac:dyDescent="0.25">
      <c r="A115" s="25">
        <f>E112</f>
        <v>45146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W115" s="10"/>
    </row>
    <row r="116" spans="1:33" x14ac:dyDescent="0.2">
      <c r="N116" s="11"/>
      <c r="W116" s="10"/>
    </row>
  </sheetData>
  <mergeCells count="2">
    <mergeCell ref="A2:P2"/>
    <mergeCell ref="R2:AG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13EF-B469-F64B-885F-CDB23BED8CDC}">
  <dimension ref="B2:AE30"/>
  <sheetViews>
    <sheetView topLeftCell="J1" workbookViewId="0">
      <selection activeCell="P34" sqref="P34"/>
    </sheetView>
  </sheetViews>
  <sheetFormatPr baseColWidth="10" defaultRowHeight="16" x14ac:dyDescent="0.2"/>
  <cols>
    <col min="2" max="2" width="21.1640625" bestFit="1" customWidth="1"/>
    <col min="3" max="3" width="17.1640625" bestFit="1" customWidth="1"/>
    <col min="4" max="10" width="11.6640625" bestFit="1" customWidth="1"/>
    <col min="11" max="20" width="13.1640625" bestFit="1" customWidth="1"/>
    <col min="21" max="21" width="14.1640625" bestFit="1" customWidth="1"/>
    <col min="22" max="23" width="13.1640625" bestFit="1" customWidth="1"/>
    <col min="24" max="31" width="14.1640625" bestFit="1" customWidth="1"/>
  </cols>
  <sheetData>
    <row r="2" spans="2:31" ht="17" thickBot="1" x14ac:dyDescent="0.25"/>
    <row r="3" spans="2:31" ht="17" thickBot="1" x14ac:dyDescent="0.25">
      <c r="B3" s="41"/>
      <c r="C3" s="42"/>
      <c r="D3" s="42" t="s">
        <v>58</v>
      </c>
      <c r="E3" s="43" t="s">
        <v>59</v>
      </c>
      <c r="F3" s="43" t="s">
        <v>64</v>
      </c>
      <c r="G3" s="50" t="s">
        <v>75</v>
      </c>
      <c r="H3" s="43" t="s">
        <v>76</v>
      </c>
      <c r="I3" s="43" t="s">
        <v>77</v>
      </c>
      <c r="J3" s="43" t="s">
        <v>78</v>
      </c>
      <c r="K3" s="44" t="s">
        <v>3</v>
      </c>
      <c r="L3" s="50" t="s">
        <v>79</v>
      </c>
      <c r="M3" s="43" t="s">
        <v>80</v>
      </c>
      <c r="N3" s="43" t="s">
        <v>81</v>
      </c>
      <c r="O3" s="43" t="s">
        <v>82</v>
      </c>
      <c r="P3" s="44" t="s">
        <v>4</v>
      </c>
      <c r="Q3" s="43" t="s">
        <v>86</v>
      </c>
      <c r="R3" s="43" t="s">
        <v>87</v>
      </c>
      <c r="S3" s="43" t="s">
        <v>88</v>
      </c>
      <c r="T3" s="43" t="s">
        <v>89</v>
      </c>
      <c r="U3" s="43" t="s">
        <v>5</v>
      </c>
      <c r="V3" s="50" t="s">
        <v>90</v>
      </c>
      <c r="W3" s="43" t="s">
        <v>91</v>
      </c>
      <c r="X3" s="43" t="s">
        <v>92</v>
      </c>
      <c r="Y3" s="43" t="s">
        <v>93</v>
      </c>
      <c r="Z3" s="44" t="s">
        <v>6</v>
      </c>
      <c r="AA3" s="43" t="s">
        <v>94</v>
      </c>
      <c r="AB3" s="43" t="s">
        <v>95</v>
      </c>
      <c r="AC3" s="43" t="s">
        <v>96</v>
      </c>
      <c r="AD3" s="43" t="s">
        <v>97</v>
      </c>
      <c r="AE3" s="44" t="s">
        <v>36</v>
      </c>
    </row>
    <row r="4" spans="2:31" ht="17" thickBot="1" x14ac:dyDescent="0.25">
      <c r="B4" s="12"/>
      <c r="C4" s="13"/>
      <c r="D4" s="13"/>
      <c r="E4" s="13"/>
      <c r="F4" s="13" t="s">
        <v>65</v>
      </c>
      <c r="G4" s="12"/>
      <c r="H4" s="13"/>
      <c r="I4" s="13"/>
      <c r="J4" s="13"/>
      <c r="K4" s="14"/>
      <c r="L4" s="12"/>
      <c r="M4" s="13"/>
      <c r="N4" s="13"/>
      <c r="O4" s="13"/>
      <c r="P4" s="14"/>
      <c r="Q4" s="32"/>
      <c r="R4" s="32"/>
      <c r="S4" s="32"/>
      <c r="T4" s="32"/>
      <c r="U4" s="33"/>
      <c r="V4" s="12"/>
      <c r="W4" s="13"/>
      <c r="X4" s="13"/>
      <c r="Y4" s="13"/>
      <c r="Z4" s="14"/>
      <c r="AA4" s="13"/>
      <c r="AB4" s="13"/>
      <c r="AC4" s="13"/>
      <c r="AD4" s="13"/>
      <c r="AE4" s="14"/>
    </row>
    <row r="5" spans="2:31" x14ac:dyDescent="0.2">
      <c r="B5" s="57" t="s">
        <v>60</v>
      </c>
      <c r="C5" s="32" t="s">
        <v>61</v>
      </c>
      <c r="D5" s="32">
        <v>4</v>
      </c>
      <c r="E5" s="32">
        <v>10</v>
      </c>
      <c r="F5" s="32"/>
      <c r="G5" s="51">
        <v>10</v>
      </c>
      <c r="H5" s="32">
        <v>10</v>
      </c>
      <c r="I5" s="32">
        <v>20</v>
      </c>
      <c r="J5" s="32">
        <v>20</v>
      </c>
      <c r="K5" s="33"/>
      <c r="L5" s="51">
        <v>30</v>
      </c>
      <c r="M5" s="32">
        <v>35</v>
      </c>
      <c r="N5" s="32">
        <v>60</v>
      </c>
      <c r="O5" s="32">
        <v>60</v>
      </c>
      <c r="P5" s="33"/>
      <c r="Q5" s="32">
        <v>80</v>
      </c>
      <c r="R5" s="32">
        <v>100</v>
      </c>
      <c r="S5" s="32">
        <v>120</v>
      </c>
      <c r="T5" s="32">
        <v>140</v>
      </c>
      <c r="U5" s="33"/>
      <c r="V5" s="51">
        <v>180</v>
      </c>
      <c r="W5" s="32">
        <v>250</v>
      </c>
      <c r="X5" s="32">
        <v>300</v>
      </c>
      <c r="Y5" s="32">
        <v>320</v>
      </c>
      <c r="Z5" s="33"/>
      <c r="AA5" s="32">
        <v>350</v>
      </c>
      <c r="AB5" s="32">
        <v>400</v>
      </c>
      <c r="AC5" s="32">
        <v>450</v>
      </c>
      <c r="AD5" s="32">
        <v>480</v>
      </c>
      <c r="AE5" s="33"/>
    </row>
    <row r="6" spans="2:31" x14ac:dyDescent="0.2">
      <c r="B6" s="58"/>
      <c r="C6" s="13" t="s">
        <v>62</v>
      </c>
      <c r="D6" s="34">
        <v>25000</v>
      </c>
      <c r="E6" s="13">
        <v>30000</v>
      </c>
      <c r="F6" s="15">
        <v>0.08</v>
      </c>
      <c r="G6" s="12">
        <f>E6*(1+F6)</f>
        <v>32400.000000000004</v>
      </c>
      <c r="H6" s="13">
        <f>G6</f>
        <v>32400.000000000004</v>
      </c>
      <c r="I6" s="13">
        <f>H6</f>
        <v>32400.000000000004</v>
      </c>
      <c r="J6" s="13">
        <f>I6</f>
        <v>32400.000000000004</v>
      </c>
      <c r="K6" s="35">
        <v>0.1</v>
      </c>
      <c r="L6" s="12">
        <f>J6*(1+K6)</f>
        <v>35640.000000000007</v>
      </c>
      <c r="M6" s="13">
        <f>L6</f>
        <v>35640.000000000007</v>
      </c>
      <c r="N6" s="13">
        <f>M6</f>
        <v>35640.000000000007</v>
      </c>
      <c r="O6" s="13">
        <f>N6</f>
        <v>35640.000000000007</v>
      </c>
      <c r="P6" s="35">
        <v>0.1</v>
      </c>
      <c r="Q6" s="13">
        <f>O6*(1+P6)</f>
        <v>39204.000000000015</v>
      </c>
      <c r="R6" s="13">
        <f>Q6</f>
        <v>39204.000000000015</v>
      </c>
      <c r="S6" s="13">
        <f>R6</f>
        <v>39204.000000000015</v>
      </c>
      <c r="T6" s="13">
        <f>S6</f>
        <v>39204.000000000015</v>
      </c>
      <c r="U6" s="35">
        <v>0.1</v>
      </c>
      <c r="V6" s="12">
        <f>T6*(1+U6)</f>
        <v>43124.400000000016</v>
      </c>
      <c r="W6" s="13">
        <f>V6</f>
        <v>43124.400000000016</v>
      </c>
      <c r="X6" s="13">
        <f>W6</f>
        <v>43124.400000000016</v>
      </c>
      <c r="Y6" s="13">
        <f>X6</f>
        <v>43124.400000000016</v>
      </c>
      <c r="Z6" s="35">
        <v>0.1</v>
      </c>
      <c r="AA6" s="13">
        <f>Y6*(1+Z6)</f>
        <v>47436.840000000018</v>
      </c>
      <c r="AB6" s="13">
        <f>AA6</f>
        <v>47436.840000000018</v>
      </c>
      <c r="AC6" s="13">
        <f>AB6</f>
        <v>47436.840000000018</v>
      </c>
      <c r="AD6" s="13">
        <f>AC6</f>
        <v>47436.840000000018</v>
      </c>
      <c r="AE6" s="35"/>
    </row>
    <row r="7" spans="2:31" ht="17" thickBot="1" x14ac:dyDescent="0.25">
      <c r="B7" s="59"/>
      <c r="C7" s="26" t="s">
        <v>63</v>
      </c>
      <c r="D7" s="36">
        <f>D6*D5*9</f>
        <v>900000</v>
      </c>
      <c r="E7" s="36">
        <f>E5*E6*3</f>
        <v>900000</v>
      </c>
      <c r="F7" s="37">
        <f>D7+E7</f>
        <v>1800000</v>
      </c>
      <c r="G7" s="52">
        <f>G5*G6*3</f>
        <v>972000.00000000023</v>
      </c>
      <c r="H7" s="36">
        <f>H5*H6*3</f>
        <v>972000.00000000023</v>
      </c>
      <c r="I7" s="36">
        <f>I5*I6*3</f>
        <v>1944000.0000000005</v>
      </c>
      <c r="J7" s="36">
        <f>J5*J6*3</f>
        <v>1944000.0000000005</v>
      </c>
      <c r="K7" s="38">
        <f>SUM(G7:J7)</f>
        <v>5832000.0000000019</v>
      </c>
      <c r="L7" s="52">
        <f>L5*L6*3</f>
        <v>3207600.0000000009</v>
      </c>
      <c r="M7" s="36">
        <f>M5*M6*3</f>
        <v>3742200.0000000009</v>
      </c>
      <c r="N7" s="36">
        <f>N5*N6*3</f>
        <v>6415200.0000000019</v>
      </c>
      <c r="O7" s="36">
        <f>O5*O6*3</f>
        <v>6415200.0000000019</v>
      </c>
      <c r="P7" s="38">
        <f>SUM(L7:O7)</f>
        <v>19780200.000000007</v>
      </c>
      <c r="Q7" s="36">
        <f>Q5*Q6*3</f>
        <v>9408960.0000000037</v>
      </c>
      <c r="R7" s="36">
        <f>R5*R6*3</f>
        <v>11761200.000000004</v>
      </c>
      <c r="S7" s="36">
        <f>S5*S6*3</f>
        <v>14113440.000000006</v>
      </c>
      <c r="T7" s="36">
        <f>T5*T6*3</f>
        <v>16465680.000000006</v>
      </c>
      <c r="U7" s="38">
        <f>SUM(Q7:T7)</f>
        <v>51749280.000000022</v>
      </c>
      <c r="V7" s="52">
        <f>V5*V6*3</f>
        <v>23287176.000000007</v>
      </c>
      <c r="W7" s="36">
        <f>W5*W6*3</f>
        <v>32343300.000000011</v>
      </c>
      <c r="X7" s="36">
        <f>X5*X6*3</f>
        <v>38811960.000000015</v>
      </c>
      <c r="Y7" s="36">
        <f>Y5*Y6*3</f>
        <v>41399424.000000015</v>
      </c>
      <c r="Z7" s="38">
        <f>SUM(V7:Y7)</f>
        <v>135841860.00000006</v>
      </c>
      <c r="AA7" s="36">
        <f>AA5*AA6*3</f>
        <v>49808682.000000015</v>
      </c>
      <c r="AB7" s="36">
        <f>AB5*AB6*3</f>
        <v>56924208.000000022</v>
      </c>
      <c r="AC7" s="36">
        <f>AC5*AC6*3</f>
        <v>64039734.000000022</v>
      </c>
      <c r="AD7" s="36">
        <f>AD5*AD6*3</f>
        <v>68309049.600000024</v>
      </c>
      <c r="AE7" s="38">
        <f>SUM(AA7:AD7)</f>
        <v>239081673.60000008</v>
      </c>
    </row>
    <row r="8" spans="2:31" ht="17" thickBot="1" x14ac:dyDescent="0.25">
      <c r="B8" s="12"/>
      <c r="C8" s="13"/>
      <c r="D8" s="13"/>
      <c r="E8" s="13"/>
      <c r="F8" s="13"/>
      <c r="G8" s="12"/>
      <c r="H8" s="13"/>
      <c r="I8" s="13"/>
      <c r="J8" s="13"/>
      <c r="K8" s="14"/>
      <c r="L8" s="12"/>
      <c r="M8" s="13"/>
      <c r="N8" s="13"/>
      <c r="O8" s="13"/>
      <c r="P8" s="14"/>
      <c r="Q8" s="13"/>
      <c r="R8" s="13"/>
      <c r="S8" s="13"/>
      <c r="T8" s="13"/>
      <c r="U8" s="14"/>
      <c r="V8" s="12"/>
      <c r="W8" s="13"/>
      <c r="X8" s="13"/>
      <c r="Y8" s="13"/>
      <c r="Z8" s="14"/>
      <c r="AA8" s="13"/>
      <c r="AB8" s="13"/>
      <c r="AC8" s="13"/>
      <c r="AD8" s="13"/>
      <c r="AE8" s="14"/>
    </row>
    <row r="9" spans="2:31" x14ac:dyDescent="0.2">
      <c r="B9" s="57" t="s">
        <v>66</v>
      </c>
      <c r="C9" s="32" t="s">
        <v>61</v>
      </c>
      <c r="D9" s="32">
        <v>0</v>
      </c>
      <c r="E9" s="32">
        <v>2</v>
      </c>
      <c r="F9" s="32"/>
      <c r="G9" s="51">
        <v>10</v>
      </c>
      <c r="H9" s="32">
        <v>20</v>
      </c>
      <c r="I9" s="32">
        <v>30</v>
      </c>
      <c r="J9" s="32">
        <v>35</v>
      </c>
      <c r="K9" s="33"/>
      <c r="L9" s="51">
        <v>50</v>
      </c>
      <c r="M9" s="32">
        <v>60</v>
      </c>
      <c r="N9" s="32">
        <v>70</v>
      </c>
      <c r="O9" s="32">
        <v>70</v>
      </c>
      <c r="P9" s="33"/>
      <c r="Q9" s="32">
        <v>100</v>
      </c>
      <c r="R9" s="32">
        <v>150</v>
      </c>
      <c r="S9" s="32">
        <v>200</v>
      </c>
      <c r="T9" s="32">
        <v>200</v>
      </c>
      <c r="U9" s="33"/>
      <c r="V9" s="51">
        <v>250</v>
      </c>
      <c r="W9" s="32">
        <v>300</v>
      </c>
      <c r="X9" s="32">
        <v>400</v>
      </c>
      <c r="Y9" s="32">
        <v>500</v>
      </c>
      <c r="Z9" s="33"/>
      <c r="AA9" s="32">
        <v>600</v>
      </c>
      <c r="AB9" s="32">
        <v>650</v>
      </c>
      <c r="AC9" s="32">
        <v>700</v>
      </c>
      <c r="AD9" s="32">
        <v>700</v>
      </c>
      <c r="AE9" s="33"/>
    </row>
    <row r="10" spans="2:31" x14ac:dyDescent="0.2">
      <c r="B10" s="58"/>
      <c r="C10" s="13" t="s">
        <v>62</v>
      </c>
      <c r="D10" s="34">
        <v>0</v>
      </c>
      <c r="E10" s="13">
        <v>37000</v>
      </c>
      <c r="F10" s="15">
        <v>0</v>
      </c>
      <c r="G10" s="12">
        <f>E10*(1+F10)</f>
        <v>37000</v>
      </c>
      <c r="H10" s="13">
        <f>G10</f>
        <v>37000</v>
      </c>
      <c r="I10" s="13">
        <f>H10</f>
        <v>37000</v>
      </c>
      <c r="J10" s="13">
        <f>I10</f>
        <v>37000</v>
      </c>
      <c r="K10" s="35">
        <v>0.1</v>
      </c>
      <c r="L10" s="12">
        <f>J10*(1+K10)</f>
        <v>40700</v>
      </c>
      <c r="M10" s="13">
        <f>L10</f>
        <v>40700</v>
      </c>
      <c r="N10" s="13">
        <f>M10</f>
        <v>40700</v>
      </c>
      <c r="O10" s="13">
        <f>N10</f>
        <v>40700</v>
      </c>
      <c r="P10" s="35">
        <v>0.1</v>
      </c>
      <c r="Q10" s="13">
        <f>O10*(1+P10)</f>
        <v>44770</v>
      </c>
      <c r="R10" s="13">
        <f>Q10</f>
        <v>44770</v>
      </c>
      <c r="S10" s="13">
        <f>R10</f>
        <v>44770</v>
      </c>
      <c r="T10" s="13">
        <f>S10</f>
        <v>44770</v>
      </c>
      <c r="U10" s="35">
        <v>0.1</v>
      </c>
      <c r="V10" s="12">
        <f>T10*(1+U10)</f>
        <v>49247.000000000007</v>
      </c>
      <c r="W10" s="13">
        <f>V10</f>
        <v>49247.000000000007</v>
      </c>
      <c r="X10" s="13">
        <f>W10</f>
        <v>49247.000000000007</v>
      </c>
      <c r="Y10" s="13">
        <f>X10</f>
        <v>49247.000000000007</v>
      </c>
      <c r="Z10" s="35">
        <v>0.1</v>
      </c>
      <c r="AA10" s="13">
        <f>Y10*(1+Z10)</f>
        <v>54171.700000000012</v>
      </c>
      <c r="AB10" s="13">
        <f>AA10</f>
        <v>54171.700000000012</v>
      </c>
      <c r="AC10" s="13">
        <f>AB10</f>
        <v>54171.700000000012</v>
      </c>
      <c r="AD10" s="13">
        <f>AC10</f>
        <v>54171.700000000012</v>
      </c>
      <c r="AE10" s="35"/>
    </row>
    <row r="11" spans="2:31" ht="17" thickBot="1" x14ac:dyDescent="0.25">
      <c r="B11" s="59"/>
      <c r="C11" s="26" t="s">
        <v>63</v>
      </c>
      <c r="D11" s="36">
        <f>D10*D9*9</f>
        <v>0</v>
      </c>
      <c r="E11" s="36">
        <f>E9*E10*3</f>
        <v>222000</v>
      </c>
      <c r="F11" s="37">
        <f>D11+E11</f>
        <v>222000</v>
      </c>
      <c r="G11" s="52">
        <f>G9*G10*3</f>
        <v>1110000</v>
      </c>
      <c r="H11" s="36">
        <f>H9*H10*3</f>
        <v>2220000</v>
      </c>
      <c r="I11" s="36">
        <f>I9*I10*3</f>
        <v>3330000</v>
      </c>
      <c r="J11" s="36">
        <f>J9*J10*3</f>
        <v>3885000</v>
      </c>
      <c r="K11" s="38">
        <f>SUM(G11:J11)</f>
        <v>10545000</v>
      </c>
      <c r="L11" s="52">
        <f>L9*L10*3</f>
        <v>6105000</v>
      </c>
      <c r="M11" s="36">
        <f>M9*M10*3</f>
        <v>7326000</v>
      </c>
      <c r="N11" s="36">
        <f>N9*N10*3</f>
        <v>8547000</v>
      </c>
      <c r="O11" s="36">
        <f>O9*O10*3</f>
        <v>8547000</v>
      </c>
      <c r="P11" s="38">
        <f>SUM(L11:O11)</f>
        <v>30525000</v>
      </c>
      <c r="Q11" s="36">
        <f>Q9*Q10*3</f>
        <v>13431000</v>
      </c>
      <c r="R11" s="36">
        <f>R9*R10*3</f>
        <v>20146500</v>
      </c>
      <c r="S11" s="36">
        <f>S9*S10*3</f>
        <v>26862000</v>
      </c>
      <c r="T11" s="36">
        <f>T9*T10*3</f>
        <v>26862000</v>
      </c>
      <c r="U11" s="38">
        <f>SUM(Q11:T11)</f>
        <v>87301500</v>
      </c>
      <c r="V11" s="52">
        <f>V9*V10*3</f>
        <v>36935250.000000007</v>
      </c>
      <c r="W11" s="36">
        <f>W9*W10*3</f>
        <v>44322300.000000007</v>
      </c>
      <c r="X11" s="36">
        <f>X9*X10*3</f>
        <v>59096400.000000015</v>
      </c>
      <c r="Y11" s="36">
        <f>Y9*Y10*3</f>
        <v>73870500.000000015</v>
      </c>
      <c r="Z11" s="38">
        <f>SUM(V11:Y11)</f>
        <v>214224450.00000006</v>
      </c>
      <c r="AA11" s="36">
        <f>AA9*AA10*3</f>
        <v>97509060.00000003</v>
      </c>
      <c r="AB11" s="36">
        <f>AB9*AB10*3</f>
        <v>105634815.00000003</v>
      </c>
      <c r="AC11" s="36">
        <f>AC9*AC10*3</f>
        <v>113760570.00000003</v>
      </c>
      <c r="AD11" s="36">
        <f>AD9*AD10*3</f>
        <v>113760570.00000003</v>
      </c>
      <c r="AE11" s="38">
        <f>SUM(AA11:AD11)</f>
        <v>430665015.00000012</v>
      </c>
    </row>
    <row r="12" spans="2:31" ht="17" thickBot="1" x14ac:dyDescent="0.25">
      <c r="B12" s="12"/>
      <c r="C12" s="13"/>
      <c r="D12" s="13"/>
      <c r="E12" s="13"/>
      <c r="F12" s="13"/>
      <c r="G12" s="12"/>
      <c r="H12" s="13"/>
      <c r="I12" s="13"/>
      <c r="J12" s="13"/>
      <c r="K12" s="14"/>
      <c r="L12" s="12"/>
      <c r="M12" s="13"/>
      <c r="N12" s="13"/>
      <c r="O12" s="13"/>
      <c r="P12" s="14"/>
      <c r="Q12" s="13"/>
      <c r="R12" s="13"/>
      <c r="S12" s="13"/>
      <c r="T12" s="13"/>
      <c r="U12" s="14"/>
      <c r="V12" s="12"/>
      <c r="W12" s="13"/>
      <c r="X12" s="13"/>
      <c r="Y12" s="13"/>
      <c r="Z12" s="14"/>
      <c r="AA12" s="13"/>
      <c r="AB12" s="13"/>
      <c r="AC12" s="13"/>
      <c r="AD12" s="13"/>
      <c r="AE12" s="14"/>
    </row>
    <row r="13" spans="2:31" x14ac:dyDescent="0.2">
      <c r="B13" s="57" t="s">
        <v>67</v>
      </c>
      <c r="C13" s="32" t="s">
        <v>61</v>
      </c>
      <c r="D13" s="32">
        <v>1</v>
      </c>
      <c r="E13" s="32">
        <v>2</v>
      </c>
      <c r="F13" s="32"/>
      <c r="G13" s="51">
        <v>4</v>
      </c>
      <c r="H13" s="32">
        <v>6</v>
      </c>
      <c r="I13" s="32">
        <v>10</v>
      </c>
      <c r="J13" s="32">
        <v>10</v>
      </c>
      <c r="K13" s="33"/>
      <c r="L13" s="51">
        <v>15</v>
      </c>
      <c r="M13" s="32">
        <v>15</v>
      </c>
      <c r="N13" s="32">
        <v>20</v>
      </c>
      <c r="O13" s="32">
        <v>20</v>
      </c>
      <c r="P13" s="33"/>
      <c r="Q13" s="32">
        <v>25</v>
      </c>
      <c r="R13" s="32">
        <v>25</v>
      </c>
      <c r="S13" s="32">
        <v>35</v>
      </c>
      <c r="T13" s="32">
        <v>50</v>
      </c>
      <c r="U13" s="33"/>
      <c r="V13" s="51">
        <v>75</v>
      </c>
      <c r="W13" s="32">
        <v>75</v>
      </c>
      <c r="X13" s="32">
        <v>80</v>
      </c>
      <c r="Y13" s="32">
        <v>80</v>
      </c>
      <c r="Z13" s="33"/>
      <c r="AA13" s="32">
        <v>100</v>
      </c>
      <c r="AB13" s="32">
        <v>100</v>
      </c>
      <c r="AC13" s="32">
        <v>100</v>
      </c>
      <c r="AD13" s="32">
        <v>100</v>
      </c>
      <c r="AE13" s="33"/>
    </row>
    <row r="14" spans="2:31" x14ac:dyDescent="0.2">
      <c r="B14" s="58"/>
      <c r="C14" s="13" t="s">
        <v>62</v>
      </c>
      <c r="D14" s="34">
        <v>70000</v>
      </c>
      <c r="E14" s="34">
        <v>50000</v>
      </c>
      <c r="F14" s="15">
        <v>0.1</v>
      </c>
      <c r="G14" s="12">
        <f>E14*(1+F14)</f>
        <v>55000.000000000007</v>
      </c>
      <c r="H14" s="13">
        <f>G14</f>
        <v>55000.000000000007</v>
      </c>
      <c r="I14" s="13">
        <f>H14</f>
        <v>55000.000000000007</v>
      </c>
      <c r="J14" s="13">
        <f>I14</f>
        <v>55000.000000000007</v>
      </c>
      <c r="K14" s="35">
        <v>0.1</v>
      </c>
      <c r="L14" s="12">
        <f>J14*(1+K14)</f>
        <v>60500.000000000015</v>
      </c>
      <c r="M14" s="13">
        <f>L14</f>
        <v>60500.000000000015</v>
      </c>
      <c r="N14" s="13">
        <f>M14</f>
        <v>60500.000000000015</v>
      </c>
      <c r="O14" s="13">
        <f>N14</f>
        <v>60500.000000000015</v>
      </c>
      <c r="P14" s="35">
        <v>0.1</v>
      </c>
      <c r="Q14" s="13">
        <f>O14*(1+P14)</f>
        <v>66550.000000000015</v>
      </c>
      <c r="R14" s="13">
        <f>Q14</f>
        <v>66550.000000000015</v>
      </c>
      <c r="S14" s="13">
        <f>R14</f>
        <v>66550.000000000015</v>
      </c>
      <c r="T14" s="13">
        <f>S14</f>
        <v>66550.000000000015</v>
      </c>
      <c r="U14" s="35">
        <v>0.1</v>
      </c>
      <c r="V14" s="12">
        <f>T14*(1+U14)</f>
        <v>73205.000000000029</v>
      </c>
      <c r="W14" s="13">
        <f>V14</f>
        <v>73205.000000000029</v>
      </c>
      <c r="X14" s="13">
        <f>W14</f>
        <v>73205.000000000029</v>
      </c>
      <c r="Y14" s="13">
        <f>X14</f>
        <v>73205.000000000029</v>
      </c>
      <c r="Z14" s="35"/>
      <c r="AA14" s="13">
        <f>Y14*(1+Z14)</f>
        <v>73205.000000000029</v>
      </c>
      <c r="AB14" s="13">
        <f>AA14</f>
        <v>73205.000000000029</v>
      </c>
      <c r="AC14" s="13">
        <f>AB14</f>
        <v>73205.000000000029</v>
      </c>
      <c r="AD14" s="13">
        <f>AC14</f>
        <v>73205.000000000029</v>
      </c>
      <c r="AE14" s="35"/>
    </row>
    <row r="15" spans="2:31" ht="17" thickBot="1" x14ac:dyDescent="0.25">
      <c r="B15" s="59"/>
      <c r="C15" s="26" t="s">
        <v>63</v>
      </c>
      <c r="D15" s="36">
        <f>D14*D13*9</f>
        <v>630000</v>
      </c>
      <c r="E15" s="36">
        <f>E13*E14*3</f>
        <v>300000</v>
      </c>
      <c r="F15" s="37">
        <f>D15+E15</f>
        <v>930000</v>
      </c>
      <c r="G15" s="52">
        <f>G13*G14*3</f>
        <v>660000.00000000012</v>
      </c>
      <c r="H15" s="36">
        <f>H13*H14*3</f>
        <v>990000.00000000023</v>
      </c>
      <c r="I15" s="36">
        <f>I13*I14*3</f>
        <v>1650000.0000000005</v>
      </c>
      <c r="J15" s="36">
        <f>J13*J14*3</f>
        <v>1650000.0000000005</v>
      </c>
      <c r="K15" s="38">
        <f>SUM(G15:J15)</f>
        <v>4950000.0000000019</v>
      </c>
      <c r="L15" s="52">
        <f>L13*L14*3</f>
        <v>2722500.0000000009</v>
      </c>
      <c r="M15" s="36">
        <f>M13*M14*3</f>
        <v>2722500.0000000009</v>
      </c>
      <c r="N15" s="36">
        <f>N13*N14*3</f>
        <v>3630000.0000000009</v>
      </c>
      <c r="O15" s="36">
        <f>O13*O14*3</f>
        <v>3630000.0000000009</v>
      </c>
      <c r="P15" s="38">
        <f>SUM(L15:O15)</f>
        <v>12705000.000000004</v>
      </c>
      <c r="Q15" s="36">
        <f>Q13*Q14*3</f>
        <v>4991250.0000000019</v>
      </c>
      <c r="R15" s="36">
        <f>R13*R14*3</f>
        <v>4991250.0000000019</v>
      </c>
      <c r="S15" s="36">
        <f>S13*S14*3</f>
        <v>6987750.0000000019</v>
      </c>
      <c r="T15" s="36">
        <f>T13*T14*3</f>
        <v>9982500.0000000037</v>
      </c>
      <c r="U15" s="38">
        <f>SUM(Q15:T15)</f>
        <v>26952750.000000011</v>
      </c>
      <c r="V15" s="52">
        <f>V13*V14*3</f>
        <v>16471125.000000006</v>
      </c>
      <c r="W15" s="36">
        <f>W13*W14*3</f>
        <v>16471125.000000006</v>
      </c>
      <c r="X15" s="36">
        <f>X13*X14*3</f>
        <v>17569200.000000007</v>
      </c>
      <c r="Y15" s="36">
        <f>Y13*Y14*3</f>
        <v>17569200.000000007</v>
      </c>
      <c r="Z15" s="38">
        <f>SUM(V15:Y15)</f>
        <v>68080650.00000003</v>
      </c>
      <c r="AA15" s="36">
        <f>AA13*AA14*3</f>
        <v>21961500.000000007</v>
      </c>
      <c r="AB15" s="36">
        <f>AB13*AB14*3</f>
        <v>21961500.000000007</v>
      </c>
      <c r="AC15" s="36">
        <f>AC13*AC14*3</f>
        <v>21961500.000000007</v>
      </c>
      <c r="AD15" s="36">
        <f>AD13*AD14*3</f>
        <v>21961500.000000007</v>
      </c>
      <c r="AE15" s="38">
        <f>SUM(AA15:AD15)</f>
        <v>87846000.00000003</v>
      </c>
    </row>
    <row r="16" spans="2:31" ht="17" thickBot="1" x14ac:dyDescent="0.25">
      <c r="B16" s="12"/>
      <c r="C16" s="13"/>
      <c r="D16" s="13"/>
      <c r="E16" s="13"/>
      <c r="F16" s="13"/>
      <c r="G16" s="12"/>
      <c r="H16" s="13"/>
      <c r="I16" s="13"/>
      <c r="J16" s="13"/>
      <c r="K16" s="14"/>
      <c r="L16" s="12"/>
      <c r="M16" s="13"/>
      <c r="N16" s="13"/>
      <c r="O16" s="13"/>
      <c r="P16" s="14"/>
      <c r="Q16" s="13"/>
      <c r="R16" s="13"/>
      <c r="S16" s="13"/>
      <c r="T16" s="13"/>
      <c r="U16" s="14"/>
      <c r="V16" s="12"/>
      <c r="W16" s="13"/>
      <c r="X16" s="13"/>
      <c r="Y16" s="13"/>
      <c r="Z16" s="14"/>
      <c r="AA16" s="13"/>
      <c r="AB16" s="13"/>
      <c r="AC16" s="13"/>
      <c r="AD16" s="13"/>
      <c r="AE16" s="14"/>
    </row>
    <row r="17" spans="2:31" x14ac:dyDescent="0.2">
      <c r="B17" s="57" t="s">
        <v>68</v>
      </c>
      <c r="C17" s="32" t="s">
        <v>61</v>
      </c>
      <c r="D17" s="32">
        <v>3</v>
      </c>
      <c r="E17" s="32">
        <v>3</v>
      </c>
      <c r="F17" s="32"/>
      <c r="G17" s="51">
        <v>3</v>
      </c>
      <c r="H17" s="32">
        <v>3</v>
      </c>
      <c r="I17" s="32">
        <v>5</v>
      </c>
      <c r="J17" s="32">
        <v>5</v>
      </c>
      <c r="K17" s="33"/>
      <c r="L17" s="51">
        <v>7</v>
      </c>
      <c r="M17" s="32">
        <v>7</v>
      </c>
      <c r="N17" s="32">
        <v>7</v>
      </c>
      <c r="O17" s="32">
        <v>7</v>
      </c>
      <c r="P17" s="33"/>
      <c r="Q17" s="32">
        <v>10</v>
      </c>
      <c r="R17" s="32">
        <v>10</v>
      </c>
      <c r="S17" s="32">
        <v>10</v>
      </c>
      <c r="T17" s="32">
        <v>10</v>
      </c>
      <c r="U17" s="33"/>
      <c r="V17" s="51">
        <v>10</v>
      </c>
      <c r="W17" s="32">
        <v>10</v>
      </c>
      <c r="X17" s="32">
        <v>10</v>
      </c>
      <c r="Y17" s="32">
        <v>10</v>
      </c>
      <c r="Z17" s="33"/>
      <c r="AA17" s="32">
        <v>3</v>
      </c>
      <c r="AB17" s="32">
        <v>3</v>
      </c>
      <c r="AC17" s="32">
        <v>3</v>
      </c>
      <c r="AD17" s="32">
        <v>3</v>
      </c>
      <c r="AE17" s="33"/>
    </row>
    <row r="18" spans="2:31" x14ac:dyDescent="0.2">
      <c r="B18" s="58"/>
      <c r="C18" s="13" t="s">
        <v>62</v>
      </c>
      <c r="D18" s="34">
        <v>0</v>
      </c>
      <c r="E18" s="34">
        <v>0</v>
      </c>
      <c r="F18" s="15">
        <v>0.1</v>
      </c>
      <c r="G18" s="12">
        <v>150000</v>
      </c>
      <c r="H18" s="13">
        <f>G18</f>
        <v>150000</v>
      </c>
      <c r="I18" s="13">
        <f>H18</f>
        <v>150000</v>
      </c>
      <c r="J18" s="13">
        <f>I18</f>
        <v>150000</v>
      </c>
      <c r="K18" s="35">
        <v>0.1</v>
      </c>
      <c r="L18" s="12">
        <v>300000</v>
      </c>
      <c r="M18" s="13">
        <f>L18</f>
        <v>300000</v>
      </c>
      <c r="N18" s="13">
        <f>M18</f>
        <v>300000</v>
      </c>
      <c r="O18" s="13">
        <f>N18</f>
        <v>300000</v>
      </c>
      <c r="P18" s="35">
        <v>0.2</v>
      </c>
      <c r="Q18" s="13">
        <f>O18*(1+P18)</f>
        <v>360000</v>
      </c>
      <c r="R18" s="13">
        <f>Q18</f>
        <v>360000</v>
      </c>
      <c r="S18" s="13">
        <f>R18</f>
        <v>360000</v>
      </c>
      <c r="T18" s="13">
        <f>S18</f>
        <v>360000</v>
      </c>
      <c r="U18" s="35">
        <v>0.25</v>
      </c>
      <c r="V18" s="12">
        <f>T18*(1+U18)</f>
        <v>450000</v>
      </c>
      <c r="W18" s="13">
        <f>V18</f>
        <v>450000</v>
      </c>
      <c r="X18" s="13">
        <f>W18</f>
        <v>450000</v>
      </c>
      <c r="Y18" s="13">
        <f>X18</f>
        <v>450000</v>
      </c>
      <c r="Z18" s="35">
        <v>0.05</v>
      </c>
      <c r="AA18" s="13">
        <f>Y18*(1+Z18)</f>
        <v>472500</v>
      </c>
      <c r="AB18" s="13">
        <f>AA18</f>
        <v>472500</v>
      </c>
      <c r="AC18" s="13">
        <f>AB18</f>
        <v>472500</v>
      </c>
      <c r="AD18" s="13">
        <f>AC18</f>
        <v>472500</v>
      </c>
      <c r="AE18" s="35">
        <v>0.05</v>
      </c>
    </row>
    <row r="19" spans="2:31" ht="17" thickBot="1" x14ac:dyDescent="0.25">
      <c r="B19" s="59"/>
      <c r="C19" s="26" t="s">
        <v>63</v>
      </c>
      <c r="D19" s="36">
        <f>D18*D17*9</f>
        <v>0</v>
      </c>
      <c r="E19" s="36">
        <f>E17*E18*3</f>
        <v>0</v>
      </c>
      <c r="F19" s="37">
        <f>D19+E19</f>
        <v>0</v>
      </c>
      <c r="G19" s="52">
        <f>G17*G18*3</f>
        <v>1350000</v>
      </c>
      <c r="H19" s="36">
        <f>H17*H18*3</f>
        <v>1350000</v>
      </c>
      <c r="I19" s="36">
        <f>I17*I18*3</f>
        <v>2250000</v>
      </c>
      <c r="J19" s="36">
        <f>J17*J18*3</f>
        <v>2250000</v>
      </c>
      <c r="K19" s="38">
        <f>SUM(G19:J19)</f>
        <v>7200000</v>
      </c>
      <c r="L19" s="52">
        <f>L17*L18*3</f>
        <v>6300000</v>
      </c>
      <c r="M19" s="36">
        <f>M17*M18*3</f>
        <v>6300000</v>
      </c>
      <c r="N19" s="36">
        <f>N17*N18*3</f>
        <v>6300000</v>
      </c>
      <c r="O19" s="36">
        <f>O17*O18*3</f>
        <v>6300000</v>
      </c>
      <c r="P19" s="38">
        <f>SUM(L19:O19)</f>
        <v>25200000</v>
      </c>
      <c r="Q19" s="36">
        <f>Q17*Q18*3</f>
        <v>10800000</v>
      </c>
      <c r="R19" s="36">
        <f>R17*R18*3</f>
        <v>10800000</v>
      </c>
      <c r="S19" s="36">
        <f>S17*S18*3</f>
        <v>10800000</v>
      </c>
      <c r="T19" s="36">
        <f>T17*T18*3</f>
        <v>10800000</v>
      </c>
      <c r="U19" s="38">
        <f>SUM(Q19:T19)</f>
        <v>43200000</v>
      </c>
      <c r="V19" s="52">
        <f>V17*V18*3</f>
        <v>13500000</v>
      </c>
      <c r="W19" s="36">
        <f>W17*W18*3</f>
        <v>13500000</v>
      </c>
      <c r="X19" s="36">
        <f>X17*X18*3</f>
        <v>13500000</v>
      </c>
      <c r="Y19" s="36">
        <f>Y17*Y18*3</f>
        <v>13500000</v>
      </c>
      <c r="Z19" s="38">
        <f>SUM(V19:Y19)</f>
        <v>54000000</v>
      </c>
      <c r="AA19" s="36">
        <f>AA17*AA18*3</f>
        <v>4252500</v>
      </c>
      <c r="AB19" s="36">
        <f>AB17*AB18*3</f>
        <v>4252500</v>
      </c>
      <c r="AC19" s="36">
        <f>AC17*AC18*3</f>
        <v>4252500</v>
      </c>
      <c r="AD19" s="36">
        <f>AD17*AD18*3</f>
        <v>4252500</v>
      </c>
      <c r="AE19" s="38">
        <f>SUM(AA19:AD19)</f>
        <v>17010000</v>
      </c>
    </row>
    <row r="20" spans="2:31" ht="17" thickBot="1" x14ac:dyDescent="0.25">
      <c r="B20" s="12"/>
      <c r="C20" s="13"/>
      <c r="D20" s="13"/>
      <c r="E20" s="13"/>
      <c r="F20" s="13"/>
      <c r="G20" s="12"/>
      <c r="H20" s="13"/>
      <c r="I20" s="13"/>
      <c r="J20" s="13"/>
      <c r="K20" s="14"/>
      <c r="L20" s="12"/>
      <c r="M20" s="13"/>
      <c r="N20" s="13"/>
      <c r="O20" s="13"/>
      <c r="P20" s="14"/>
      <c r="Q20" s="13"/>
      <c r="R20" s="13"/>
      <c r="S20" s="13"/>
      <c r="T20" s="13"/>
      <c r="U20" s="14"/>
      <c r="V20" s="12"/>
      <c r="W20" s="13"/>
      <c r="X20" s="13"/>
      <c r="Y20" s="13"/>
      <c r="Z20" s="14"/>
      <c r="AA20" s="13"/>
      <c r="AB20" s="13"/>
      <c r="AC20" s="13"/>
      <c r="AD20" s="13"/>
      <c r="AE20" s="14"/>
    </row>
    <row r="21" spans="2:31" x14ac:dyDescent="0.2">
      <c r="B21" s="57" t="s">
        <v>69</v>
      </c>
      <c r="C21" s="32" t="s">
        <v>70</v>
      </c>
      <c r="D21" s="39">
        <f>23000*9</f>
        <v>207000</v>
      </c>
      <c r="E21" s="32">
        <f>23000*3</f>
        <v>69000</v>
      </c>
      <c r="F21" s="32"/>
      <c r="G21" s="51">
        <f>50000*3</f>
        <v>150000</v>
      </c>
      <c r="H21" s="32">
        <f t="shared" ref="H21:J21" si="0">50000*3</f>
        <v>150000</v>
      </c>
      <c r="I21" s="32">
        <f t="shared" si="0"/>
        <v>150000</v>
      </c>
      <c r="J21" s="32">
        <f t="shared" si="0"/>
        <v>150000</v>
      </c>
      <c r="K21" s="33"/>
      <c r="L21" s="51">
        <v>300000</v>
      </c>
      <c r="M21" s="32">
        <f t="shared" ref="M21:O24" si="1">L21</f>
        <v>300000</v>
      </c>
      <c r="N21" s="32">
        <f t="shared" si="1"/>
        <v>300000</v>
      </c>
      <c r="O21" s="32">
        <f t="shared" si="1"/>
        <v>300000</v>
      </c>
      <c r="P21" s="33"/>
      <c r="Q21" s="32">
        <v>500000</v>
      </c>
      <c r="R21" s="32">
        <v>500000</v>
      </c>
      <c r="S21" s="32">
        <f t="shared" ref="S21:T24" si="2">R21</f>
        <v>500000</v>
      </c>
      <c r="T21" s="32">
        <f t="shared" si="2"/>
        <v>500000</v>
      </c>
      <c r="U21" s="33"/>
      <c r="V21" s="51">
        <v>1000000</v>
      </c>
      <c r="W21" s="32">
        <f t="shared" ref="W21:Y24" si="3">V21</f>
        <v>1000000</v>
      </c>
      <c r="X21" s="32">
        <f t="shared" si="3"/>
        <v>1000000</v>
      </c>
      <c r="Y21" s="32">
        <f t="shared" si="3"/>
        <v>1000000</v>
      </c>
      <c r="Z21" s="33"/>
      <c r="AA21" s="32">
        <v>1500000</v>
      </c>
      <c r="AB21" s="32">
        <f t="shared" ref="AB21:AD24" si="4">AA21</f>
        <v>1500000</v>
      </c>
      <c r="AC21" s="32">
        <f t="shared" si="4"/>
        <v>1500000</v>
      </c>
      <c r="AD21" s="32">
        <f t="shared" si="4"/>
        <v>1500000</v>
      </c>
      <c r="AE21" s="33"/>
    </row>
    <row r="22" spans="2:31" x14ac:dyDescent="0.2">
      <c r="B22" s="58"/>
      <c r="C22" s="40" t="s">
        <v>71</v>
      </c>
      <c r="D22" s="13">
        <f>6000*9</f>
        <v>54000</v>
      </c>
      <c r="E22" s="13">
        <f>6000*3</f>
        <v>18000</v>
      </c>
      <c r="F22" s="15">
        <v>0.1</v>
      </c>
      <c r="G22" s="12">
        <f>E22*(1+F22)</f>
        <v>19800</v>
      </c>
      <c r="H22" s="13">
        <f t="shared" ref="H22:J24" si="5">G22</f>
        <v>19800</v>
      </c>
      <c r="I22" s="13">
        <f t="shared" si="5"/>
        <v>19800</v>
      </c>
      <c r="J22" s="13">
        <f t="shared" si="5"/>
        <v>19800</v>
      </c>
      <c r="K22" s="35">
        <v>0.1</v>
      </c>
      <c r="L22" s="12">
        <f>J22*(1+K22)</f>
        <v>21780</v>
      </c>
      <c r="M22" s="13">
        <f t="shared" si="1"/>
        <v>21780</v>
      </c>
      <c r="N22" s="13">
        <f t="shared" si="1"/>
        <v>21780</v>
      </c>
      <c r="O22" s="13">
        <f t="shared" si="1"/>
        <v>21780</v>
      </c>
      <c r="P22" s="35">
        <v>0.1</v>
      </c>
      <c r="Q22" s="13">
        <f>O22*(1+P22)</f>
        <v>23958.000000000004</v>
      </c>
      <c r="R22" s="13">
        <f>Q22</f>
        <v>23958.000000000004</v>
      </c>
      <c r="S22" s="13">
        <f t="shared" si="2"/>
        <v>23958.000000000004</v>
      </c>
      <c r="T22" s="13">
        <f t="shared" si="2"/>
        <v>23958.000000000004</v>
      </c>
      <c r="U22" s="35">
        <v>0.1</v>
      </c>
      <c r="V22" s="12">
        <f>T22*(1+U22)</f>
        <v>26353.800000000007</v>
      </c>
      <c r="W22" s="13">
        <f t="shared" si="3"/>
        <v>26353.800000000007</v>
      </c>
      <c r="X22" s="13">
        <f t="shared" si="3"/>
        <v>26353.800000000007</v>
      </c>
      <c r="Y22" s="13">
        <f t="shared" si="3"/>
        <v>26353.800000000007</v>
      </c>
      <c r="Z22" s="35"/>
      <c r="AA22" s="13">
        <f>Y22*(1+Z22)</f>
        <v>26353.800000000007</v>
      </c>
      <c r="AB22" s="13">
        <f t="shared" si="4"/>
        <v>26353.800000000007</v>
      </c>
      <c r="AC22" s="13">
        <f t="shared" si="4"/>
        <v>26353.800000000007</v>
      </c>
      <c r="AD22" s="13">
        <f t="shared" si="4"/>
        <v>26353.800000000007</v>
      </c>
      <c r="AE22" s="35"/>
    </row>
    <row r="23" spans="2:31" x14ac:dyDescent="0.2">
      <c r="B23" s="58"/>
      <c r="C23" s="40" t="s">
        <v>73</v>
      </c>
      <c r="D23" s="13">
        <f>60000*9</f>
        <v>540000</v>
      </c>
      <c r="E23" s="13">
        <f>60000*3</f>
        <v>180000</v>
      </c>
      <c r="F23" s="15">
        <v>0.1</v>
      </c>
      <c r="G23" s="12">
        <f>E23*(1+F23)</f>
        <v>198000.00000000003</v>
      </c>
      <c r="H23" s="13">
        <f t="shared" si="5"/>
        <v>198000.00000000003</v>
      </c>
      <c r="I23" s="13">
        <f t="shared" si="5"/>
        <v>198000.00000000003</v>
      </c>
      <c r="J23" s="13">
        <f t="shared" si="5"/>
        <v>198000.00000000003</v>
      </c>
      <c r="K23" s="35">
        <v>0.1</v>
      </c>
      <c r="L23" s="12">
        <f>J23*(1+K23)</f>
        <v>217800.00000000006</v>
      </c>
      <c r="M23" s="13">
        <f t="shared" si="1"/>
        <v>217800.00000000006</v>
      </c>
      <c r="N23" s="13">
        <f t="shared" si="1"/>
        <v>217800.00000000006</v>
      </c>
      <c r="O23" s="13">
        <f t="shared" si="1"/>
        <v>217800.00000000006</v>
      </c>
      <c r="P23" s="35">
        <v>0.05</v>
      </c>
      <c r="Q23" s="13">
        <f>O23*(1+P23)</f>
        <v>228690.00000000006</v>
      </c>
      <c r="R23" s="13">
        <f>Q23</f>
        <v>228690.00000000006</v>
      </c>
      <c r="S23" s="13">
        <f t="shared" si="2"/>
        <v>228690.00000000006</v>
      </c>
      <c r="T23" s="13">
        <f t="shared" si="2"/>
        <v>228690.00000000006</v>
      </c>
      <c r="U23" s="35">
        <v>0.05</v>
      </c>
      <c r="V23" s="12">
        <f>T23*(1+U23)</f>
        <v>240124.50000000006</v>
      </c>
      <c r="W23" s="13">
        <f t="shared" si="3"/>
        <v>240124.50000000006</v>
      </c>
      <c r="X23" s="13">
        <f t="shared" si="3"/>
        <v>240124.50000000006</v>
      </c>
      <c r="Y23" s="13">
        <f t="shared" si="3"/>
        <v>240124.50000000006</v>
      </c>
      <c r="Z23" s="35"/>
      <c r="AA23" s="13">
        <f>Y23*(1+Z23)</f>
        <v>240124.50000000006</v>
      </c>
      <c r="AB23" s="13">
        <f t="shared" si="4"/>
        <v>240124.50000000006</v>
      </c>
      <c r="AC23" s="13">
        <f t="shared" si="4"/>
        <v>240124.50000000006</v>
      </c>
      <c r="AD23" s="13">
        <f t="shared" si="4"/>
        <v>240124.50000000006</v>
      </c>
      <c r="AE23" s="35"/>
    </row>
    <row r="24" spans="2:31" x14ac:dyDescent="0.2">
      <c r="B24" s="58"/>
      <c r="C24" s="40" t="s">
        <v>72</v>
      </c>
      <c r="D24" s="13">
        <v>100000</v>
      </c>
      <c r="E24" s="13">
        <v>30000</v>
      </c>
      <c r="F24" s="15">
        <v>0.1</v>
      </c>
      <c r="G24" s="12">
        <f>E24*(1+F24)</f>
        <v>33000</v>
      </c>
      <c r="H24" s="13">
        <f t="shared" si="5"/>
        <v>33000</v>
      </c>
      <c r="I24" s="13">
        <f t="shared" si="5"/>
        <v>33000</v>
      </c>
      <c r="J24" s="13">
        <f t="shared" si="5"/>
        <v>33000</v>
      </c>
      <c r="K24" s="35">
        <v>0.1</v>
      </c>
      <c r="L24" s="12">
        <f>J24*(1+K24)</f>
        <v>36300</v>
      </c>
      <c r="M24" s="13">
        <f t="shared" si="1"/>
        <v>36300</v>
      </c>
      <c r="N24" s="13">
        <f t="shared" si="1"/>
        <v>36300</v>
      </c>
      <c r="O24" s="13">
        <f t="shared" si="1"/>
        <v>36300</v>
      </c>
      <c r="P24" s="35">
        <v>0.05</v>
      </c>
      <c r="Q24" s="13">
        <f>O24*(1+P24)</f>
        <v>38115</v>
      </c>
      <c r="R24" s="13">
        <f>Q24</f>
        <v>38115</v>
      </c>
      <c r="S24" s="13">
        <f t="shared" si="2"/>
        <v>38115</v>
      </c>
      <c r="T24" s="13">
        <f t="shared" si="2"/>
        <v>38115</v>
      </c>
      <c r="U24" s="35">
        <v>0.05</v>
      </c>
      <c r="V24" s="12">
        <f>T24*(1+U24)</f>
        <v>40020.75</v>
      </c>
      <c r="W24" s="13">
        <f t="shared" si="3"/>
        <v>40020.75</v>
      </c>
      <c r="X24" s="13">
        <f t="shared" si="3"/>
        <v>40020.75</v>
      </c>
      <c r="Y24" s="13">
        <f t="shared" si="3"/>
        <v>40020.75</v>
      </c>
      <c r="Z24" s="35"/>
      <c r="AA24" s="13">
        <f>Y24*(1+Z24)</f>
        <v>40020.75</v>
      </c>
      <c r="AB24" s="13">
        <f t="shared" si="4"/>
        <v>40020.75</v>
      </c>
      <c r="AC24" s="13">
        <f t="shared" si="4"/>
        <v>40020.75</v>
      </c>
      <c r="AD24" s="13">
        <f t="shared" si="4"/>
        <v>40020.75</v>
      </c>
      <c r="AE24" s="35"/>
    </row>
    <row r="25" spans="2:31" x14ac:dyDescent="0.2">
      <c r="B25" s="58"/>
      <c r="C25" s="13"/>
      <c r="D25" s="13"/>
      <c r="E25" s="13"/>
      <c r="F25" s="13"/>
      <c r="G25" s="12"/>
      <c r="H25" s="13"/>
      <c r="I25" s="13"/>
      <c r="J25" s="13"/>
      <c r="K25" s="14"/>
      <c r="L25" s="12"/>
      <c r="M25" s="13"/>
      <c r="N25" s="13"/>
      <c r="O25" s="13"/>
      <c r="P25" s="14"/>
      <c r="Q25" s="13"/>
      <c r="R25" s="13"/>
      <c r="S25" s="13"/>
      <c r="T25" s="13"/>
      <c r="U25" s="14"/>
      <c r="V25" s="12"/>
      <c r="W25" s="13"/>
      <c r="X25" s="13"/>
      <c r="Y25" s="13"/>
      <c r="Z25" s="14"/>
      <c r="AA25" s="13"/>
      <c r="AB25" s="13"/>
      <c r="AC25" s="13"/>
      <c r="AD25" s="13"/>
      <c r="AE25" s="14"/>
    </row>
    <row r="26" spans="2:31" x14ac:dyDescent="0.2">
      <c r="B26" s="58"/>
      <c r="C26" s="13"/>
      <c r="D26" s="13"/>
      <c r="E26" s="13"/>
      <c r="F26" s="13"/>
      <c r="G26" s="12"/>
      <c r="H26" s="13"/>
      <c r="I26" s="13"/>
      <c r="J26" s="13"/>
      <c r="K26" s="14"/>
      <c r="L26" s="12"/>
      <c r="M26" s="13"/>
      <c r="N26" s="13"/>
      <c r="O26" s="13"/>
      <c r="P26" s="14"/>
      <c r="Q26" s="13"/>
      <c r="R26" s="13"/>
      <c r="S26" s="13"/>
      <c r="T26" s="13"/>
      <c r="U26" s="14"/>
      <c r="V26" s="12"/>
      <c r="W26" s="13"/>
      <c r="X26" s="13"/>
      <c r="Y26" s="13"/>
      <c r="Z26" s="14"/>
      <c r="AA26" s="13"/>
      <c r="AB26" s="13"/>
      <c r="AC26" s="13"/>
      <c r="AD26" s="13"/>
      <c r="AE26" s="14"/>
    </row>
    <row r="27" spans="2:31" x14ac:dyDescent="0.2">
      <c r="B27" s="58"/>
      <c r="C27" s="13"/>
      <c r="D27" s="34"/>
      <c r="E27" s="34"/>
      <c r="F27" s="15"/>
      <c r="G27" s="12"/>
      <c r="H27" s="13"/>
      <c r="I27" s="13"/>
      <c r="J27" s="13"/>
      <c r="K27" s="35"/>
      <c r="L27" s="12"/>
      <c r="M27" s="13"/>
      <c r="N27" s="13"/>
      <c r="O27" s="13"/>
      <c r="P27" s="35"/>
      <c r="Q27" s="13"/>
      <c r="R27" s="13"/>
      <c r="S27" s="13"/>
      <c r="T27" s="13"/>
      <c r="U27" s="35"/>
      <c r="V27" s="12"/>
      <c r="W27" s="13"/>
      <c r="X27" s="13"/>
      <c r="Y27" s="13"/>
      <c r="Z27" s="35"/>
      <c r="AA27" s="13"/>
      <c r="AB27" s="13"/>
      <c r="AC27" s="13"/>
      <c r="AD27" s="13"/>
      <c r="AE27" s="35"/>
    </row>
    <row r="28" spans="2:31" ht="17" thickBot="1" x14ac:dyDescent="0.25">
      <c r="B28" s="59"/>
      <c r="C28" s="26" t="s">
        <v>63</v>
      </c>
      <c r="D28" s="36">
        <f>SUM(D21:D27)</f>
        <v>901000</v>
      </c>
      <c r="E28" s="36">
        <f>SUM(E21:E27)</f>
        <v>297000</v>
      </c>
      <c r="F28" s="37">
        <f>D28+E28</f>
        <v>1198000</v>
      </c>
      <c r="G28" s="52">
        <f>SUM(G21:G27)</f>
        <v>400800</v>
      </c>
      <c r="H28" s="36">
        <f>SUM(H21:H27)</f>
        <v>400800</v>
      </c>
      <c r="I28" s="36">
        <f>SUM(I21:I27)</f>
        <v>400800</v>
      </c>
      <c r="J28" s="36">
        <f>SUM(J21:J27)</f>
        <v>400800</v>
      </c>
      <c r="K28" s="38">
        <f>SUM(G28:J28)</f>
        <v>1603200</v>
      </c>
      <c r="L28" s="52">
        <f>SUM(L21:L27)</f>
        <v>575880</v>
      </c>
      <c r="M28" s="36">
        <f>SUM(M21:M27)</f>
        <v>575880</v>
      </c>
      <c r="N28" s="36">
        <f>SUM(N21:N27)</f>
        <v>575880</v>
      </c>
      <c r="O28" s="36">
        <f>SUM(O21:O27)</f>
        <v>575880</v>
      </c>
      <c r="P28" s="38">
        <f>SUM(L28:O28)</f>
        <v>2303520</v>
      </c>
      <c r="Q28" s="36">
        <f>SUM(Q21:Q27)</f>
        <v>790763</v>
      </c>
      <c r="R28" s="36">
        <f>SUM(R21:R27)</f>
        <v>790763</v>
      </c>
      <c r="S28" s="36">
        <f>SUM(S21:S27)</f>
        <v>790763</v>
      </c>
      <c r="T28" s="36">
        <f>SUM(T21:T27)</f>
        <v>790763</v>
      </c>
      <c r="U28" s="38">
        <f>SUM(Q28:T28)</f>
        <v>3163052</v>
      </c>
      <c r="V28" s="52">
        <f>SUM(V21:V27)</f>
        <v>1306499.05</v>
      </c>
      <c r="W28" s="36">
        <f>SUM(W21:W27)</f>
        <v>1306499.05</v>
      </c>
      <c r="X28" s="36">
        <f>SUM(X21:X27)</f>
        <v>1306499.05</v>
      </c>
      <c r="Y28" s="36">
        <f>SUM(Y21:Y27)</f>
        <v>1306499.05</v>
      </c>
      <c r="Z28" s="38">
        <f>SUM(V28:Y28)</f>
        <v>5225996.2</v>
      </c>
      <c r="AA28" s="36">
        <f>SUM(AA21:AA27)</f>
        <v>1806499.05</v>
      </c>
      <c r="AB28" s="36">
        <f>SUM(AB21:AB27)</f>
        <v>1806499.05</v>
      </c>
      <c r="AC28" s="36">
        <f>SUM(AC21:AC27)</f>
        <v>1806499.05</v>
      </c>
      <c r="AD28" s="36">
        <f>SUM(AD21:AD27)</f>
        <v>1806499.05</v>
      </c>
      <c r="AE28" s="38">
        <f>SUM(AA28:AD28)</f>
        <v>7225996.2000000002</v>
      </c>
    </row>
    <row r="29" spans="2:31" ht="17" thickBot="1" x14ac:dyDescent="0.25">
      <c r="B29" s="12"/>
      <c r="C29" s="13"/>
      <c r="D29" s="13"/>
      <c r="E29" s="13"/>
      <c r="F29" s="13"/>
      <c r="G29" s="12"/>
      <c r="H29" s="13"/>
      <c r="I29" s="13"/>
      <c r="J29" s="13"/>
      <c r="K29" s="14"/>
      <c r="L29" s="12"/>
      <c r="M29" s="13"/>
      <c r="N29" s="13"/>
      <c r="O29" s="13"/>
      <c r="P29" s="14"/>
      <c r="Q29" s="13"/>
      <c r="R29" s="13"/>
      <c r="S29" s="13"/>
      <c r="T29" s="13"/>
      <c r="U29" s="14"/>
      <c r="V29" s="12"/>
      <c r="W29" s="13"/>
      <c r="X29" s="13"/>
      <c r="Y29" s="13"/>
      <c r="Z29" s="14"/>
      <c r="AA29" s="13"/>
      <c r="AB29" s="13"/>
      <c r="AC29" s="13"/>
      <c r="AD29" s="13"/>
      <c r="AE29" s="14"/>
    </row>
    <row r="30" spans="2:31" s="4" customFormat="1" ht="17" thickBot="1" x14ac:dyDescent="0.25">
      <c r="B30" s="45" t="s">
        <v>74</v>
      </c>
      <c r="C30" s="46"/>
      <c r="D30" s="47">
        <f>SUM(D7+D11+D19+D28)</f>
        <v>1801000</v>
      </c>
      <c r="E30" s="47">
        <f t="shared" ref="E30:Z30" si="6">SUM(E7+E11+E19+E28)</f>
        <v>1419000</v>
      </c>
      <c r="F30" s="48">
        <f t="shared" si="6"/>
        <v>3220000</v>
      </c>
      <c r="G30" s="53">
        <f t="shared" si="6"/>
        <v>3832800</v>
      </c>
      <c r="H30" s="47">
        <f t="shared" si="6"/>
        <v>4942800</v>
      </c>
      <c r="I30" s="47">
        <f t="shared" si="6"/>
        <v>7924800</v>
      </c>
      <c r="J30" s="47">
        <f t="shared" si="6"/>
        <v>8479800</v>
      </c>
      <c r="K30" s="49">
        <f t="shared" si="6"/>
        <v>25180200</v>
      </c>
      <c r="L30" s="53">
        <f t="shared" si="6"/>
        <v>16188480</v>
      </c>
      <c r="M30" s="47">
        <f t="shared" si="6"/>
        <v>17944080</v>
      </c>
      <c r="N30" s="47">
        <f t="shared" si="6"/>
        <v>21838080</v>
      </c>
      <c r="O30" s="47">
        <f t="shared" si="6"/>
        <v>21838080</v>
      </c>
      <c r="P30" s="49">
        <f t="shared" si="6"/>
        <v>77808720</v>
      </c>
      <c r="Q30" s="47">
        <f t="shared" si="6"/>
        <v>34430723</v>
      </c>
      <c r="R30" s="47">
        <f t="shared" si="6"/>
        <v>43498463</v>
      </c>
      <c r="S30" s="47">
        <f t="shared" si="6"/>
        <v>52566203.000000007</v>
      </c>
      <c r="T30" s="47">
        <f t="shared" si="6"/>
        <v>54918443.000000007</v>
      </c>
      <c r="U30" s="49">
        <f t="shared" si="6"/>
        <v>185413832.00000003</v>
      </c>
      <c r="V30" s="53">
        <f t="shared" si="6"/>
        <v>75028925.050000012</v>
      </c>
      <c r="W30" s="47">
        <f t="shared" si="6"/>
        <v>91472099.050000012</v>
      </c>
      <c r="X30" s="47">
        <f t="shared" si="6"/>
        <v>112714859.05000003</v>
      </c>
      <c r="Y30" s="47">
        <f t="shared" si="6"/>
        <v>130076423.05000003</v>
      </c>
      <c r="Z30" s="49">
        <f t="shared" si="6"/>
        <v>409292306.20000011</v>
      </c>
      <c r="AA30" s="47">
        <f t="shared" ref="AA30:AE30" si="7">SUM(AA7+AA11+AA19+AA28)</f>
        <v>153376741.05000007</v>
      </c>
      <c r="AB30" s="47">
        <f t="shared" si="7"/>
        <v>168618022.05000007</v>
      </c>
      <c r="AC30" s="47">
        <f t="shared" si="7"/>
        <v>183859303.05000007</v>
      </c>
      <c r="AD30" s="47">
        <f t="shared" si="7"/>
        <v>188128618.65000007</v>
      </c>
      <c r="AE30" s="49">
        <f t="shared" si="7"/>
        <v>693982684.80000019</v>
      </c>
    </row>
  </sheetData>
  <mergeCells count="5">
    <mergeCell ref="B5:B7"/>
    <mergeCell ref="B9:B11"/>
    <mergeCell ref="B13:B15"/>
    <mergeCell ref="B17:B19"/>
    <mergeCell ref="B21:B2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49FE-7B41-AC49-A8BF-96CBB5941C5E}">
  <dimension ref="A5:BJ53"/>
  <sheetViews>
    <sheetView topLeftCell="A3" workbookViewId="0">
      <selection activeCell="A3" sqref="A1:XFD1048576"/>
    </sheetView>
  </sheetViews>
  <sheetFormatPr baseColWidth="10" defaultRowHeight="16" x14ac:dyDescent="0.2"/>
  <cols>
    <col min="1" max="1" width="37.83203125" customWidth="1"/>
  </cols>
  <sheetData>
    <row r="5" spans="1:62" x14ac:dyDescent="0.2">
      <c r="C5" s="60" t="s">
        <v>98</v>
      </c>
      <c r="D5" s="60" t="s">
        <v>99</v>
      </c>
      <c r="E5" s="60" t="s">
        <v>100</v>
      </c>
      <c r="F5" s="60" t="s">
        <v>101</v>
      </c>
      <c r="G5" s="60" t="s">
        <v>102</v>
      </c>
      <c r="H5" s="60" t="s">
        <v>103</v>
      </c>
      <c r="I5" s="60" t="s">
        <v>104</v>
      </c>
      <c r="J5" s="60" t="s">
        <v>105</v>
      </c>
      <c r="K5" s="60" t="s">
        <v>106</v>
      </c>
      <c r="L5" s="60" t="s">
        <v>107</v>
      </c>
      <c r="M5" s="60" t="s">
        <v>108</v>
      </c>
      <c r="N5" s="60" t="s">
        <v>109</v>
      </c>
      <c r="O5" s="60" t="s">
        <v>110</v>
      </c>
      <c r="P5" s="60" t="s">
        <v>111</v>
      </c>
      <c r="Q5" s="60" t="s">
        <v>112</v>
      </c>
      <c r="R5" s="60" t="s">
        <v>113</v>
      </c>
      <c r="S5" s="60" t="s">
        <v>114</v>
      </c>
      <c r="T5" s="60" t="s">
        <v>115</v>
      </c>
      <c r="U5" s="60" t="s">
        <v>116</v>
      </c>
      <c r="V5" s="60" t="s">
        <v>117</v>
      </c>
      <c r="W5" s="60" t="s">
        <v>118</v>
      </c>
      <c r="X5" s="60" t="s">
        <v>119</v>
      </c>
      <c r="Y5" s="60" t="s">
        <v>120</v>
      </c>
      <c r="Z5" s="60" t="s">
        <v>121</v>
      </c>
      <c r="AA5" s="60" t="s">
        <v>122</v>
      </c>
      <c r="AB5" s="60" t="s">
        <v>123</v>
      </c>
      <c r="AC5" s="60" t="s">
        <v>124</v>
      </c>
      <c r="AD5" s="60" t="s">
        <v>125</v>
      </c>
      <c r="AE5" s="60" t="s">
        <v>126</v>
      </c>
      <c r="AF5" s="60" t="s">
        <v>127</v>
      </c>
      <c r="AG5" s="60" t="s">
        <v>128</v>
      </c>
      <c r="AH5" s="60" t="s">
        <v>129</v>
      </c>
      <c r="AI5" s="60" t="s">
        <v>130</v>
      </c>
      <c r="AJ5" s="60" t="s">
        <v>131</v>
      </c>
      <c r="AK5" s="60" t="s">
        <v>132</v>
      </c>
      <c r="AL5" s="60" t="s">
        <v>133</v>
      </c>
      <c r="AM5" s="60" t="s">
        <v>134</v>
      </c>
      <c r="AN5" s="60" t="s">
        <v>135</v>
      </c>
      <c r="AO5" s="60" t="s">
        <v>136</v>
      </c>
      <c r="AP5" s="60" t="s">
        <v>137</v>
      </c>
      <c r="AQ5" s="60" t="s">
        <v>138</v>
      </c>
      <c r="AR5" s="60" t="s">
        <v>139</v>
      </c>
      <c r="AS5" s="60" t="s">
        <v>140</v>
      </c>
      <c r="AT5" s="60" t="s">
        <v>141</v>
      </c>
      <c r="AU5" s="60" t="s">
        <v>142</v>
      </c>
      <c r="AV5" s="60" t="s">
        <v>143</v>
      </c>
      <c r="AW5" s="60" t="s">
        <v>144</v>
      </c>
      <c r="AX5" s="60" t="s">
        <v>145</v>
      </c>
      <c r="AY5" s="60" t="s">
        <v>146</v>
      </c>
      <c r="AZ5" s="60" t="s">
        <v>147</v>
      </c>
      <c r="BA5" s="60" t="s">
        <v>148</v>
      </c>
      <c r="BB5" s="60" t="s">
        <v>149</v>
      </c>
      <c r="BC5" s="60" t="s">
        <v>150</v>
      </c>
      <c r="BD5" s="60" t="s">
        <v>151</v>
      </c>
      <c r="BE5" s="60" t="s">
        <v>152</v>
      </c>
      <c r="BF5" s="60" t="s">
        <v>153</v>
      </c>
      <c r="BG5" s="60" t="s">
        <v>154</v>
      </c>
      <c r="BH5" s="60" t="s">
        <v>155</v>
      </c>
      <c r="BI5" s="60" t="s">
        <v>156</v>
      </c>
      <c r="BJ5" s="60" t="s">
        <v>157</v>
      </c>
    </row>
    <row r="7" spans="1:62" x14ac:dyDescent="0.2">
      <c r="A7" t="s">
        <v>158</v>
      </c>
      <c r="C7">
        <v>25</v>
      </c>
      <c r="D7">
        <v>25</v>
      </c>
      <c r="E7">
        <v>25</v>
      </c>
      <c r="F7">
        <v>40</v>
      </c>
      <c r="G7">
        <v>40</v>
      </c>
      <c r="H7">
        <v>40</v>
      </c>
      <c r="I7">
        <v>50</v>
      </c>
      <c r="J7">
        <v>50</v>
      </c>
      <c r="K7">
        <v>50</v>
      </c>
      <c r="L7">
        <v>60</v>
      </c>
      <c r="M7">
        <v>60</v>
      </c>
      <c r="N7">
        <v>60</v>
      </c>
    </row>
    <row r="8" spans="1:62" x14ac:dyDescent="0.2">
      <c r="A8" t="s">
        <v>159</v>
      </c>
      <c r="C8">
        <f>50+C7</f>
        <v>75</v>
      </c>
      <c r="D8">
        <f>C8+D7</f>
        <v>100</v>
      </c>
      <c r="E8">
        <f t="shared" ref="E8:H8" si="0">D8+E7</f>
        <v>125</v>
      </c>
      <c r="F8">
        <f t="shared" si="0"/>
        <v>165</v>
      </c>
      <c r="G8">
        <f t="shared" si="0"/>
        <v>205</v>
      </c>
      <c r="H8">
        <f t="shared" si="0"/>
        <v>245</v>
      </c>
      <c r="I8">
        <f t="shared" ref="I8" si="1">H8+I7</f>
        <v>295</v>
      </c>
      <c r="J8">
        <f t="shared" ref="J8" si="2">I8+J7</f>
        <v>345</v>
      </c>
      <c r="K8">
        <f t="shared" ref="K8" si="3">J8+K7</f>
        <v>395</v>
      </c>
      <c r="L8">
        <f t="shared" ref="L8" si="4">K8+L7</f>
        <v>455</v>
      </c>
      <c r="M8">
        <f t="shared" ref="M8" si="5">L8+M7</f>
        <v>515</v>
      </c>
      <c r="N8">
        <f t="shared" ref="N8" si="6">M8+N7</f>
        <v>575</v>
      </c>
    </row>
    <row r="10" spans="1:62" x14ac:dyDescent="0.2">
      <c r="A10" t="s">
        <v>160</v>
      </c>
      <c r="C10">
        <v>25000</v>
      </c>
      <c r="D10">
        <f>C10</f>
        <v>25000</v>
      </c>
      <c r="E10">
        <f t="shared" ref="E10:N10" si="7">D10</f>
        <v>25000</v>
      </c>
      <c r="F10">
        <f t="shared" si="7"/>
        <v>25000</v>
      </c>
      <c r="G10">
        <f t="shared" si="7"/>
        <v>25000</v>
      </c>
      <c r="H10">
        <f t="shared" si="7"/>
        <v>25000</v>
      </c>
      <c r="I10">
        <f t="shared" si="7"/>
        <v>25000</v>
      </c>
      <c r="J10">
        <f t="shared" si="7"/>
        <v>25000</v>
      </c>
      <c r="K10">
        <f t="shared" si="7"/>
        <v>25000</v>
      </c>
      <c r="L10">
        <f t="shared" si="7"/>
        <v>25000</v>
      </c>
      <c r="M10">
        <f t="shared" si="7"/>
        <v>25000</v>
      </c>
      <c r="N10">
        <f t="shared" si="7"/>
        <v>25000</v>
      </c>
    </row>
    <row r="12" spans="1:62" x14ac:dyDescent="0.2">
      <c r="A12" t="s">
        <v>163</v>
      </c>
      <c r="C12">
        <f>C10*C8</f>
        <v>1875000</v>
      </c>
      <c r="D12">
        <f t="shared" ref="D12:N12" si="8">D10*D8</f>
        <v>2500000</v>
      </c>
      <c r="E12">
        <f t="shared" si="8"/>
        <v>3125000</v>
      </c>
      <c r="F12">
        <f t="shared" si="8"/>
        <v>4125000</v>
      </c>
      <c r="G12">
        <f t="shared" si="8"/>
        <v>5125000</v>
      </c>
      <c r="H12">
        <f t="shared" si="8"/>
        <v>6125000</v>
      </c>
      <c r="I12">
        <f t="shared" si="8"/>
        <v>7375000</v>
      </c>
      <c r="J12">
        <f t="shared" si="8"/>
        <v>8625000</v>
      </c>
      <c r="K12">
        <f t="shared" si="8"/>
        <v>9875000</v>
      </c>
      <c r="L12">
        <f t="shared" si="8"/>
        <v>11375000</v>
      </c>
      <c r="M12">
        <f t="shared" si="8"/>
        <v>12875000</v>
      </c>
      <c r="N12">
        <f t="shared" si="8"/>
        <v>14375000</v>
      </c>
    </row>
    <row r="13" spans="1:62" x14ac:dyDescent="0.2">
      <c r="A13" t="s">
        <v>161</v>
      </c>
      <c r="C13" s="61">
        <v>8.5000000000000006E-2</v>
      </c>
      <c r="D13" s="61">
        <f>C13</f>
        <v>8.5000000000000006E-2</v>
      </c>
      <c r="E13" s="61">
        <f t="shared" ref="E13:N13" si="9">D13</f>
        <v>8.5000000000000006E-2</v>
      </c>
      <c r="F13" s="61">
        <f t="shared" si="9"/>
        <v>8.5000000000000006E-2</v>
      </c>
      <c r="G13" s="61">
        <f t="shared" si="9"/>
        <v>8.5000000000000006E-2</v>
      </c>
      <c r="H13" s="61">
        <f t="shared" si="9"/>
        <v>8.5000000000000006E-2</v>
      </c>
      <c r="I13" s="61">
        <f t="shared" si="9"/>
        <v>8.5000000000000006E-2</v>
      </c>
      <c r="J13" s="61">
        <f t="shared" si="9"/>
        <v>8.5000000000000006E-2</v>
      </c>
      <c r="K13" s="61">
        <f t="shared" si="9"/>
        <v>8.5000000000000006E-2</v>
      </c>
      <c r="L13" s="61">
        <f t="shared" si="9"/>
        <v>8.5000000000000006E-2</v>
      </c>
      <c r="M13" s="61">
        <f t="shared" si="9"/>
        <v>8.5000000000000006E-2</v>
      </c>
      <c r="N13" s="61">
        <f t="shared" si="9"/>
        <v>8.5000000000000006E-2</v>
      </c>
    </row>
    <row r="14" spans="1:62" x14ac:dyDescent="0.2">
      <c r="A14" s="62" t="s">
        <v>162</v>
      </c>
      <c r="B14" s="62"/>
      <c r="C14" s="62">
        <f>C12*C13</f>
        <v>159375</v>
      </c>
      <c r="D14" s="62">
        <f t="shared" ref="D14:N14" si="10">D12*D13</f>
        <v>212500.00000000003</v>
      </c>
      <c r="E14" s="62">
        <f t="shared" si="10"/>
        <v>265625</v>
      </c>
      <c r="F14" s="62">
        <f t="shared" si="10"/>
        <v>350625</v>
      </c>
      <c r="G14" s="62">
        <f t="shared" si="10"/>
        <v>435625.00000000006</v>
      </c>
      <c r="H14" s="62">
        <f t="shared" si="10"/>
        <v>520625.00000000006</v>
      </c>
      <c r="I14" s="62">
        <f t="shared" si="10"/>
        <v>626875</v>
      </c>
      <c r="J14" s="62">
        <f t="shared" si="10"/>
        <v>733125</v>
      </c>
      <c r="K14" s="62">
        <f t="shared" si="10"/>
        <v>839375.00000000012</v>
      </c>
      <c r="L14" s="62">
        <f t="shared" si="10"/>
        <v>966875.00000000012</v>
      </c>
      <c r="M14" s="62">
        <f t="shared" si="10"/>
        <v>1094375</v>
      </c>
      <c r="N14" s="62">
        <f t="shared" si="10"/>
        <v>1221875</v>
      </c>
    </row>
    <row r="17" spans="1:14" x14ac:dyDescent="0.2">
      <c r="A17" s="4"/>
    </row>
    <row r="18" spans="1:14" x14ac:dyDescent="0.2">
      <c r="A18" t="s">
        <v>166</v>
      </c>
    </row>
    <row r="19" spans="1:14" x14ac:dyDescent="0.2">
      <c r="A19" t="s">
        <v>169</v>
      </c>
      <c r="C19">
        <v>2</v>
      </c>
      <c r="D19">
        <v>2</v>
      </c>
      <c r="E19">
        <v>2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</row>
    <row r="20" spans="1:14" x14ac:dyDescent="0.2">
      <c r="A20" t="s">
        <v>167</v>
      </c>
      <c r="C20">
        <v>20000</v>
      </c>
      <c r="D20">
        <f>C20</f>
        <v>20000</v>
      </c>
      <c r="E20">
        <f>D20</f>
        <v>20000</v>
      </c>
      <c r="F20">
        <f t="shared" ref="F20:N20" si="11">E20</f>
        <v>20000</v>
      </c>
      <c r="G20">
        <f t="shared" si="11"/>
        <v>20000</v>
      </c>
      <c r="H20">
        <f t="shared" si="11"/>
        <v>20000</v>
      </c>
      <c r="I20">
        <f t="shared" si="11"/>
        <v>20000</v>
      </c>
      <c r="J20">
        <f t="shared" si="11"/>
        <v>20000</v>
      </c>
      <c r="K20">
        <f t="shared" si="11"/>
        <v>20000</v>
      </c>
      <c r="L20">
        <f t="shared" si="11"/>
        <v>20000</v>
      </c>
      <c r="M20">
        <f t="shared" si="11"/>
        <v>20000</v>
      </c>
      <c r="N20">
        <f t="shared" si="11"/>
        <v>20000</v>
      </c>
    </row>
    <row r="21" spans="1:14" x14ac:dyDescent="0.2">
      <c r="C21">
        <f>C20*C19</f>
        <v>40000</v>
      </c>
      <c r="D21">
        <f t="shared" ref="D21:N21" si="12">D20*D19</f>
        <v>40000</v>
      </c>
      <c r="E21">
        <f t="shared" si="12"/>
        <v>40000</v>
      </c>
      <c r="F21">
        <f t="shared" si="12"/>
        <v>80000</v>
      </c>
      <c r="G21">
        <f t="shared" si="12"/>
        <v>80000</v>
      </c>
      <c r="H21">
        <f t="shared" si="12"/>
        <v>80000</v>
      </c>
      <c r="I21">
        <f t="shared" si="12"/>
        <v>80000</v>
      </c>
      <c r="J21">
        <f t="shared" si="12"/>
        <v>80000</v>
      </c>
      <c r="K21">
        <f t="shared" si="12"/>
        <v>80000</v>
      </c>
      <c r="L21">
        <f t="shared" si="12"/>
        <v>80000</v>
      </c>
      <c r="M21">
        <f t="shared" si="12"/>
        <v>80000</v>
      </c>
      <c r="N21">
        <f t="shared" si="12"/>
        <v>80000</v>
      </c>
    </row>
    <row r="22" spans="1:14" x14ac:dyDescent="0.2">
      <c r="A22" t="s">
        <v>168</v>
      </c>
      <c r="C22">
        <v>2</v>
      </c>
      <c r="D22">
        <v>2</v>
      </c>
      <c r="E22">
        <v>2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</row>
    <row r="23" spans="1:14" x14ac:dyDescent="0.2">
      <c r="A23" t="s">
        <v>167</v>
      </c>
      <c r="C23">
        <v>15000</v>
      </c>
      <c r="D23">
        <f>C23</f>
        <v>15000</v>
      </c>
      <c r="E23">
        <f t="shared" ref="E23:N23" si="13">D23</f>
        <v>15000</v>
      </c>
      <c r="F23">
        <f t="shared" si="13"/>
        <v>15000</v>
      </c>
      <c r="G23">
        <f t="shared" si="13"/>
        <v>15000</v>
      </c>
      <c r="H23">
        <f t="shared" si="13"/>
        <v>15000</v>
      </c>
      <c r="I23">
        <f t="shared" si="13"/>
        <v>15000</v>
      </c>
      <c r="J23">
        <f t="shared" si="13"/>
        <v>15000</v>
      </c>
      <c r="K23">
        <f t="shared" si="13"/>
        <v>15000</v>
      </c>
      <c r="L23">
        <f t="shared" si="13"/>
        <v>15000</v>
      </c>
      <c r="M23">
        <f t="shared" si="13"/>
        <v>15000</v>
      </c>
      <c r="N23">
        <f t="shared" si="13"/>
        <v>15000</v>
      </c>
    </row>
    <row r="24" spans="1:14" x14ac:dyDescent="0.2">
      <c r="C24">
        <f>C23*C22</f>
        <v>30000</v>
      </c>
      <c r="D24">
        <f t="shared" ref="D24:N24" si="14">D23*D22</f>
        <v>30000</v>
      </c>
      <c r="E24">
        <f t="shared" si="14"/>
        <v>30000</v>
      </c>
      <c r="F24">
        <f t="shared" si="14"/>
        <v>45000</v>
      </c>
      <c r="G24">
        <f t="shared" si="14"/>
        <v>45000</v>
      </c>
      <c r="H24">
        <f t="shared" si="14"/>
        <v>45000</v>
      </c>
      <c r="I24">
        <f t="shared" si="14"/>
        <v>45000</v>
      </c>
      <c r="J24">
        <f t="shared" si="14"/>
        <v>45000</v>
      </c>
      <c r="K24">
        <f t="shared" si="14"/>
        <v>45000</v>
      </c>
      <c r="L24">
        <f t="shared" si="14"/>
        <v>45000</v>
      </c>
      <c r="M24">
        <f t="shared" si="14"/>
        <v>45000</v>
      </c>
      <c r="N24">
        <f t="shared" si="14"/>
        <v>45000</v>
      </c>
    </row>
    <row r="25" spans="1:14" x14ac:dyDescent="0.2">
      <c r="A25" t="s">
        <v>164</v>
      </c>
      <c r="C25">
        <v>1</v>
      </c>
      <c r="D25">
        <v>1</v>
      </c>
      <c r="E25">
        <v>1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</row>
    <row r="26" spans="1:14" x14ac:dyDescent="0.2">
      <c r="A26" t="s">
        <v>167</v>
      </c>
      <c r="C26">
        <f>20000</f>
        <v>20000</v>
      </c>
      <c r="D26">
        <f>C26</f>
        <v>20000</v>
      </c>
      <c r="E26">
        <f t="shared" ref="E26:N26" si="15">D26</f>
        <v>20000</v>
      </c>
      <c r="F26">
        <f t="shared" si="15"/>
        <v>20000</v>
      </c>
      <c r="G26">
        <f t="shared" si="15"/>
        <v>20000</v>
      </c>
      <c r="H26">
        <f t="shared" si="15"/>
        <v>20000</v>
      </c>
      <c r="I26">
        <f t="shared" si="15"/>
        <v>20000</v>
      </c>
      <c r="J26">
        <f t="shared" si="15"/>
        <v>20000</v>
      </c>
      <c r="K26">
        <f t="shared" si="15"/>
        <v>20000</v>
      </c>
      <c r="L26">
        <f t="shared" si="15"/>
        <v>20000</v>
      </c>
      <c r="M26">
        <f t="shared" si="15"/>
        <v>20000</v>
      </c>
      <c r="N26">
        <f t="shared" si="15"/>
        <v>20000</v>
      </c>
    </row>
    <row r="27" spans="1:14" x14ac:dyDescent="0.2">
      <c r="C27">
        <f>C26*C25</f>
        <v>20000</v>
      </c>
      <c r="D27">
        <f t="shared" ref="D27:N27" si="16">D26*D25</f>
        <v>20000</v>
      </c>
      <c r="E27">
        <f t="shared" si="16"/>
        <v>20000</v>
      </c>
      <c r="F27">
        <f t="shared" si="16"/>
        <v>40000</v>
      </c>
      <c r="G27">
        <f t="shared" si="16"/>
        <v>40000</v>
      </c>
      <c r="H27">
        <f t="shared" si="16"/>
        <v>40000</v>
      </c>
      <c r="I27">
        <f t="shared" si="16"/>
        <v>40000</v>
      </c>
      <c r="J27">
        <f t="shared" si="16"/>
        <v>40000</v>
      </c>
      <c r="K27">
        <f t="shared" si="16"/>
        <v>40000</v>
      </c>
      <c r="L27">
        <f t="shared" si="16"/>
        <v>40000</v>
      </c>
      <c r="M27">
        <f t="shared" si="16"/>
        <v>40000</v>
      </c>
      <c r="N27">
        <f t="shared" si="16"/>
        <v>40000</v>
      </c>
    </row>
    <row r="28" spans="1:14" x14ac:dyDescent="0.2">
      <c r="A28" t="s">
        <v>165</v>
      </c>
      <c r="C28">
        <v>1</v>
      </c>
      <c r="D28">
        <f>C28</f>
        <v>1</v>
      </c>
      <c r="E28">
        <f t="shared" ref="E28:N28" si="17">D28</f>
        <v>1</v>
      </c>
      <c r="F28">
        <f t="shared" si="17"/>
        <v>1</v>
      </c>
      <c r="G28">
        <f t="shared" si="17"/>
        <v>1</v>
      </c>
      <c r="H28">
        <f t="shared" si="17"/>
        <v>1</v>
      </c>
      <c r="I28">
        <f t="shared" si="17"/>
        <v>1</v>
      </c>
      <c r="J28">
        <f t="shared" si="17"/>
        <v>1</v>
      </c>
      <c r="K28">
        <f t="shared" si="17"/>
        <v>1</v>
      </c>
      <c r="L28">
        <f t="shared" si="17"/>
        <v>1</v>
      </c>
      <c r="M28">
        <f t="shared" si="17"/>
        <v>1</v>
      </c>
      <c r="N28">
        <f t="shared" si="17"/>
        <v>1</v>
      </c>
    </row>
    <row r="29" spans="1:14" x14ac:dyDescent="0.2">
      <c r="A29" t="s">
        <v>167</v>
      </c>
      <c r="C29">
        <v>30000</v>
      </c>
      <c r="D29">
        <f>C29</f>
        <v>30000</v>
      </c>
      <c r="E29">
        <f t="shared" ref="E29:N29" si="18">D29</f>
        <v>30000</v>
      </c>
      <c r="F29">
        <f t="shared" si="18"/>
        <v>30000</v>
      </c>
      <c r="G29">
        <f t="shared" si="18"/>
        <v>30000</v>
      </c>
      <c r="H29">
        <f t="shared" si="18"/>
        <v>30000</v>
      </c>
      <c r="I29">
        <f t="shared" si="18"/>
        <v>30000</v>
      </c>
      <c r="J29">
        <f t="shared" si="18"/>
        <v>30000</v>
      </c>
      <c r="K29">
        <f t="shared" si="18"/>
        <v>30000</v>
      </c>
      <c r="L29">
        <f t="shared" si="18"/>
        <v>30000</v>
      </c>
      <c r="M29">
        <f t="shared" si="18"/>
        <v>30000</v>
      </c>
      <c r="N29">
        <f t="shared" si="18"/>
        <v>30000</v>
      </c>
    </row>
    <row r="30" spans="1:14" x14ac:dyDescent="0.2">
      <c r="C30">
        <f>C29*C28</f>
        <v>30000</v>
      </c>
      <c r="D30">
        <f t="shared" ref="D30:N30" si="19">D29*D28</f>
        <v>30000</v>
      </c>
      <c r="E30">
        <f t="shared" si="19"/>
        <v>30000</v>
      </c>
      <c r="F30">
        <f t="shared" si="19"/>
        <v>30000</v>
      </c>
      <c r="G30">
        <f t="shared" si="19"/>
        <v>30000</v>
      </c>
      <c r="H30">
        <f t="shared" si="19"/>
        <v>30000</v>
      </c>
      <c r="I30">
        <f t="shared" si="19"/>
        <v>30000</v>
      </c>
      <c r="J30">
        <f t="shared" si="19"/>
        <v>30000</v>
      </c>
      <c r="K30">
        <f t="shared" si="19"/>
        <v>30000</v>
      </c>
      <c r="L30">
        <f t="shared" si="19"/>
        <v>30000</v>
      </c>
      <c r="M30">
        <f t="shared" si="19"/>
        <v>30000</v>
      </c>
      <c r="N30">
        <f t="shared" si="19"/>
        <v>30000</v>
      </c>
    </row>
    <row r="31" spans="1:14" x14ac:dyDescent="0.2">
      <c r="A31" t="s">
        <v>171</v>
      </c>
      <c r="C31">
        <f>C28+C25+C22+C19</f>
        <v>6</v>
      </c>
      <c r="D31">
        <f t="shared" ref="D31:N31" si="20">D28+D25+D22+D19</f>
        <v>6</v>
      </c>
      <c r="E31">
        <f t="shared" si="20"/>
        <v>6</v>
      </c>
      <c r="F31">
        <f t="shared" si="20"/>
        <v>10</v>
      </c>
      <c r="G31">
        <f t="shared" si="20"/>
        <v>10</v>
      </c>
      <c r="H31">
        <f t="shared" si="20"/>
        <v>10</v>
      </c>
      <c r="I31">
        <f t="shared" si="20"/>
        <v>10</v>
      </c>
      <c r="J31">
        <f t="shared" si="20"/>
        <v>10</v>
      </c>
      <c r="K31">
        <f t="shared" si="20"/>
        <v>10</v>
      </c>
      <c r="L31">
        <f t="shared" si="20"/>
        <v>10</v>
      </c>
      <c r="M31">
        <f t="shared" si="20"/>
        <v>10</v>
      </c>
      <c r="N31">
        <f t="shared" si="20"/>
        <v>10</v>
      </c>
    </row>
    <row r="32" spans="1:14" x14ac:dyDescent="0.2">
      <c r="A32" t="s">
        <v>170</v>
      </c>
      <c r="C32">
        <f>C30+C27+C24+C21</f>
        <v>120000</v>
      </c>
      <c r="D32">
        <f t="shared" ref="D32:N32" si="21">D30+D27+D24+D21</f>
        <v>120000</v>
      </c>
      <c r="E32">
        <f t="shared" si="21"/>
        <v>120000</v>
      </c>
      <c r="F32">
        <f t="shared" si="21"/>
        <v>195000</v>
      </c>
      <c r="G32">
        <f t="shared" si="21"/>
        <v>195000</v>
      </c>
      <c r="H32">
        <f t="shared" si="21"/>
        <v>195000</v>
      </c>
      <c r="I32">
        <f t="shared" si="21"/>
        <v>195000</v>
      </c>
      <c r="J32">
        <f t="shared" si="21"/>
        <v>195000</v>
      </c>
      <c r="K32">
        <f t="shared" si="21"/>
        <v>195000</v>
      </c>
      <c r="L32">
        <f t="shared" si="21"/>
        <v>195000</v>
      </c>
      <c r="M32">
        <f t="shared" si="21"/>
        <v>195000</v>
      </c>
      <c r="N32">
        <f t="shared" si="21"/>
        <v>195000</v>
      </c>
    </row>
    <row r="34" spans="1:14" x14ac:dyDescent="0.2">
      <c r="A34" t="s">
        <v>172</v>
      </c>
      <c r="C34">
        <f>C31*2000</f>
        <v>12000</v>
      </c>
      <c r="D34">
        <f t="shared" ref="D34:N34" si="22">D31*2000</f>
        <v>12000</v>
      </c>
      <c r="E34">
        <f t="shared" si="22"/>
        <v>12000</v>
      </c>
      <c r="F34">
        <f t="shared" si="22"/>
        <v>20000</v>
      </c>
      <c r="G34">
        <f t="shared" si="22"/>
        <v>20000</v>
      </c>
      <c r="H34">
        <f t="shared" si="22"/>
        <v>20000</v>
      </c>
      <c r="I34">
        <f t="shared" si="22"/>
        <v>20000</v>
      </c>
      <c r="J34">
        <f t="shared" si="22"/>
        <v>20000</v>
      </c>
      <c r="K34">
        <f t="shared" si="22"/>
        <v>20000</v>
      </c>
      <c r="L34">
        <f t="shared" si="22"/>
        <v>20000</v>
      </c>
      <c r="M34">
        <f t="shared" si="22"/>
        <v>20000</v>
      </c>
      <c r="N34">
        <f t="shared" si="22"/>
        <v>20000</v>
      </c>
    </row>
    <row r="35" spans="1:14" x14ac:dyDescent="0.2">
      <c r="A35" t="s">
        <v>174</v>
      </c>
      <c r="C35" s="5">
        <v>0.1</v>
      </c>
      <c r="D35" s="5">
        <f>C35</f>
        <v>0.1</v>
      </c>
      <c r="E35" s="5">
        <f t="shared" ref="E35:N35" si="23">D35</f>
        <v>0.1</v>
      </c>
      <c r="F35" s="5">
        <f t="shared" si="23"/>
        <v>0.1</v>
      </c>
      <c r="G35" s="5">
        <f t="shared" si="23"/>
        <v>0.1</v>
      </c>
      <c r="H35" s="5">
        <f t="shared" si="23"/>
        <v>0.1</v>
      </c>
      <c r="I35" s="5">
        <f t="shared" si="23"/>
        <v>0.1</v>
      </c>
      <c r="J35" s="5">
        <f t="shared" si="23"/>
        <v>0.1</v>
      </c>
      <c r="K35" s="5">
        <f t="shared" si="23"/>
        <v>0.1</v>
      </c>
      <c r="L35" s="5">
        <f t="shared" si="23"/>
        <v>0.1</v>
      </c>
      <c r="M35" s="5">
        <f t="shared" si="23"/>
        <v>0.1</v>
      </c>
      <c r="N35" s="5">
        <f t="shared" si="23"/>
        <v>0.1</v>
      </c>
    </row>
    <row r="36" spans="1:14" x14ac:dyDescent="0.2">
      <c r="A36" t="s">
        <v>173</v>
      </c>
      <c r="C36">
        <f>C35*C32</f>
        <v>12000</v>
      </c>
      <c r="D36">
        <f t="shared" ref="D36:N36" si="24">D35*D32</f>
        <v>12000</v>
      </c>
      <c r="E36">
        <f t="shared" si="24"/>
        <v>12000</v>
      </c>
      <c r="F36">
        <f t="shared" si="24"/>
        <v>19500</v>
      </c>
      <c r="G36">
        <f t="shared" si="24"/>
        <v>19500</v>
      </c>
      <c r="H36">
        <f t="shared" si="24"/>
        <v>19500</v>
      </c>
      <c r="I36">
        <f t="shared" si="24"/>
        <v>19500</v>
      </c>
      <c r="J36">
        <f t="shared" si="24"/>
        <v>19500</v>
      </c>
      <c r="K36">
        <f t="shared" si="24"/>
        <v>19500</v>
      </c>
      <c r="L36">
        <f t="shared" si="24"/>
        <v>19500</v>
      </c>
      <c r="M36">
        <f t="shared" si="24"/>
        <v>19500</v>
      </c>
      <c r="N36">
        <f t="shared" si="24"/>
        <v>19500</v>
      </c>
    </row>
    <row r="39" spans="1:14" x14ac:dyDescent="0.2">
      <c r="A39" t="s">
        <v>175</v>
      </c>
    </row>
    <row r="40" spans="1:14" x14ac:dyDescent="0.2">
      <c r="A40" t="s">
        <v>176</v>
      </c>
      <c r="C40">
        <v>25000</v>
      </c>
      <c r="D40">
        <f>C40</f>
        <v>25000</v>
      </c>
      <c r="E40">
        <f t="shared" ref="E40:N40" si="25">D40</f>
        <v>25000</v>
      </c>
      <c r="F40">
        <f t="shared" si="25"/>
        <v>25000</v>
      </c>
      <c r="G40">
        <f t="shared" si="25"/>
        <v>25000</v>
      </c>
      <c r="H40">
        <f t="shared" si="25"/>
        <v>25000</v>
      </c>
      <c r="I40">
        <f t="shared" si="25"/>
        <v>25000</v>
      </c>
      <c r="J40">
        <f t="shared" si="25"/>
        <v>25000</v>
      </c>
      <c r="K40">
        <f t="shared" si="25"/>
        <v>25000</v>
      </c>
      <c r="L40">
        <f t="shared" si="25"/>
        <v>25000</v>
      </c>
      <c r="M40">
        <f t="shared" si="25"/>
        <v>25000</v>
      </c>
      <c r="N40">
        <f t="shared" si="25"/>
        <v>25000</v>
      </c>
    </row>
    <row r="41" spans="1:14" x14ac:dyDescent="0.2">
      <c r="A41" t="s">
        <v>177</v>
      </c>
      <c r="C41">
        <v>40000</v>
      </c>
      <c r="D41">
        <v>40000</v>
      </c>
      <c r="E41">
        <v>40000</v>
      </c>
      <c r="F41">
        <v>40000</v>
      </c>
      <c r="G41">
        <v>40000</v>
      </c>
      <c r="H41">
        <v>40000</v>
      </c>
      <c r="I41">
        <v>40000</v>
      </c>
      <c r="J41">
        <v>40000</v>
      </c>
      <c r="K41">
        <v>40000</v>
      </c>
      <c r="L41">
        <v>40000</v>
      </c>
      <c r="M41">
        <v>40000</v>
      </c>
      <c r="N41">
        <v>40000</v>
      </c>
    </row>
    <row r="42" spans="1:14" x14ac:dyDescent="0.2">
      <c r="A42" t="s">
        <v>178</v>
      </c>
      <c r="C42">
        <v>5000</v>
      </c>
      <c r="D42">
        <f>C42</f>
        <v>5000</v>
      </c>
      <c r="E42">
        <f t="shared" ref="E42:N42" si="26">D42</f>
        <v>5000</v>
      </c>
      <c r="F42">
        <f t="shared" si="26"/>
        <v>5000</v>
      </c>
      <c r="G42">
        <f t="shared" si="26"/>
        <v>5000</v>
      </c>
      <c r="H42">
        <f t="shared" si="26"/>
        <v>5000</v>
      </c>
      <c r="I42">
        <f t="shared" si="26"/>
        <v>5000</v>
      </c>
      <c r="J42">
        <f t="shared" si="26"/>
        <v>5000</v>
      </c>
      <c r="K42">
        <f t="shared" si="26"/>
        <v>5000</v>
      </c>
      <c r="L42">
        <f t="shared" si="26"/>
        <v>5000</v>
      </c>
      <c r="M42">
        <f t="shared" si="26"/>
        <v>5000</v>
      </c>
      <c r="N42">
        <f t="shared" si="26"/>
        <v>5000</v>
      </c>
    </row>
    <row r="43" spans="1:14" x14ac:dyDescent="0.2">
      <c r="A43" t="s">
        <v>179</v>
      </c>
      <c r="C43">
        <v>10000</v>
      </c>
      <c r="D43">
        <v>10000</v>
      </c>
      <c r="E43">
        <v>10000</v>
      </c>
      <c r="F43">
        <v>10000</v>
      </c>
      <c r="G43">
        <v>10000</v>
      </c>
      <c r="H43">
        <v>10000</v>
      </c>
      <c r="I43">
        <v>10000</v>
      </c>
      <c r="J43">
        <v>10000</v>
      </c>
      <c r="K43">
        <v>10000</v>
      </c>
      <c r="L43">
        <v>10000</v>
      </c>
      <c r="M43">
        <v>10000</v>
      </c>
      <c r="N43">
        <v>10000</v>
      </c>
    </row>
    <row r="44" spans="1:14" x14ac:dyDescent="0.2">
      <c r="A44" t="s">
        <v>180</v>
      </c>
    </row>
    <row r="45" spans="1:14" x14ac:dyDescent="0.2">
      <c r="A45" t="s">
        <v>181</v>
      </c>
    </row>
    <row r="46" spans="1:14" x14ac:dyDescent="0.2">
      <c r="A46" t="s">
        <v>182</v>
      </c>
      <c r="C46">
        <f>SUM(C40:C45)</f>
        <v>80000</v>
      </c>
      <c r="D46">
        <f t="shared" ref="D46:N46" si="27">SUM(D40:D45)</f>
        <v>80000</v>
      </c>
      <c r="E46">
        <f t="shared" si="27"/>
        <v>80000</v>
      </c>
      <c r="F46">
        <f t="shared" si="27"/>
        <v>80000</v>
      </c>
      <c r="G46">
        <f t="shared" si="27"/>
        <v>80000</v>
      </c>
      <c r="H46">
        <f t="shared" si="27"/>
        <v>80000</v>
      </c>
      <c r="I46">
        <f t="shared" si="27"/>
        <v>80000</v>
      </c>
      <c r="J46">
        <f t="shared" si="27"/>
        <v>80000</v>
      </c>
      <c r="K46">
        <f t="shared" si="27"/>
        <v>80000</v>
      </c>
      <c r="L46">
        <f t="shared" si="27"/>
        <v>80000</v>
      </c>
      <c r="M46">
        <f t="shared" si="27"/>
        <v>80000</v>
      </c>
      <c r="N46">
        <f t="shared" si="27"/>
        <v>80000</v>
      </c>
    </row>
    <row r="49" spans="1:14" x14ac:dyDescent="0.2">
      <c r="A49" t="s">
        <v>183</v>
      </c>
      <c r="C49">
        <v>2000</v>
      </c>
      <c r="D49">
        <v>2000</v>
      </c>
      <c r="E49">
        <v>2000</v>
      </c>
      <c r="F49">
        <v>2000</v>
      </c>
      <c r="G49">
        <v>2000</v>
      </c>
      <c r="H49">
        <v>2000</v>
      </c>
      <c r="I49">
        <v>2000</v>
      </c>
      <c r="J49">
        <v>2000</v>
      </c>
      <c r="K49">
        <v>2000</v>
      </c>
      <c r="L49">
        <v>2000</v>
      </c>
      <c r="M49">
        <v>2000</v>
      </c>
      <c r="N49">
        <v>2000</v>
      </c>
    </row>
    <row r="51" spans="1:14" x14ac:dyDescent="0.2">
      <c r="A51" s="62" t="s">
        <v>63</v>
      </c>
      <c r="B51" s="62"/>
      <c r="C51" s="62">
        <f>C32+C34+C36+C46+C49</f>
        <v>226000</v>
      </c>
      <c r="D51" s="62">
        <f t="shared" ref="D51:N51" si="28">D32+D34+D36+D46+D49</f>
        <v>226000</v>
      </c>
      <c r="E51" s="62">
        <f t="shared" si="28"/>
        <v>226000</v>
      </c>
      <c r="F51" s="62">
        <f t="shared" si="28"/>
        <v>316500</v>
      </c>
      <c r="G51" s="62">
        <f t="shared" si="28"/>
        <v>316500</v>
      </c>
      <c r="H51" s="62">
        <f t="shared" si="28"/>
        <v>316500</v>
      </c>
      <c r="I51" s="62">
        <f t="shared" si="28"/>
        <v>316500</v>
      </c>
      <c r="J51" s="62">
        <f t="shared" si="28"/>
        <v>316500</v>
      </c>
      <c r="K51" s="62">
        <f t="shared" si="28"/>
        <v>316500</v>
      </c>
      <c r="L51" s="62">
        <f t="shared" si="28"/>
        <v>316500</v>
      </c>
      <c r="M51" s="62">
        <f t="shared" si="28"/>
        <v>316500</v>
      </c>
      <c r="N51" s="62">
        <f t="shared" si="28"/>
        <v>316500</v>
      </c>
    </row>
    <row r="53" spans="1:14" x14ac:dyDescent="0.2">
      <c r="A53" t="s">
        <v>184</v>
      </c>
      <c r="C53">
        <f>C14-C51</f>
        <v>-66625</v>
      </c>
      <c r="D53">
        <f t="shared" ref="D53:N53" si="29">D14-D51</f>
        <v>-13499.999999999971</v>
      </c>
      <c r="E53">
        <f t="shared" si="29"/>
        <v>39625</v>
      </c>
      <c r="F53">
        <f t="shared" si="29"/>
        <v>34125</v>
      </c>
      <c r="G53">
        <f t="shared" si="29"/>
        <v>119125.00000000006</v>
      </c>
      <c r="H53">
        <f t="shared" si="29"/>
        <v>204125.00000000006</v>
      </c>
      <c r="I53">
        <f t="shared" si="29"/>
        <v>310375</v>
      </c>
      <c r="J53">
        <f t="shared" si="29"/>
        <v>416625</v>
      </c>
      <c r="K53">
        <f t="shared" si="29"/>
        <v>522875.00000000012</v>
      </c>
      <c r="L53">
        <f t="shared" si="29"/>
        <v>650375.00000000012</v>
      </c>
      <c r="M53">
        <f t="shared" si="29"/>
        <v>777875</v>
      </c>
      <c r="N53">
        <f t="shared" si="29"/>
        <v>905375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4A60-48BC-4F42-B9ED-5C63249EAA55}">
  <dimension ref="A5:BJ53"/>
  <sheetViews>
    <sheetView tabSelected="1" workbookViewId="0">
      <selection activeCell="A11" sqref="A11"/>
    </sheetView>
  </sheetViews>
  <sheetFormatPr baseColWidth="10" defaultRowHeight="16" x14ac:dyDescent="0.2"/>
  <cols>
    <col min="1" max="1" width="37.83203125" customWidth="1"/>
  </cols>
  <sheetData>
    <row r="5" spans="1:62" x14ac:dyDescent="0.2">
      <c r="C5" s="60" t="s">
        <v>98</v>
      </c>
      <c r="D5" s="60" t="s">
        <v>99</v>
      </c>
      <c r="E5" s="60" t="s">
        <v>100</v>
      </c>
      <c r="F5" s="60" t="s">
        <v>101</v>
      </c>
      <c r="G5" s="60" t="s">
        <v>102</v>
      </c>
      <c r="H5" s="60" t="s">
        <v>103</v>
      </c>
      <c r="I5" s="60" t="s">
        <v>104</v>
      </c>
      <c r="J5" s="60" t="s">
        <v>105</v>
      </c>
      <c r="K5" s="60" t="s">
        <v>106</v>
      </c>
      <c r="L5" s="60" t="s">
        <v>107</v>
      </c>
      <c r="M5" s="60" t="s">
        <v>108</v>
      </c>
      <c r="N5" s="60" t="s">
        <v>109</v>
      </c>
      <c r="O5" s="60" t="s">
        <v>110</v>
      </c>
      <c r="P5" s="60" t="s">
        <v>111</v>
      </c>
      <c r="Q5" s="60" t="s">
        <v>112</v>
      </c>
      <c r="R5" s="60" t="s">
        <v>113</v>
      </c>
      <c r="S5" s="60" t="s">
        <v>114</v>
      </c>
      <c r="T5" s="60" t="s">
        <v>115</v>
      </c>
      <c r="U5" s="60" t="s">
        <v>116</v>
      </c>
      <c r="V5" s="60" t="s">
        <v>117</v>
      </c>
      <c r="W5" s="60" t="s">
        <v>118</v>
      </c>
      <c r="X5" s="60" t="s">
        <v>119</v>
      </c>
      <c r="Y5" s="60" t="s">
        <v>120</v>
      </c>
      <c r="Z5" s="60" t="s">
        <v>121</v>
      </c>
      <c r="AA5" s="60" t="s">
        <v>122</v>
      </c>
      <c r="AB5" s="60" t="s">
        <v>123</v>
      </c>
      <c r="AC5" s="60" t="s">
        <v>124</v>
      </c>
      <c r="AD5" s="60" t="s">
        <v>125</v>
      </c>
      <c r="AE5" s="60" t="s">
        <v>126</v>
      </c>
      <c r="AF5" s="60" t="s">
        <v>127</v>
      </c>
      <c r="AG5" s="60" t="s">
        <v>128</v>
      </c>
      <c r="AH5" s="60" t="s">
        <v>129</v>
      </c>
      <c r="AI5" s="60" t="s">
        <v>130</v>
      </c>
      <c r="AJ5" s="60" t="s">
        <v>131</v>
      </c>
      <c r="AK5" s="60" t="s">
        <v>132</v>
      </c>
      <c r="AL5" s="60" t="s">
        <v>133</v>
      </c>
      <c r="AM5" s="60" t="s">
        <v>134</v>
      </c>
      <c r="AN5" s="60" t="s">
        <v>135</v>
      </c>
      <c r="AO5" s="60" t="s">
        <v>136</v>
      </c>
      <c r="AP5" s="60" t="s">
        <v>137</v>
      </c>
      <c r="AQ5" s="60" t="s">
        <v>138</v>
      </c>
      <c r="AR5" s="60" t="s">
        <v>139</v>
      </c>
      <c r="AS5" s="60" t="s">
        <v>140</v>
      </c>
      <c r="AT5" s="60" t="s">
        <v>141</v>
      </c>
      <c r="AU5" s="60" t="s">
        <v>142</v>
      </c>
      <c r="AV5" s="60" t="s">
        <v>143</v>
      </c>
      <c r="AW5" s="60" t="s">
        <v>144</v>
      </c>
      <c r="AX5" s="60" t="s">
        <v>145</v>
      </c>
      <c r="AY5" s="60" t="s">
        <v>146</v>
      </c>
      <c r="AZ5" s="60" t="s">
        <v>147</v>
      </c>
      <c r="BA5" s="60" t="s">
        <v>148</v>
      </c>
      <c r="BB5" s="60" t="s">
        <v>149</v>
      </c>
      <c r="BC5" s="60" t="s">
        <v>150</v>
      </c>
      <c r="BD5" s="60" t="s">
        <v>151</v>
      </c>
      <c r="BE5" s="60" t="s">
        <v>152</v>
      </c>
      <c r="BF5" s="60" t="s">
        <v>153</v>
      </c>
      <c r="BG5" s="60" t="s">
        <v>154</v>
      </c>
      <c r="BH5" s="60" t="s">
        <v>155</v>
      </c>
      <c r="BI5" s="60" t="s">
        <v>156</v>
      </c>
      <c r="BJ5" s="60" t="s">
        <v>157</v>
      </c>
    </row>
    <row r="7" spans="1:62" x14ac:dyDescent="0.2">
      <c r="A7" t="s">
        <v>185</v>
      </c>
      <c r="C7">
        <v>0</v>
      </c>
      <c r="D7">
        <v>0</v>
      </c>
      <c r="E7">
        <v>200</v>
      </c>
      <c r="F7">
        <v>0</v>
      </c>
      <c r="G7">
        <v>100</v>
      </c>
      <c r="H7">
        <v>100</v>
      </c>
      <c r="I7">
        <v>0</v>
      </c>
      <c r="J7">
        <v>200</v>
      </c>
      <c r="K7">
        <v>400</v>
      </c>
      <c r="L7">
        <v>0</v>
      </c>
      <c r="M7">
        <v>300</v>
      </c>
      <c r="N7">
        <v>0</v>
      </c>
    </row>
    <row r="8" spans="1:62" x14ac:dyDescent="0.2">
      <c r="A8" t="s">
        <v>186</v>
      </c>
      <c r="C8">
        <f>850+C7</f>
        <v>850</v>
      </c>
      <c r="D8">
        <f>C8+D7</f>
        <v>850</v>
      </c>
      <c r="E8">
        <f t="shared" ref="E8:N8" si="0">D8+E7</f>
        <v>1050</v>
      </c>
      <c r="F8">
        <f t="shared" si="0"/>
        <v>1050</v>
      </c>
      <c r="G8">
        <f t="shared" si="0"/>
        <v>1150</v>
      </c>
      <c r="H8">
        <f t="shared" si="0"/>
        <v>1250</v>
      </c>
      <c r="I8">
        <f t="shared" si="0"/>
        <v>1250</v>
      </c>
      <c r="J8">
        <f t="shared" si="0"/>
        <v>1450</v>
      </c>
      <c r="K8">
        <f t="shared" si="0"/>
        <v>1850</v>
      </c>
      <c r="L8">
        <f t="shared" si="0"/>
        <v>1850</v>
      </c>
      <c r="M8">
        <f t="shared" si="0"/>
        <v>2150</v>
      </c>
      <c r="N8">
        <f t="shared" si="0"/>
        <v>2150</v>
      </c>
    </row>
    <row r="10" spans="1:62" x14ac:dyDescent="0.2">
      <c r="A10" t="s">
        <v>187</v>
      </c>
      <c r="C10">
        <v>25000</v>
      </c>
      <c r="D10">
        <f>C10</f>
        <v>25000</v>
      </c>
      <c r="E10">
        <f t="shared" ref="E10:N10" si="1">D10</f>
        <v>25000</v>
      </c>
      <c r="F10">
        <f t="shared" si="1"/>
        <v>25000</v>
      </c>
      <c r="G10">
        <f t="shared" si="1"/>
        <v>25000</v>
      </c>
      <c r="H10">
        <f t="shared" si="1"/>
        <v>25000</v>
      </c>
      <c r="I10">
        <f t="shared" si="1"/>
        <v>25000</v>
      </c>
      <c r="J10">
        <f t="shared" si="1"/>
        <v>25000</v>
      </c>
      <c r="K10">
        <f t="shared" si="1"/>
        <v>25000</v>
      </c>
      <c r="L10">
        <f t="shared" si="1"/>
        <v>25000</v>
      </c>
      <c r="M10">
        <f t="shared" si="1"/>
        <v>25000</v>
      </c>
      <c r="N10">
        <f t="shared" si="1"/>
        <v>25000</v>
      </c>
    </row>
    <row r="12" spans="1:62" x14ac:dyDescent="0.2">
      <c r="A12" t="s">
        <v>163</v>
      </c>
      <c r="C12">
        <f>C10*C8</f>
        <v>21250000</v>
      </c>
      <c r="D12">
        <f t="shared" ref="D12:N12" si="2">D10*D8</f>
        <v>21250000</v>
      </c>
      <c r="E12">
        <f t="shared" si="2"/>
        <v>26250000</v>
      </c>
      <c r="F12">
        <f t="shared" si="2"/>
        <v>26250000</v>
      </c>
      <c r="G12">
        <f t="shared" si="2"/>
        <v>28750000</v>
      </c>
      <c r="H12">
        <f t="shared" si="2"/>
        <v>31250000</v>
      </c>
      <c r="I12">
        <f t="shared" si="2"/>
        <v>31250000</v>
      </c>
      <c r="J12">
        <f t="shared" si="2"/>
        <v>36250000</v>
      </c>
      <c r="K12">
        <f t="shared" si="2"/>
        <v>46250000</v>
      </c>
      <c r="L12">
        <f t="shared" si="2"/>
        <v>46250000</v>
      </c>
      <c r="M12">
        <f t="shared" si="2"/>
        <v>53750000</v>
      </c>
      <c r="N12">
        <f t="shared" si="2"/>
        <v>53750000</v>
      </c>
    </row>
    <row r="13" spans="1:62" x14ac:dyDescent="0.2">
      <c r="A13" t="s">
        <v>161</v>
      </c>
      <c r="C13" s="61">
        <v>8.5000000000000006E-2</v>
      </c>
      <c r="D13" s="61">
        <f>C13</f>
        <v>8.5000000000000006E-2</v>
      </c>
      <c r="E13" s="61">
        <f t="shared" ref="E13:N13" si="3">D13</f>
        <v>8.5000000000000006E-2</v>
      </c>
      <c r="F13" s="61">
        <f t="shared" si="3"/>
        <v>8.5000000000000006E-2</v>
      </c>
      <c r="G13" s="61">
        <f t="shared" si="3"/>
        <v>8.5000000000000006E-2</v>
      </c>
      <c r="H13" s="61">
        <f t="shared" si="3"/>
        <v>8.5000000000000006E-2</v>
      </c>
      <c r="I13" s="61">
        <f t="shared" si="3"/>
        <v>8.5000000000000006E-2</v>
      </c>
      <c r="J13" s="61">
        <f t="shared" si="3"/>
        <v>8.5000000000000006E-2</v>
      </c>
      <c r="K13" s="61">
        <f t="shared" si="3"/>
        <v>8.5000000000000006E-2</v>
      </c>
      <c r="L13" s="61">
        <f t="shared" si="3"/>
        <v>8.5000000000000006E-2</v>
      </c>
      <c r="M13" s="61">
        <f t="shared" si="3"/>
        <v>8.5000000000000006E-2</v>
      </c>
      <c r="N13" s="61">
        <f t="shared" si="3"/>
        <v>8.5000000000000006E-2</v>
      </c>
    </row>
    <row r="14" spans="1:62" x14ac:dyDescent="0.2">
      <c r="A14" s="62" t="s">
        <v>162</v>
      </c>
      <c r="B14" s="62"/>
      <c r="C14" s="62">
        <f>C12*C13</f>
        <v>1806250.0000000002</v>
      </c>
      <c r="D14" s="62">
        <f t="shared" ref="D14:N14" si="4">D12*D13</f>
        <v>1806250.0000000002</v>
      </c>
      <c r="E14" s="62">
        <f t="shared" si="4"/>
        <v>2231250</v>
      </c>
      <c r="F14" s="62">
        <f t="shared" si="4"/>
        <v>2231250</v>
      </c>
      <c r="G14" s="62">
        <f t="shared" si="4"/>
        <v>2443750</v>
      </c>
      <c r="H14" s="62">
        <f t="shared" si="4"/>
        <v>2656250</v>
      </c>
      <c r="I14" s="62">
        <f t="shared" si="4"/>
        <v>2656250</v>
      </c>
      <c r="J14" s="62">
        <f t="shared" si="4"/>
        <v>3081250</v>
      </c>
      <c r="K14" s="62">
        <f t="shared" si="4"/>
        <v>3931250.0000000005</v>
      </c>
      <c r="L14" s="62">
        <f t="shared" si="4"/>
        <v>3931250.0000000005</v>
      </c>
      <c r="M14" s="62">
        <f t="shared" si="4"/>
        <v>4568750</v>
      </c>
      <c r="N14" s="62">
        <f t="shared" si="4"/>
        <v>4568750</v>
      </c>
    </row>
    <row r="17" spans="1:14" x14ac:dyDescent="0.2">
      <c r="A17" s="4"/>
    </row>
    <row r="18" spans="1:14" x14ac:dyDescent="0.2">
      <c r="A18" t="s">
        <v>166</v>
      </c>
    </row>
    <row r="19" spans="1:14" x14ac:dyDescent="0.2">
      <c r="A19" t="s">
        <v>169</v>
      </c>
      <c r="C19">
        <v>2</v>
      </c>
      <c r="D19">
        <v>2</v>
      </c>
      <c r="E19">
        <v>2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</row>
    <row r="20" spans="1:14" x14ac:dyDescent="0.2">
      <c r="A20" t="s">
        <v>167</v>
      </c>
      <c r="C20">
        <v>20000</v>
      </c>
      <c r="D20">
        <f>C20</f>
        <v>20000</v>
      </c>
      <c r="E20">
        <f>D20</f>
        <v>20000</v>
      </c>
      <c r="F20">
        <f t="shared" ref="F20:N20" si="5">E20</f>
        <v>20000</v>
      </c>
      <c r="G20">
        <f t="shared" si="5"/>
        <v>20000</v>
      </c>
      <c r="H20">
        <f t="shared" si="5"/>
        <v>20000</v>
      </c>
      <c r="I20">
        <f t="shared" si="5"/>
        <v>20000</v>
      </c>
      <c r="J20">
        <f t="shared" si="5"/>
        <v>20000</v>
      </c>
      <c r="K20">
        <f t="shared" si="5"/>
        <v>20000</v>
      </c>
      <c r="L20">
        <f t="shared" si="5"/>
        <v>20000</v>
      </c>
      <c r="M20">
        <f t="shared" si="5"/>
        <v>20000</v>
      </c>
      <c r="N20">
        <f t="shared" si="5"/>
        <v>20000</v>
      </c>
    </row>
    <row r="21" spans="1:14" x14ac:dyDescent="0.2">
      <c r="C21">
        <f>C20*C19</f>
        <v>40000</v>
      </c>
      <c r="D21">
        <f t="shared" ref="D21:N21" si="6">D20*D19</f>
        <v>40000</v>
      </c>
      <c r="E21">
        <f t="shared" si="6"/>
        <v>40000</v>
      </c>
      <c r="F21">
        <f t="shared" si="6"/>
        <v>80000</v>
      </c>
      <c r="G21">
        <f t="shared" si="6"/>
        <v>80000</v>
      </c>
      <c r="H21">
        <f t="shared" si="6"/>
        <v>80000</v>
      </c>
      <c r="I21">
        <f t="shared" si="6"/>
        <v>80000</v>
      </c>
      <c r="J21">
        <f t="shared" si="6"/>
        <v>80000</v>
      </c>
      <c r="K21">
        <f t="shared" si="6"/>
        <v>80000</v>
      </c>
      <c r="L21">
        <f t="shared" si="6"/>
        <v>80000</v>
      </c>
      <c r="M21">
        <f t="shared" si="6"/>
        <v>80000</v>
      </c>
      <c r="N21">
        <f t="shared" si="6"/>
        <v>80000</v>
      </c>
    </row>
    <row r="22" spans="1:14" x14ac:dyDescent="0.2">
      <c r="A22" t="s">
        <v>168</v>
      </c>
      <c r="C22">
        <v>2</v>
      </c>
      <c r="D22">
        <v>2</v>
      </c>
      <c r="E22">
        <v>2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</row>
    <row r="23" spans="1:14" x14ac:dyDescent="0.2">
      <c r="A23" t="s">
        <v>167</v>
      </c>
      <c r="C23">
        <v>15000</v>
      </c>
      <c r="D23">
        <f>C23</f>
        <v>15000</v>
      </c>
      <c r="E23">
        <f t="shared" ref="E23:N23" si="7">D23</f>
        <v>15000</v>
      </c>
      <c r="F23">
        <f t="shared" si="7"/>
        <v>15000</v>
      </c>
      <c r="G23">
        <f t="shared" si="7"/>
        <v>15000</v>
      </c>
      <c r="H23">
        <f t="shared" si="7"/>
        <v>15000</v>
      </c>
      <c r="I23">
        <f t="shared" si="7"/>
        <v>15000</v>
      </c>
      <c r="J23">
        <f t="shared" si="7"/>
        <v>15000</v>
      </c>
      <c r="K23">
        <f t="shared" si="7"/>
        <v>15000</v>
      </c>
      <c r="L23">
        <f t="shared" si="7"/>
        <v>15000</v>
      </c>
      <c r="M23">
        <f t="shared" si="7"/>
        <v>15000</v>
      </c>
      <c r="N23">
        <f t="shared" si="7"/>
        <v>15000</v>
      </c>
    </row>
    <row r="24" spans="1:14" x14ac:dyDescent="0.2">
      <c r="C24">
        <f>C23*C22</f>
        <v>30000</v>
      </c>
      <c r="D24">
        <f t="shared" ref="D24:N24" si="8">D23*D22</f>
        <v>30000</v>
      </c>
      <c r="E24">
        <f t="shared" si="8"/>
        <v>30000</v>
      </c>
      <c r="F24">
        <f t="shared" si="8"/>
        <v>45000</v>
      </c>
      <c r="G24">
        <f t="shared" si="8"/>
        <v>45000</v>
      </c>
      <c r="H24">
        <f t="shared" si="8"/>
        <v>45000</v>
      </c>
      <c r="I24">
        <f t="shared" si="8"/>
        <v>45000</v>
      </c>
      <c r="J24">
        <f t="shared" si="8"/>
        <v>45000</v>
      </c>
      <c r="K24">
        <f t="shared" si="8"/>
        <v>45000</v>
      </c>
      <c r="L24">
        <f t="shared" si="8"/>
        <v>45000</v>
      </c>
      <c r="M24">
        <f t="shared" si="8"/>
        <v>45000</v>
      </c>
      <c r="N24">
        <f t="shared" si="8"/>
        <v>45000</v>
      </c>
    </row>
    <row r="25" spans="1:14" x14ac:dyDescent="0.2">
      <c r="A25" t="s">
        <v>164</v>
      </c>
      <c r="C25">
        <v>1</v>
      </c>
      <c r="D25">
        <v>1</v>
      </c>
      <c r="E25">
        <v>1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</row>
    <row r="26" spans="1:14" x14ac:dyDescent="0.2">
      <c r="A26" t="s">
        <v>167</v>
      </c>
      <c r="C26">
        <f>20000</f>
        <v>20000</v>
      </c>
      <c r="D26">
        <f>C26</f>
        <v>20000</v>
      </c>
      <c r="E26">
        <f t="shared" ref="E26:N26" si="9">D26</f>
        <v>20000</v>
      </c>
      <c r="F26">
        <f t="shared" si="9"/>
        <v>20000</v>
      </c>
      <c r="G26">
        <f t="shared" si="9"/>
        <v>20000</v>
      </c>
      <c r="H26">
        <f t="shared" si="9"/>
        <v>20000</v>
      </c>
      <c r="I26">
        <f t="shared" si="9"/>
        <v>20000</v>
      </c>
      <c r="J26">
        <f t="shared" si="9"/>
        <v>20000</v>
      </c>
      <c r="K26">
        <f t="shared" si="9"/>
        <v>20000</v>
      </c>
      <c r="L26">
        <f t="shared" si="9"/>
        <v>20000</v>
      </c>
      <c r="M26">
        <f t="shared" si="9"/>
        <v>20000</v>
      </c>
      <c r="N26">
        <f t="shared" si="9"/>
        <v>20000</v>
      </c>
    </row>
    <row r="27" spans="1:14" x14ac:dyDescent="0.2">
      <c r="C27">
        <f>C26*C25</f>
        <v>20000</v>
      </c>
      <c r="D27">
        <f t="shared" ref="D27:N27" si="10">D26*D25</f>
        <v>20000</v>
      </c>
      <c r="E27">
        <f t="shared" si="10"/>
        <v>20000</v>
      </c>
      <c r="F27">
        <f t="shared" si="10"/>
        <v>40000</v>
      </c>
      <c r="G27">
        <f t="shared" si="10"/>
        <v>40000</v>
      </c>
      <c r="H27">
        <f t="shared" si="10"/>
        <v>40000</v>
      </c>
      <c r="I27">
        <f t="shared" si="10"/>
        <v>40000</v>
      </c>
      <c r="J27">
        <f t="shared" si="10"/>
        <v>40000</v>
      </c>
      <c r="K27">
        <f t="shared" si="10"/>
        <v>40000</v>
      </c>
      <c r="L27">
        <f t="shared" si="10"/>
        <v>40000</v>
      </c>
      <c r="M27">
        <f t="shared" si="10"/>
        <v>40000</v>
      </c>
      <c r="N27">
        <f t="shared" si="10"/>
        <v>40000</v>
      </c>
    </row>
    <row r="28" spans="1:14" x14ac:dyDescent="0.2">
      <c r="A28" t="s">
        <v>165</v>
      </c>
      <c r="C28">
        <v>1</v>
      </c>
      <c r="D28">
        <f>C28</f>
        <v>1</v>
      </c>
      <c r="E28">
        <f t="shared" ref="E28:N29" si="11">D28</f>
        <v>1</v>
      </c>
      <c r="F28">
        <f t="shared" si="11"/>
        <v>1</v>
      </c>
      <c r="G28">
        <f t="shared" si="11"/>
        <v>1</v>
      </c>
      <c r="H28">
        <f t="shared" si="11"/>
        <v>1</v>
      </c>
      <c r="I28">
        <f t="shared" si="11"/>
        <v>1</v>
      </c>
      <c r="J28">
        <f t="shared" si="11"/>
        <v>1</v>
      </c>
      <c r="K28">
        <f t="shared" si="11"/>
        <v>1</v>
      </c>
      <c r="L28">
        <f t="shared" si="11"/>
        <v>1</v>
      </c>
      <c r="M28">
        <f t="shared" si="11"/>
        <v>1</v>
      </c>
      <c r="N28">
        <f t="shared" si="11"/>
        <v>1</v>
      </c>
    </row>
    <row r="29" spans="1:14" x14ac:dyDescent="0.2">
      <c r="A29" t="s">
        <v>167</v>
      </c>
      <c r="C29">
        <v>30000</v>
      </c>
      <c r="D29">
        <f>C29</f>
        <v>30000</v>
      </c>
      <c r="E29">
        <f t="shared" si="11"/>
        <v>30000</v>
      </c>
      <c r="F29">
        <f t="shared" si="11"/>
        <v>30000</v>
      </c>
      <c r="G29">
        <f t="shared" si="11"/>
        <v>30000</v>
      </c>
      <c r="H29">
        <f t="shared" si="11"/>
        <v>30000</v>
      </c>
      <c r="I29">
        <f t="shared" si="11"/>
        <v>30000</v>
      </c>
      <c r="J29">
        <f t="shared" si="11"/>
        <v>30000</v>
      </c>
      <c r="K29">
        <f t="shared" si="11"/>
        <v>30000</v>
      </c>
      <c r="L29">
        <f t="shared" si="11"/>
        <v>30000</v>
      </c>
      <c r="M29">
        <f t="shared" si="11"/>
        <v>30000</v>
      </c>
      <c r="N29">
        <f t="shared" si="11"/>
        <v>30000</v>
      </c>
    </row>
    <row r="30" spans="1:14" x14ac:dyDescent="0.2">
      <c r="C30">
        <f>C29*C28</f>
        <v>30000</v>
      </c>
      <c r="D30">
        <f t="shared" ref="D30:N30" si="12">D29*D28</f>
        <v>30000</v>
      </c>
      <c r="E30">
        <f t="shared" si="12"/>
        <v>30000</v>
      </c>
      <c r="F30">
        <f t="shared" si="12"/>
        <v>30000</v>
      </c>
      <c r="G30">
        <f t="shared" si="12"/>
        <v>30000</v>
      </c>
      <c r="H30">
        <f t="shared" si="12"/>
        <v>30000</v>
      </c>
      <c r="I30">
        <f t="shared" si="12"/>
        <v>30000</v>
      </c>
      <c r="J30">
        <f t="shared" si="12"/>
        <v>30000</v>
      </c>
      <c r="K30">
        <f t="shared" si="12"/>
        <v>30000</v>
      </c>
      <c r="L30">
        <f t="shared" si="12"/>
        <v>30000</v>
      </c>
      <c r="M30">
        <f t="shared" si="12"/>
        <v>30000</v>
      </c>
      <c r="N30">
        <f t="shared" si="12"/>
        <v>30000</v>
      </c>
    </row>
    <row r="31" spans="1:14" x14ac:dyDescent="0.2">
      <c r="A31" t="s">
        <v>171</v>
      </c>
      <c r="C31">
        <f>C28+C25+C22+C19</f>
        <v>6</v>
      </c>
      <c r="D31">
        <f t="shared" ref="D31:N31" si="13">D28+D25+D22+D19</f>
        <v>6</v>
      </c>
      <c r="E31">
        <f t="shared" si="13"/>
        <v>6</v>
      </c>
      <c r="F31">
        <f t="shared" si="13"/>
        <v>10</v>
      </c>
      <c r="G31">
        <f t="shared" si="13"/>
        <v>10</v>
      </c>
      <c r="H31">
        <f t="shared" si="13"/>
        <v>10</v>
      </c>
      <c r="I31">
        <f t="shared" si="13"/>
        <v>10</v>
      </c>
      <c r="J31">
        <f t="shared" si="13"/>
        <v>10</v>
      </c>
      <c r="K31">
        <f t="shared" si="13"/>
        <v>10</v>
      </c>
      <c r="L31">
        <f t="shared" si="13"/>
        <v>10</v>
      </c>
      <c r="M31">
        <f t="shared" si="13"/>
        <v>10</v>
      </c>
      <c r="N31">
        <f t="shared" si="13"/>
        <v>10</v>
      </c>
    </row>
    <row r="32" spans="1:14" x14ac:dyDescent="0.2">
      <c r="A32" t="s">
        <v>170</v>
      </c>
      <c r="C32">
        <f>C30+C27+C24+C21</f>
        <v>120000</v>
      </c>
      <c r="D32">
        <f t="shared" ref="D32:N32" si="14">D30+D27+D24+D21</f>
        <v>120000</v>
      </c>
      <c r="E32">
        <f t="shared" si="14"/>
        <v>120000</v>
      </c>
      <c r="F32">
        <f t="shared" si="14"/>
        <v>195000</v>
      </c>
      <c r="G32">
        <f t="shared" si="14"/>
        <v>195000</v>
      </c>
      <c r="H32">
        <f t="shared" si="14"/>
        <v>195000</v>
      </c>
      <c r="I32">
        <f t="shared" si="14"/>
        <v>195000</v>
      </c>
      <c r="J32">
        <f t="shared" si="14"/>
        <v>195000</v>
      </c>
      <c r="K32">
        <f t="shared" si="14"/>
        <v>195000</v>
      </c>
      <c r="L32">
        <f t="shared" si="14"/>
        <v>195000</v>
      </c>
      <c r="M32">
        <f t="shared" si="14"/>
        <v>195000</v>
      </c>
      <c r="N32">
        <f t="shared" si="14"/>
        <v>195000</v>
      </c>
    </row>
    <row r="34" spans="1:14" x14ac:dyDescent="0.2">
      <c r="A34" t="s">
        <v>172</v>
      </c>
      <c r="C34">
        <f>C31*2000</f>
        <v>12000</v>
      </c>
      <c r="D34">
        <f t="shared" ref="D34:N34" si="15">D31*2000</f>
        <v>12000</v>
      </c>
      <c r="E34">
        <f t="shared" si="15"/>
        <v>12000</v>
      </c>
      <c r="F34">
        <f t="shared" si="15"/>
        <v>20000</v>
      </c>
      <c r="G34">
        <f t="shared" si="15"/>
        <v>20000</v>
      </c>
      <c r="H34">
        <f t="shared" si="15"/>
        <v>20000</v>
      </c>
      <c r="I34">
        <f t="shared" si="15"/>
        <v>20000</v>
      </c>
      <c r="J34">
        <f t="shared" si="15"/>
        <v>20000</v>
      </c>
      <c r="K34">
        <f t="shared" si="15"/>
        <v>20000</v>
      </c>
      <c r="L34">
        <f t="shared" si="15"/>
        <v>20000</v>
      </c>
      <c r="M34">
        <f t="shared" si="15"/>
        <v>20000</v>
      </c>
      <c r="N34">
        <f t="shared" si="15"/>
        <v>20000</v>
      </c>
    </row>
    <row r="35" spans="1:14" x14ac:dyDescent="0.2">
      <c r="A35" t="s">
        <v>174</v>
      </c>
      <c r="C35" s="5">
        <v>0.1</v>
      </c>
      <c r="D35" s="5">
        <f>C35</f>
        <v>0.1</v>
      </c>
      <c r="E35" s="5">
        <f t="shared" ref="E35:N35" si="16">D35</f>
        <v>0.1</v>
      </c>
      <c r="F35" s="5">
        <f t="shared" si="16"/>
        <v>0.1</v>
      </c>
      <c r="G35" s="5">
        <f t="shared" si="16"/>
        <v>0.1</v>
      </c>
      <c r="H35" s="5">
        <f t="shared" si="16"/>
        <v>0.1</v>
      </c>
      <c r="I35" s="5">
        <f t="shared" si="16"/>
        <v>0.1</v>
      </c>
      <c r="J35" s="5">
        <f t="shared" si="16"/>
        <v>0.1</v>
      </c>
      <c r="K35" s="5">
        <f t="shared" si="16"/>
        <v>0.1</v>
      </c>
      <c r="L35" s="5">
        <f t="shared" si="16"/>
        <v>0.1</v>
      </c>
      <c r="M35" s="5">
        <f t="shared" si="16"/>
        <v>0.1</v>
      </c>
      <c r="N35" s="5">
        <f t="shared" si="16"/>
        <v>0.1</v>
      </c>
    </row>
    <row r="36" spans="1:14" x14ac:dyDescent="0.2">
      <c r="A36" t="s">
        <v>173</v>
      </c>
      <c r="C36">
        <f>C35*C32</f>
        <v>12000</v>
      </c>
      <c r="D36">
        <f t="shared" ref="D36:N36" si="17">D35*D32</f>
        <v>12000</v>
      </c>
      <c r="E36">
        <f t="shared" si="17"/>
        <v>12000</v>
      </c>
      <c r="F36">
        <f t="shared" si="17"/>
        <v>19500</v>
      </c>
      <c r="G36">
        <f t="shared" si="17"/>
        <v>19500</v>
      </c>
      <c r="H36">
        <f t="shared" si="17"/>
        <v>19500</v>
      </c>
      <c r="I36">
        <f t="shared" si="17"/>
        <v>19500</v>
      </c>
      <c r="J36">
        <f t="shared" si="17"/>
        <v>19500</v>
      </c>
      <c r="K36">
        <f t="shared" si="17"/>
        <v>19500</v>
      </c>
      <c r="L36">
        <f t="shared" si="17"/>
        <v>19500</v>
      </c>
      <c r="M36">
        <f t="shared" si="17"/>
        <v>19500</v>
      </c>
      <c r="N36">
        <f t="shared" si="17"/>
        <v>19500</v>
      </c>
    </row>
    <row r="39" spans="1:14" x14ac:dyDescent="0.2">
      <c r="A39" t="s">
        <v>175</v>
      </c>
    </row>
    <row r="40" spans="1:14" x14ac:dyDescent="0.2">
      <c r="A40" t="s">
        <v>176</v>
      </c>
      <c r="C40">
        <v>25000</v>
      </c>
      <c r="D40">
        <f>C40</f>
        <v>25000</v>
      </c>
      <c r="E40">
        <f t="shared" ref="E40:N40" si="18">D40</f>
        <v>25000</v>
      </c>
      <c r="F40">
        <f t="shared" si="18"/>
        <v>25000</v>
      </c>
      <c r="G40">
        <f t="shared" si="18"/>
        <v>25000</v>
      </c>
      <c r="H40">
        <f t="shared" si="18"/>
        <v>25000</v>
      </c>
      <c r="I40">
        <f t="shared" si="18"/>
        <v>25000</v>
      </c>
      <c r="J40">
        <f t="shared" si="18"/>
        <v>25000</v>
      </c>
      <c r="K40">
        <f t="shared" si="18"/>
        <v>25000</v>
      </c>
      <c r="L40">
        <f t="shared" si="18"/>
        <v>25000</v>
      </c>
      <c r="M40">
        <f t="shared" si="18"/>
        <v>25000</v>
      </c>
      <c r="N40">
        <f t="shared" si="18"/>
        <v>25000</v>
      </c>
    </row>
    <row r="41" spans="1:14" x14ac:dyDescent="0.2">
      <c r="A41" t="s">
        <v>177</v>
      </c>
      <c r="C41">
        <v>40000</v>
      </c>
      <c r="D41">
        <v>40000</v>
      </c>
      <c r="E41">
        <v>40000</v>
      </c>
      <c r="F41">
        <v>40000</v>
      </c>
      <c r="G41">
        <v>40000</v>
      </c>
      <c r="H41">
        <v>40000</v>
      </c>
      <c r="I41">
        <v>40000</v>
      </c>
      <c r="J41">
        <v>40000</v>
      </c>
      <c r="K41">
        <v>40000</v>
      </c>
      <c r="L41">
        <v>40000</v>
      </c>
      <c r="M41">
        <v>40000</v>
      </c>
      <c r="N41">
        <v>40000</v>
      </c>
    </row>
    <row r="42" spans="1:14" x14ac:dyDescent="0.2">
      <c r="A42" t="s">
        <v>178</v>
      </c>
      <c r="C42">
        <v>5000</v>
      </c>
      <c r="D42">
        <f>C42</f>
        <v>5000</v>
      </c>
      <c r="E42">
        <f t="shared" ref="E42:N42" si="19">D42</f>
        <v>5000</v>
      </c>
      <c r="F42">
        <f t="shared" si="19"/>
        <v>5000</v>
      </c>
      <c r="G42">
        <f t="shared" si="19"/>
        <v>5000</v>
      </c>
      <c r="H42">
        <f t="shared" si="19"/>
        <v>5000</v>
      </c>
      <c r="I42">
        <f t="shared" si="19"/>
        <v>5000</v>
      </c>
      <c r="J42">
        <f t="shared" si="19"/>
        <v>5000</v>
      </c>
      <c r="K42">
        <f t="shared" si="19"/>
        <v>5000</v>
      </c>
      <c r="L42">
        <f t="shared" si="19"/>
        <v>5000</v>
      </c>
      <c r="M42">
        <f t="shared" si="19"/>
        <v>5000</v>
      </c>
      <c r="N42">
        <f t="shared" si="19"/>
        <v>5000</v>
      </c>
    </row>
    <row r="43" spans="1:14" x14ac:dyDescent="0.2">
      <c r="A43" t="s">
        <v>179</v>
      </c>
      <c r="C43">
        <v>10000</v>
      </c>
      <c r="D43">
        <v>10000</v>
      </c>
      <c r="E43">
        <v>10000</v>
      </c>
      <c r="F43">
        <v>10000</v>
      </c>
      <c r="G43">
        <v>10000</v>
      </c>
      <c r="H43">
        <v>10000</v>
      </c>
      <c r="I43">
        <v>10000</v>
      </c>
      <c r="J43">
        <v>10000</v>
      </c>
      <c r="K43">
        <v>10000</v>
      </c>
      <c r="L43">
        <v>10000</v>
      </c>
      <c r="M43">
        <v>10000</v>
      </c>
      <c r="N43">
        <v>10000</v>
      </c>
    </row>
    <row r="44" spans="1:14" x14ac:dyDescent="0.2">
      <c r="A44" t="s">
        <v>180</v>
      </c>
    </row>
    <row r="45" spans="1:14" x14ac:dyDescent="0.2">
      <c r="A45" t="s">
        <v>181</v>
      </c>
    </row>
    <row r="46" spans="1:14" x14ac:dyDescent="0.2">
      <c r="A46" t="s">
        <v>182</v>
      </c>
      <c r="C46">
        <f>SUM(C40:C45)</f>
        <v>80000</v>
      </c>
      <c r="D46">
        <f t="shared" ref="D46:N46" si="20">SUM(D40:D45)</f>
        <v>80000</v>
      </c>
      <c r="E46">
        <f t="shared" si="20"/>
        <v>80000</v>
      </c>
      <c r="F46">
        <f t="shared" si="20"/>
        <v>80000</v>
      </c>
      <c r="G46">
        <f t="shared" si="20"/>
        <v>80000</v>
      </c>
      <c r="H46">
        <f t="shared" si="20"/>
        <v>80000</v>
      </c>
      <c r="I46">
        <f t="shared" si="20"/>
        <v>80000</v>
      </c>
      <c r="J46">
        <f t="shared" si="20"/>
        <v>80000</v>
      </c>
      <c r="K46">
        <f t="shared" si="20"/>
        <v>80000</v>
      </c>
      <c r="L46">
        <f t="shared" si="20"/>
        <v>80000</v>
      </c>
      <c r="M46">
        <f t="shared" si="20"/>
        <v>80000</v>
      </c>
      <c r="N46">
        <f t="shared" si="20"/>
        <v>80000</v>
      </c>
    </row>
    <row r="49" spans="1:14" x14ac:dyDescent="0.2">
      <c r="A49" t="s">
        <v>183</v>
      </c>
      <c r="C49">
        <v>2000</v>
      </c>
      <c r="D49">
        <v>2000</v>
      </c>
      <c r="E49">
        <v>2000</v>
      </c>
      <c r="F49">
        <v>2000</v>
      </c>
      <c r="G49">
        <v>2000</v>
      </c>
      <c r="H49">
        <v>2000</v>
      </c>
      <c r="I49">
        <v>2000</v>
      </c>
      <c r="J49">
        <v>2000</v>
      </c>
      <c r="K49">
        <v>2000</v>
      </c>
      <c r="L49">
        <v>2000</v>
      </c>
      <c r="M49">
        <v>2000</v>
      </c>
      <c r="N49">
        <v>2000</v>
      </c>
    </row>
    <row r="51" spans="1:14" x14ac:dyDescent="0.2">
      <c r="A51" s="62" t="s">
        <v>63</v>
      </c>
      <c r="B51" s="62"/>
      <c r="C51" s="62">
        <f>C32+C34+C36+C46+C49</f>
        <v>226000</v>
      </c>
      <c r="D51" s="62">
        <f t="shared" ref="D51:N51" si="21">D32+D34+D36+D46+D49</f>
        <v>226000</v>
      </c>
      <c r="E51" s="62">
        <f t="shared" si="21"/>
        <v>226000</v>
      </c>
      <c r="F51" s="62">
        <f t="shared" si="21"/>
        <v>316500</v>
      </c>
      <c r="G51" s="62">
        <f t="shared" si="21"/>
        <v>316500</v>
      </c>
      <c r="H51" s="62">
        <f t="shared" si="21"/>
        <v>316500</v>
      </c>
      <c r="I51" s="62">
        <f t="shared" si="21"/>
        <v>316500</v>
      </c>
      <c r="J51" s="62">
        <f t="shared" si="21"/>
        <v>316500</v>
      </c>
      <c r="K51" s="62">
        <f t="shared" si="21"/>
        <v>316500</v>
      </c>
      <c r="L51" s="62">
        <f t="shared" si="21"/>
        <v>316500</v>
      </c>
      <c r="M51" s="62">
        <f t="shared" si="21"/>
        <v>316500</v>
      </c>
      <c r="N51" s="62">
        <f t="shared" si="21"/>
        <v>316500</v>
      </c>
    </row>
    <row r="53" spans="1:14" x14ac:dyDescent="0.2">
      <c r="A53" t="s">
        <v>184</v>
      </c>
      <c r="C53">
        <f>C14-C51</f>
        <v>1580250.0000000002</v>
      </c>
      <c r="D53">
        <f t="shared" ref="D53:N53" si="22">D14-D51</f>
        <v>1580250.0000000002</v>
      </c>
      <c r="E53">
        <f t="shared" si="22"/>
        <v>2005250</v>
      </c>
      <c r="F53">
        <f t="shared" si="22"/>
        <v>1914750</v>
      </c>
      <c r="G53">
        <f t="shared" si="22"/>
        <v>2127250</v>
      </c>
      <c r="H53">
        <f t="shared" si="22"/>
        <v>2339750</v>
      </c>
      <c r="I53">
        <f t="shared" si="22"/>
        <v>2339750</v>
      </c>
      <c r="J53">
        <f t="shared" si="22"/>
        <v>2764750</v>
      </c>
      <c r="K53">
        <f t="shared" si="22"/>
        <v>3614750.0000000005</v>
      </c>
      <c r="L53">
        <f t="shared" si="22"/>
        <v>3614750.0000000005</v>
      </c>
      <c r="M53">
        <f t="shared" si="22"/>
        <v>4252250</v>
      </c>
      <c r="N53">
        <f t="shared" si="22"/>
        <v>4252250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PMS</vt:lpstr>
      <vt:lpstr>PG</vt:lpstr>
      <vt:lpstr>Expense</vt:lpstr>
      <vt:lpstr>PMS-New</vt:lpstr>
      <vt:lpstr>B2B2C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Sundaram</dc:creator>
  <cp:lastModifiedBy>Senthil Sundaram</cp:lastModifiedBy>
  <dcterms:created xsi:type="dcterms:W3CDTF">2019-11-22T12:38:52Z</dcterms:created>
  <dcterms:modified xsi:type="dcterms:W3CDTF">2020-02-18T11:14:34Z</dcterms:modified>
</cp:coreProperties>
</file>