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440" yWindow="0" windowWidth="11760" windowHeight="6950" firstSheet="1" activeTab="3"/>
  </bookViews>
  <sheets>
    <sheet name="SIMEC-Mai17" sheetId="6" r:id="rId1"/>
    <sheet name="Simec OT - 020718" sheetId="8" r:id="rId2"/>
    <sheet name="Tabelle3" sheetId="13" r:id="rId3"/>
    <sheet name="Baseline consolidado (2)" sheetId="5" r:id="rId4"/>
    <sheet name="Pivot" sheetId="3" r:id="rId5"/>
    <sheet name="Cópia tabelas" sheetId="4" r:id="rId6"/>
    <sheet name="tabelas relatorio" sheetId="9" r:id="rId7"/>
    <sheet name="Pivot 2" sheetId="10" r:id="rId8"/>
    <sheet name="Tabelle1" sheetId="11" r:id="rId9"/>
    <sheet name="Tabelle2" sheetId="12" r:id="rId10"/>
  </sheets>
  <externalReferences>
    <externalReference r:id="rId11"/>
  </externalReferences>
  <definedNames>
    <definedName name="_xlnm._FilterDatabase" localSheetId="1" hidden="1">'Simec OT - 020718'!$A$1:$BH$137</definedName>
    <definedName name="_xlnm._FilterDatabase" localSheetId="0" hidden="1">'SIMEC-Mai17'!$A$3:$BJ$139</definedName>
  </definedNames>
  <calcPr calcId="125725"/>
  <pivotCaches>
    <pivotCache cacheId="2" r:id="rId12"/>
    <pivotCache cacheId="3" r:id="rId1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41" i="5"/>
  <c r="AG142" s="1"/>
  <c r="AG140"/>
  <c r="AF141"/>
  <c r="AE141"/>
  <c r="AE140"/>
  <c r="AY116"/>
  <c r="AY115"/>
  <c r="AY114"/>
  <c r="AY112"/>
  <c r="AY111"/>
  <c r="AY110"/>
  <c r="AY52"/>
  <c r="AY49"/>
  <c r="AY48"/>
  <c r="AY31"/>
  <c r="AY24"/>
  <c r="AY23"/>
  <c r="AY117"/>
  <c r="AY17"/>
  <c r="AA145"/>
  <c r="D26" i="13"/>
  <c r="E25" i="12"/>
  <c r="E29"/>
  <c r="E27"/>
  <c r="E30"/>
  <c r="E22"/>
  <c r="D74" i="13"/>
  <c r="D72"/>
  <c r="D69"/>
  <c r="D64"/>
  <c r="D58"/>
  <c r="D6"/>
  <c r="E20" i="12" l="1"/>
  <c r="E19"/>
  <c r="E18"/>
  <c r="E17"/>
  <c r="E14"/>
  <c r="E13"/>
  <c r="E12"/>
  <c r="BF49" i="5"/>
  <c r="M71" i="4"/>
  <c r="M69"/>
  <c r="AY113" i="5"/>
  <c r="AY16"/>
  <c r="AY12"/>
  <c r="I71" i="4"/>
  <c r="I98" l="1"/>
  <c r="I97"/>
  <c r="L71"/>
  <c r="L69"/>
  <c r="J72"/>
  <c r="I73"/>
  <c r="I96"/>
  <c r="G96"/>
  <c r="F96"/>
  <c r="F100"/>
  <c r="AA143" i="5"/>
  <c r="B27" i="3"/>
  <c r="E27"/>
  <c r="F20"/>
  <c r="D9" i="11" l="1"/>
  <c r="C9"/>
  <c r="B9"/>
  <c r="AD4" i="5"/>
  <c r="AD10"/>
  <c r="AD11"/>
  <c r="AD13"/>
  <c r="AD14"/>
  <c r="AD15"/>
  <c r="AD20"/>
  <c r="AD21"/>
  <c r="AD22"/>
  <c r="AD23"/>
  <c r="AD24"/>
  <c r="AD25"/>
  <c r="AD26"/>
  <c r="AD28"/>
  <c r="AD29"/>
  <c r="AD31"/>
  <c r="AD32"/>
  <c r="AD33"/>
  <c r="AD34"/>
  <c r="AD35"/>
  <c r="AD37"/>
  <c r="AD38"/>
  <c r="AD39"/>
  <c r="AD40"/>
  <c r="AD41"/>
  <c r="AD42"/>
  <c r="AD43"/>
  <c r="AD44"/>
  <c r="AD45"/>
  <c r="AD46"/>
  <c r="AD47"/>
  <c r="AD48"/>
  <c r="AD51"/>
  <c r="AD52"/>
  <c r="AD54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4"/>
  <c r="AD75"/>
  <c r="AD77"/>
  <c r="AD78"/>
  <c r="AD80"/>
  <c r="AD81"/>
  <c r="AD83"/>
  <c r="AD84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4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R145"/>
  <c r="AN137"/>
  <c r="AN136"/>
  <c r="AN135"/>
  <c r="AN134"/>
  <c r="AN133"/>
  <c r="AN132"/>
  <c r="AN131"/>
  <c r="AN130"/>
  <c r="AN129"/>
  <c r="AN128"/>
  <c r="AN127"/>
  <c r="AN126"/>
  <c r="AN125"/>
  <c r="AN124"/>
  <c r="AN123"/>
  <c r="AN122"/>
  <c r="AN121"/>
  <c r="AN120"/>
  <c r="AN119"/>
  <c r="AN118"/>
  <c r="AN117"/>
  <c r="AN116"/>
  <c r="AN115"/>
  <c r="AN114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N3"/>
  <c r="AS4"/>
  <c r="AS5"/>
  <c r="AS6"/>
  <c r="AS7"/>
  <c r="AS8"/>
  <c r="AS10"/>
  <c r="AS11"/>
  <c r="AS12"/>
  <c r="AS13"/>
  <c r="AS14"/>
  <c r="AS15"/>
  <c r="AS16"/>
  <c r="AS17"/>
  <c r="AS18"/>
  <c r="AS19"/>
  <c r="AS20"/>
  <c r="AS21"/>
  <c r="AS22"/>
  <c r="AS23"/>
  <c r="AS24"/>
  <c r="AS25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4"/>
  <c r="AS55"/>
  <c r="AS56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7"/>
  <c r="AT87" s="1"/>
  <c r="AS88"/>
  <c r="AT88" s="1"/>
  <c r="AS89"/>
  <c r="AT89" s="1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3"/>
  <c r="I5" i="9"/>
  <c r="J5"/>
  <c r="K7"/>
  <c r="J8" s="1"/>
  <c r="AQ137" i="5"/>
  <c r="AR137" s="1"/>
  <c r="AQ136"/>
  <c r="AR136" s="1"/>
  <c r="AQ135"/>
  <c r="AR135" s="1"/>
  <c r="AQ134"/>
  <c r="AR134" s="1"/>
  <c r="AQ133"/>
  <c r="AR133" s="1"/>
  <c r="AQ132"/>
  <c r="AR132" s="1"/>
  <c r="AQ131"/>
  <c r="AR131" s="1"/>
  <c r="AQ130"/>
  <c r="AR130" s="1"/>
  <c r="AQ129"/>
  <c r="AR129" s="1"/>
  <c r="AQ128"/>
  <c r="AR128" s="1"/>
  <c r="AQ127"/>
  <c r="AR127" s="1"/>
  <c r="AQ126"/>
  <c r="AR126" s="1"/>
  <c r="AQ125"/>
  <c r="AR125" s="1"/>
  <c r="AQ124"/>
  <c r="AR124" s="1"/>
  <c r="AQ123"/>
  <c r="AR123" s="1"/>
  <c r="AQ122"/>
  <c r="AR122" s="1"/>
  <c r="AQ121"/>
  <c r="AR121" s="1"/>
  <c r="AQ120"/>
  <c r="AR120" s="1"/>
  <c r="AQ119"/>
  <c r="AR119" s="1"/>
  <c r="AQ118"/>
  <c r="AR118" s="1"/>
  <c r="AQ117"/>
  <c r="AR117" s="1"/>
  <c r="AQ116"/>
  <c r="AR116" s="1"/>
  <c r="AQ115"/>
  <c r="AR115" s="1"/>
  <c r="AQ114"/>
  <c r="AR114" s="1"/>
  <c r="AQ113"/>
  <c r="AR113" s="1"/>
  <c r="AQ112"/>
  <c r="AR112" s="1"/>
  <c r="AQ111"/>
  <c r="AR111" s="1"/>
  <c r="AQ110"/>
  <c r="AR110" s="1"/>
  <c r="AQ109"/>
  <c r="AR109" s="1"/>
  <c r="AQ108"/>
  <c r="AR108" s="1"/>
  <c r="AQ107"/>
  <c r="AR107" s="1"/>
  <c r="AQ106"/>
  <c r="AR106" s="1"/>
  <c r="AQ105"/>
  <c r="AR105" s="1"/>
  <c r="AQ104"/>
  <c r="AR104" s="1"/>
  <c r="AQ103"/>
  <c r="AR103" s="1"/>
  <c r="AQ102"/>
  <c r="AR102" s="1"/>
  <c r="AQ101"/>
  <c r="AR101" s="1"/>
  <c r="AQ100"/>
  <c r="AR100" s="1"/>
  <c r="AQ99"/>
  <c r="AR99" s="1"/>
  <c r="AQ98"/>
  <c r="AR98" s="1"/>
  <c r="AQ97"/>
  <c r="AR97" s="1"/>
  <c r="AQ96"/>
  <c r="AR96" s="1"/>
  <c r="AQ95"/>
  <c r="AR95" s="1"/>
  <c r="AQ94"/>
  <c r="AR94" s="1"/>
  <c r="AQ93"/>
  <c r="AR93" s="1"/>
  <c r="AQ92"/>
  <c r="AR92" s="1"/>
  <c r="AQ91"/>
  <c r="AR91" s="1"/>
  <c r="AQ90"/>
  <c r="AR90" s="1"/>
  <c r="AQ89"/>
  <c r="AR89" s="1"/>
  <c r="AQ88"/>
  <c r="AR88" s="1"/>
  <c r="AQ87"/>
  <c r="AR87" s="1"/>
  <c r="AQ86"/>
  <c r="AR86" s="1"/>
  <c r="AQ85"/>
  <c r="AR85" s="1"/>
  <c r="AQ84"/>
  <c r="AR84" s="1"/>
  <c r="AQ83"/>
  <c r="AR83" s="1"/>
  <c r="AQ82"/>
  <c r="AR82" s="1"/>
  <c r="AQ81"/>
  <c r="AR81" s="1"/>
  <c r="AQ80"/>
  <c r="AR80" s="1"/>
  <c r="AQ79"/>
  <c r="AR79" s="1"/>
  <c r="AQ78"/>
  <c r="AR78" s="1"/>
  <c r="AQ77"/>
  <c r="AR77" s="1"/>
  <c r="AQ76"/>
  <c r="AR76" s="1"/>
  <c r="AQ75"/>
  <c r="AR75" s="1"/>
  <c r="AQ74"/>
  <c r="AR74" s="1"/>
  <c r="AQ73"/>
  <c r="AR73" s="1"/>
  <c r="AQ72"/>
  <c r="AR72" s="1"/>
  <c r="AQ71"/>
  <c r="AR71" s="1"/>
  <c r="AQ70"/>
  <c r="AR70" s="1"/>
  <c r="AQ69"/>
  <c r="AR69" s="1"/>
  <c r="AQ68"/>
  <c r="AR68" s="1"/>
  <c r="AQ67"/>
  <c r="AR67" s="1"/>
  <c r="AQ66"/>
  <c r="AR66" s="1"/>
  <c r="AQ65"/>
  <c r="AR65" s="1"/>
  <c r="AQ64"/>
  <c r="AR64" s="1"/>
  <c r="AQ63"/>
  <c r="AR63" s="1"/>
  <c r="AQ62"/>
  <c r="AR62" s="1"/>
  <c r="AQ61"/>
  <c r="AR61" s="1"/>
  <c r="AQ60"/>
  <c r="AR60" s="1"/>
  <c r="AQ59"/>
  <c r="AR59" s="1"/>
  <c r="AQ58"/>
  <c r="AR58" s="1"/>
  <c r="AQ57"/>
  <c r="AR57" s="1"/>
  <c r="AQ56"/>
  <c r="AR56" s="1"/>
  <c r="AQ55"/>
  <c r="AR55" s="1"/>
  <c r="AQ54"/>
  <c r="AR54" s="1"/>
  <c r="AQ53"/>
  <c r="AR53" s="1"/>
  <c r="AQ52"/>
  <c r="AR52" s="1"/>
  <c r="AQ51"/>
  <c r="AR51" s="1"/>
  <c r="AQ50"/>
  <c r="AR50" s="1"/>
  <c r="AQ49"/>
  <c r="AR49" s="1"/>
  <c r="AQ48"/>
  <c r="AR48" s="1"/>
  <c r="AQ47"/>
  <c r="AR47" s="1"/>
  <c r="AQ46"/>
  <c r="AR46" s="1"/>
  <c r="AQ45"/>
  <c r="AR45" s="1"/>
  <c r="AQ44"/>
  <c r="AR44" s="1"/>
  <c r="AQ43"/>
  <c r="AR43" s="1"/>
  <c r="AQ42"/>
  <c r="AR42" s="1"/>
  <c r="AQ41"/>
  <c r="AR41" s="1"/>
  <c r="AQ40"/>
  <c r="AR40" s="1"/>
  <c r="AQ39"/>
  <c r="AR39" s="1"/>
  <c r="AQ38"/>
  <c r="AR38" s="1"/>
  <c r="AQ37"/>
  <c r="AR37" s="1"/>
  <c r="AQ36"/>
  <c r="AR36" s="1"/>
  <c r="AQ35"/>
  <c r="AR35" s="1"/>
  <c r="AQ34"/>
  <c r="AR34" s="1"/>
  <c r="AQ33"/>
  <c r="AR33" s="1"/>
  <c r="AQ32"/>
  <c r="AR32" s="1"/>
  <c r="AQ31"/>
  <c r="AR31" s="1"/>
  <c r="AQ30"/>
  <c r="AR30" s="1"/>
  <c r="AQ29"/>
  <c r="AR29" s="1"/>
  <c r="AQ28"/>
  <c r="AR28" s="1"/>
  <c r="AQ27"/>
  <c r="AR27" s="1"/>
  <c r="AQ26"/>
  <c r="AR26" s="1"/>
  <c r="AQ25"/>
  <c r="AR25" s="1"/>
  <c r="AQ24"/>
  <c r="AR24" s="1"/>
  <c r="AQ23"/>
  <c r="AR23" s="1"/>
  <c r="AQ22"/>
  <c r="AR22" s="1"/>
  <c r="AQ21"/>
  <c r="AR21" s="1"/>
  <c r="AQ20"/>
  <c r="AR20" s="1"/>
  <c r="AQ19"/>
  <c r="AR19" s="1"/>
  <c r="AQ18"/>
  <c r="AR18" s="1"/>
  <c r="AQ17"/>
  <c r="AR17" s="1"/>
  <c r="AQ16"/>
  <c r="AR16" s="1"/>
  <c r="AQ15"/>
  <c r="AR15" s="1"/>
  <c r="AQ14"/>
  <c r="AR14" s="1"/>
  <c r="AQ13"/>
  <c r="AR13" s="1"/>
  <c r="AQ12"/>
  <c r="AR12" s="1"/>
  <c r="AQ11"/>
  <c r="AR11" s="1"/>
  <c r="AQ10"/>
  <c r="AR10" s="1"/>
  <c r="AQ9"/>
  <c r="AR9" s="1"/>
  <c r="AQ8"/>
  <c r="AR8" s="1"/>
  <c r="AQ7"/>
  <c r="AR7" s="1"/>
  <c r="AQ6"/>
  <c r="AR6" s="1"/>
  <c r="AQ4"/>
  <c r="AR4" s="1"/>
  <c r="AQ3"/>
  <c r="AR3" s="1"/>
  <c r="AQ5"/>
  <c r="AR5" s="1"/>
  <c r="AP134"/>
  <c r="G106" i="4"/>
  <c r="G107"/>
  <c r="Y138" i="5"/>
  <c r="Y139" s="1"/>
  <c r="AX139" i="8"/>
  <c r="AT139"/>
  <c r="D65" i="4"/>
  <c r="E61"/>
  <c r="C60"/>
  <c r="I77"/>
  <c r="I72"/>
  <c r="G75"/>
  <c r="D75"/>
  <c r="J4" i="9" l="1"/>
  <c r="J6"/>
  <c r="J3"/>
  <c r="AP73" i="5"/>
  <c r="AP9"/>
  <c r="AP57"/>
  <c r="AP41"/>
  <c r="AP17"/>
  <c r="AP25"/>
  <c r="AP121"/>
  <c r="AP6"/>
  <c r="AP14"/>
  <c r="AP22"/>
  <c r="AP37"/>
  <c r="AP53"/>
  <c r="AP69"/>
  <c r="AP85"/>
  <c r="AP101"/>
  <c r="AP117"/>
  <c r="AP5"/>
  <c r="AP13"/>
  <c r="AP21"/>
  <c r="AP33"/>
  <c r="AP49"/>
  <c r="AP65"/>
  <c r="AP81"/>
  <c r="AP97"/>
  <c r="AP113"/>
  <c r="AP89"/>
  <c r="AP105"/>
  <c r="AP137"/>
  <c r="AP10"/>
  <c r="AP18"/>
  <c r="AP29"/>
  <c r="AP45"/>
  <c r="AP61"/>
  <c r="AP77"/>
  <c r="AP93"/>
  <c r="AP109"/>
  <c r="AP125"/>
  <c r="AP129"/>
  <c r="AP133"/>
  <c r="AP4"/>
  <c r="AP8"/>
  <c r="AP12"/>
  <c r="AP16"/>
  <c r="AP20"/>
  <c r="AP24"/>
  <c r="AP28"/>
  <c r="AP32"/>
  <c r="AP36"/>
  <c r="AP40"/>
  <c r="AP44"/>
  <c r="AP48"/>
  <c r="AP52"/>
  <c r="AP56"/>
  <c r="AP60"/>
  <c r="AP64"/>
  <c r="AP68"/>
  <c r="AP72"/>
  <c r="AP76"/>
  <c r="AP80"/>
  <c r="AP84"/>
  <c r="AP88"/>
  <c r="AP92"/>
  <c r="AP96"/>
  <c r="AP100"/>
  <c r="AP104"/>
  <c r="AP108"/>
  <c r="AP112"/>
  <c r="AP116"/>
  <c r="AP120"/>
  <c r="AP124"/>
  <c r="AP128"/>
  <c r="AP132"/>
  <c r="AP136"/>
  <c r="AP3"/>
  <c r="AP7"/>
  <c r="AP11"/>
  <c r="AP15"/>
  <c r="AP19"/>
  <c r="AP23"/>
  <c r="AP27"/>
  <c r="AP31"/>
  <c r="AP35"/>
  <c r="AP39"/>
  <c r="AP43"/>
  <c r="AP47"/>
  <c r="AP51"/>
  <c r="AP55"/>
  <c r="AP59"/>
  <c r="AP63"/>
  <c r="AP67"/>
  <c r="AP71"/>
  <c r="AP75"/>
  <c r="AP79"/>
  <c r="AP83"/>
  <c r="AP87"/>
  <c r="AP91"/>
  <c r="AP95"/>
  <c r="AP99"/>
  <c r="AP103"/>
  <c r="AP107"/>
  <c r="AP111"/>
  <c r="AP115"/>
  <c r="AP119"/>
  <c r="AP123"/>
  <c r="AP127"/>
  <c r="AP131"/>
  <c r="AP135"/>
  <c r="AP26"/>
  <c r="AP30"/>
  <c r="AP34"/>
  <c r="AP38"/>
  <c r="AP42"/>
  <c r="AP46"/>
  <c r="AP50"/>
  <c r="AP54"/>
  <c r="AP58"/>
  <c r="AP62"/>
  <c r="AP66"/>
  <c r="AP70"/>
  <c r="AP74"/>
  <c r="AP78"/>
  <c r="AP82"/>
  <c r="AP86"/>
  <c r="AP90"/>
  <c r="AP94"/>
  <c r="AP98"/>
  <c r="AP102"/>
  <c r="AP106"/>
  <c r="AP110"/>
  <c r="AP114"/>
  <c r="AP118"/>
  <c r="AP122"/>
  <c r="AP126"/>
  <c r="AP130"/>
  <c r="BO16"/>
  <c r="AN1" l="1"/>
  <c r="AN141"/>
  <c r="AN143"/>
  <c r="AN142"/>
  <c r="AO1"/>
  <c r="AP1"/>
  <c r="F90" i="4"/>
  <c r="X139" i="5"/>
  <c r="O139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AZ47"/>
  <c r="AZ3"/>
  <c r="AZ4"/>
  <c r="AZ5"/>
  <c r="AZ6"/>
  <c r="AZ7"/>
  <c r="AZ8"/>
  <c r="AZ9"/>
  <c r="AZ12"/>
  <c r="AZ13"/>
  <c r="AZ14"/>
  <c r="AZ15"/>
  <c r="AZ17"/>
  <c r="AZ20"/>
  <c r="AZ21"/>
  <c r="AZ22"/>
  <c r="AZ23"/>
  <c r="AZ24"/>
  <c r="AZ31"/>
  <c r="AZ33"/>
  <c r="AZ34"/>
  <c r="AZ35"/>
  <c r="AZ36"/>
  <c r="AZ37"/>
  <c r="AZ39"/>
  <c r="AZ40"/>
  <c r="AZ41"/>
  <c r="AZ43"/>
  <c r="AZ45"/>
  <c r="AZ46"/>
  <c r="AZ48"/>
  <c r="AZ50"/>
  <c r="AZ52"/>
  <c r="AZ59"/>
  <c r="AZ60"/>
  <c r="AZ61"/>
  <c r="AZ62"/>
  <c r="AZ73"/>
  <c r="AZ74"/>
  <c r="AZ75"/>
  <c r="AZ76"/>
  <c r="AZ77"/>
  <c r="AZ78"/>
  <c r="AZ79"/>
  <c r="AZ80"/>
  <c r="AZ81"/>
  <c r="AZ82"/>
  <c r="AZ83"/>
  <c r="AZ84"/>
  <c r="AZ85"/>
  <c r="AZ86"/>
  <c r="AZ87"/>
  <c r="AZ88"/>
  <c r="AZ90"/>
  <c r="AZ91"/>
  <c r="AZ92"/>
  <c r="AZ93"/>
  <c r="AZ94"/>
  <c r="AZ95"/>
  <c r="AZ96"/>
  <c r="AZ97"/>
  <c r="AZ100"/>
  <c r="AZ103"/>
  <c r="AZ105"/>
  <c r="AZ106"/>
  <c r="AZ107"/>
  <c r="AZ108"/>
  <c r="AZ109"/>
  <c r="AZ111"/>
  <c r="AZ112"/>
  <c r="AZ114"/>
  <c r="AZ115"/>
  <c r="AZ116"/>
  <c r="AZ117"/>
  <c r="AY47"/>
  <c r="AY11"/>
  <c r="AY20"/>
  <c r="AY60"/>
  <c r="AY61"/>
  <c r="AY62"/>
  <c r="AY65"/>
  <c r="AY89"/>
  <c r="AL138"/>
  <c r="AL139" s="1"/>
  <c r="AK138"/>
  <c r="AK139" s="1"/>
  <c r="BC95"/>
  <c r="O138" l="1"/>
  <c r="BL86"/>
  <c r="BL85"/>
  <c r="BL82"/>
  <c r="BO6" l="1"/>
  <c r="BN6"/>
  <c r="BN7"/>
  <c r="BO7"/>
  <c r="BW7"/>
  <c r="BV7"/>
  <c r="BW6"/>
  <c r="BV6"/>
  <c r="BW5"/>
  <c r="BV5"/>
  <c r="BO8"/>
  <c r="BM8"/>
  <c r="BO3"/>
  <c r="BG16"/>
  <c r="BF16"/>
  <c r="BF30"/>
  <c r="BG30"/>
  <c r="BG110"/>
  <c r="AZ110" s="1"/>
  <c r="AZ49"/>
  <c r="BF47"/>
  <c r="BG57"/>
  <c r="BF57"/>
  <c r="BG54"/>
  <c r="BF54"/>
  <c r="BG55"/>
  <c r="BF55"/>
  <c r="BG65"/>
  <c r="BF65"/>
  <c r="BO86"/>
  <c r="BO85"/>
  <c r="BO82"/>
  <c r="BQ82"/>
  <c r="BQ85"/>
  <c r="BQ86"/>
  <c r="BD86"/>
  <c r="BD85"/>
  <c r="BD84"/>
  <c r="BD83"/>
  <c r="BD82"/>
  <c r="BD81"/>
  <c r="BD80"/>
  <c r="BD79"/>
  <c r="BD78"/>
  <c r="BD77"/>
  <c r="BD76"/>
  <c r="BD75"/>
  <c r="BD74"/>
  <c r="BD73"/>
  <c r="BO89"/>
  <c r="BN89"/>
  <c r="BG113"/>
  <c r="AZ113" s="1"/>
  <c r="F80" i="4"/>
  <c r="F79"/>
  <c r="H138" i="5"/>
  <c r="D60" i="4"/>
  <c r="D61"/>
  <c r="F78"/>
  <c r="G77"/>
  <c r="F77"/>
  <c r="Q138" i="5"/>
  <c r="P138"/>
  <c r="K138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01"/>
  <c r="T99"/>
  <c r="T98"/>
  <c r="T95"/>
  <c r="T94"/>
  <c r="T93"/>
  <c r="T92"/>
  <c r="T91"/>
  <c r="T90"/>
  <c r="T88"/>
  <c r="T87"/>
  <c r="T81"/>
  <c r="T72"/>
  <c r="T71"/>
  <c r="T70"/>
  <c r="T69"/>
  <c r="T68"/>
  <c r="T67"/>
  <c r="T66"/>
  <c r="T64"/>
  <c r="T63"/>
  <c r="T58"/>
  <c r="T54"/>
  <c r="T53"/>
  <c r="T51"/>
  <c r="T44"/>
  <c r="T38"/>
  <c r="T32"/>
  <c r="T29"/>
  <c r="T28"/>
  <c r="T27"/>
  <c r="T26"/>
  <c r="T25"/>
  <c r="T19"/>
  <c r="T18"/>
  <c r="T13"/>
  <c r="T10"/>
  <c r="T7"/>
  <c r="T6"/>
  <c r="T4"/>
  <c r="L3" i="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2"/>
  <c r="C64" i="4"/>
  <c r="C63"/>
  <c r="C62"/>
  <c r="C61"/>
  <c r="N138" i="5"/>
  <c r="X13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2"/>
  <c r="X11"/>
  <c r="X10"/>
  <c r="X9"/>
  <c r="X8"/>
  <c r="X7"/>
  <c r="X6"/>
  <c r="X5"/>
  <c r="X4"/>
  <c r="X3"/>
  <c r="S138"/>
  <c r="AT143" l="1"/>
  <c r="AT141"/>
  <c r="AT142"/>
  <c r="AR142"/>
  <c r="AR143"/>
  <c r="AR141"/>
  <c r="X138"/>
  <c r="AZ65"/>
  <c r="AZ89"/>
  <c r="AZ54"/>
  <c r="AZ16"/>
  <c r="AZ55"/>
  <c r="AZ57"/>
  <c r="AZ30"/>
  <c r="T138"/>
  <c r="H139" i="6"/>
  <c r="F139"/>
  <c r="H138"/>
  <c r="F138"/>
  <c r="H137"/>
  <c r="F137"/>
  <c r="H136"/>
  <c r="F136"/>
  <c r="H135"/>
  <c r="F135"/>
  <c r="H134"/>
  <c r="F134"/>
  <c r="H133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H122"/>
  <c r="F122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F109"/>
  <c r="H108"/>
  <c r="F108"/>
  <c r="H107"/>
  <c r="F107"/>
  <c r="H106"/>
  <c r="F106"/>
  <c r="H105"/>
  <c r="F105"/>
  <c r="H104"/>
  <c r="F104"/>
  <c r="H103"/>
  <c r="F103"/>
  <c r="H102"/>
  <c r="F102"/>
  <c r="H101"/>
  <c r="F101"/>
  <c r="H100"/>
  <c r="F100"/>
  <c r="H99"/>
  <c r="F99"/>
  <c r="F98"/>
  <c r="F97"/>
  <c r="H96"/>
  <c r="F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F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AV136" i="5"/>
  <c r="AV135"/>
  <c r="AV134"/>
  <c r="AV133"/>
  <c r="AV132"/>
  <c r="AV131"/>
  <c r="AV130"/>
  <c r="AV129"/>
  <c r="AV128"/>
  <c r="AV127"/>
  <c r="AV126"/>
  <c r="AV125"/>
  <c r="AV124"/>
  <c r="AV123"/>
  <c r="AV122"/>
  <c r="AV121"/>
  <c r="AV120"/>
  <c r="AV119"/>
  <c r="AV118"/>
  <c r="AV117"/>
  <c r="AV116"/>
  <c r="AV115"/>
  <c r="AV114"/>
  <c r="AV113"/>
  <c r="AV112"/>
  <c r="AV111"/>
  <c r="AV110"/>
  <c r="AV109"/>
  <c r="AV108"/>
  <c r="AV107"/>
  <c r="AV106"/>
  <c r="AV105"/>
  <c r="AV104"/>
  <c r="AV103"/>
  <c r="AV102"/>
  <c r="AV101"/>
  <c r="AV100"/>
  <c r="AV99"/>
  <c r="AV98"/>
  <c r="AV97"/>
  <c r="AV96"/>
  <c r="AV95"/>
  <c r="AV94"/>
  <c r="AV93"/>
  <c r="AV92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M25" i="4"/>
  <c r="L25"/>
  <c r="K25"/>
  <c r="H140" i="6" l="1"/>
  <c r="I138" i="5"/>
</calcChain>
</file>

<file path=xl/comments1.xml><?xml version="1.0" encoding="utf-8"?>
<comments xmlns="http://schemas.openxmlformats.org/spreadsheetml/2006/main">
  <authors>
    <author>Bianca Vaz Mondo</author>
  </authors>
  <commentList>
    <comment ref="P54" authorId="0">
      <text>
        <r>
          <rPr>
            <b/>
            <sz val="9"/>
            <color indexed="81"/>
            <rFont val="Segoe UI"/>
            <family val="2"/>
          </rPr>
          <t>Bianca Vaz Mondo:</t>
        </r>
        <r>
          <rPr>
            <sz val="9"/>
            <color indexed="81"/>
            <rFont val="Segoe UI"/>
            <family val="2"/>
          </rPr>
          <t xml:space="preserve">
Licitação em preparação</t>
        </r>
      </text>
    </comment>
    <comment ref="P55" authorId="0">
      <text>
        <r>
          <rPr>
            <b/>
            <sz val="9"/>
            <color indexed="81"/>
            <rFont val="Segoe UI"/>
            <family val="2"/>
          </rPr>
          <t>Bianca Vaz Mondo:</t>
        </r>
        <r>
          <rPr>
            <sz val="9"/>
            <color indexed="81"/>
            <rFont val="Segoe UI"/>
            <family val="2"/>
          </rPr>
          <t xml:space="preserve">
Licitação para conclusão</t>
        </r>
      </text>
    </comment>
  </commentList>
</comments>
</file>

<file path=xl/sharedStrings.xml><?xml version="1.0" encoding="utf-8"?>
<sst xmlns="http://schemas.openxmlformats.org/spreadsheetml/2006/main" count="13373" uniqueCount="1791">
  <si>
    <t>OS - Jun/2017</t>
  </si>
  <si>
    <t>Contrato original</t>
  </si>
  <si>
    <t>Inseridos com base em cópia do contrato ou licitação</t>
  </si>
  <si>
    <t>2º contrato</t>
  </si>
  <si>
    <t>3º contrato</t>
  </si>
  <si>
    <t>Município</t>
  </si>
  <si>
    <t>UF</t>
  </si>
  <si>
    <t>ID obra</t>
  </si>
  <si>
    <t>Nome</t>
  </si>
  <si>
    <t>Local</t>
  </si>
  <si>
    <t>Situação</t>
  </si>
  <si>
    <t>% Executado</t>
  </si>
  <si>
    <t>Data Prevista de Conclusão</t>
  </si>
  <si>
    <t>Situação2</t>
  </si>
  <si>
    <t>% Executado3</t>
  </si>
  <si>
    <t>Data Prevista de Conclusão4</t>
  </si>
  <si>
    <t>Obra não iniciada em Jun/2017</t>
  </si>
  <si>
    <t>Situação8</t>
  </si>
  <si>
    <t>% Executado9</t>
  </si>
  <si>
    <t>Data Prevista de Conclusão10</t>
  </si>
  <si>
    <t>Obra não iniciada em Mar/18</t>
  </si>
  <si>
    <t>Dados da licitação (anotações Bianca)</t>
  </si>
  <si>
    <t>Licitação</t>
  </si>
  <si>
    <t>Contratação</t>
  </si>
  <si>
    <t>Comentários</t>
  </si>
  <si>
    <t>Recurso recebido</t>
  </si>
  <si>
    <t>Termo convênio</t>
  </si>
  <si>
    <t>Ano convênio</t>
  </si>
  <si>
    <t>Ano de início da obra</t>
  </si>
  <si>
    <t>Ano de entrega</t>
  </si>
  <si>
    <t>Empresa contratada</t>
  </si>
  <si>
    <t>Início</t>
  </si>
  <si>
    <t>Término inicial</t>
  </si>
  <si>
    <t>Término final</t>
  </si>
  <si>
    <t>Duração prevista</t>
  </si>
  <si>
    <t>Duração final</t>
  </si>
  <si>
    <t>Valor inicial</t>
  </si>
  <si>
    <t>Valor final</t>
  </si>
  <si>
    <t>Empresa</t>
  </si>
  <si>
    <t>Início13</t>
  </si>
  <si>
    <t>Término inicial14</t>
  </si>
  <si>
    <t>Término final15</t>
  </si>
  <si>
    <t>Duração prevista16</t>
  </si>
  <si>
    <t>Duração final17</t>
  </si>
  <si>
    <t>Valor inicial18</t>
  </si>
  <si>
    <t>Valor final19</t>
  </si>
  <si>
    <t>Empresa20</t>
  </si>
  <si>
    <t>Início21</t>
  </si>
  <si>
    <t>Término inicial22</t>
  </si>
  <si>
    <t>Término final23</t>
  </si>
  <si>
    <t>Duração prevista24</t>
  </si>
  <si>
    <t>Duração final25</t>
  </si>
  <si>
    <t>Valor inicial26</t>
  </si>
  <si>
    <t>Valor final27</t>
  </si>
  <si>
    <t>Araucária</t>
  </si>
  <si>
    <t>PR</t>
  </si>
  <si>
    <t>PAC 2 - CRECHE/PRÉ-ESCOLA 002</t>
  </si>
  <si>
    <t>Fazenda Velha</t>
  </si>
  <si>
    <t>Execução</t>
  </si>
  <si>
    <t>-</t>
  </si>
  <si>
    <t>Sim</t>
  </si>
  <si>
    <t>4093/2013</t>
  </si>
  <si>
    <t>PAC 2 - CRECHE/PRÉ-ESCOLA 001</t>
  </si>
  <si>
    <t>Campina da Barra</t>
  </si>
  <si>
    <t>Não iniciada</t>
  </si>
  <si>
    <t>PAC 2 - CRECHE/PRÉ-ESCOLA 006</t>
  </si>
  <si>
    <t>Capela Velha - Jardim Marcelino</t>
  </si>
  <si>
    <t>Paralisada</t>
  </si>
  <si>
    <t>PAC 2 - CRECHE/PRÉ-ESCOLA 005</t>
  </si>
  <si>
    <t>Capela Velha - Jardim Itaipu</t>
  </si>
  <si>
    <t>4245/2013</t>
  </si>
  <si>
    <t>PAC 2 - CRECHE/PRÉ-ESCOLA 004</t>
  </si>
  <si>
    <t>Porto das Laranjeiras - Moteleski</t>
  </si>
  <si>
    <t>PAC 2 - CRECHE/PRÉ-ESCOLA 003</t>
  </si>
  <si>
    <t>Costeira - Jd. Esperança</t>
  </si>
  <si>
    <t>5768/2013</t>
  </si>
  <si>
    <t>Jd. Dona Rosa</t>
  </si>
  <si>
    <t>Iguaçu</t>
  </si>
  <si>
    <t>Não</t>
  </si>
  <si>
    <t>8979/2014</t>
  </si>
  <si>
    <t>CAPELA VELHA - Araucária - PR</t>
  </si>
  <si>
    <t>Capela Velha</t>
  </si>
  <si>
    <t>Planejamento pelo proponente</t>
  </si>
  <si>
    <t>Aparentemente terreno muito pequeno, foi adquirido um maior. Simec (15.09) indica 1 repasse em 2014, recursos permanecem na conta sem retirada.</t>
  </si>
  <si>
    <t>32348/2014</t>
  </si>
  <si>
    <t>Caçador</t>
  </si>
  <si>
    <t>SC</t>
  </si>
  <si>
    <t>Terreno Alto Bonito</t>
  </si>
  <si>
    <t>Inacabada</t>
  </si>
  <si>
    <t>Concluída</t>
  </si>
  <si>
    <t>274/2011</t>
  </si>
  <si>
    <t>(11069491000143) ATUALBRASIL ASSESSORIA HABITACIONAL LTDA; (03637604000131) ENGEMO CONSTRUCOES LTDA - EPP</t>
  </si>
  <si>
    <t>(03637604000131) ENGEMO CONSTRUCOES LTDA - EPP</t>
  </si>
  <si>
    <t>Terreno Nossa Senhora Salete</t>
  </si>
  <si>
    <t>3091/2012</t>
  </si>
  <si>
    <t>(81601171000178) NL CONSTRUCOES LTDA</t>
  </si>
  <si>
    <t>Terreno Rancho Fundo</t>
  </si>
  <si>
    <t>7029/2013</t>
  </si>
  <si>
    <t>Campo Mourão</t>
  </si>
  <si>
    <t>CMEI Conj. Habit. Moradias Avelino Piacentini</t>
  </si>
  <si>
    <t>6012/2013</t>
  </si>
  <si>
    <t>(04875155000122) CONENG - CONSTRUTORA DE OBRAS LTDA</t>
  </si>
  <si>
    <t>CMEI Jardim Flora</t>
  </si>
  <si>
    <t>(04255148000128) ENGEMAC CONSTRUCOES LTDA</t>
  </si>
  <si>
    <t> 1.806.106,94</t>
  </si>
  <si>
    <t>AVELINO PIACENTINI - Campo Mourão - PR</t>
  </si>
  <si>
    <t>19401/2014</t>
  </si>
  <si>
    <t>(18590718000140) CONSTRUTORA ENGENARQ LTDA - ME</t>
  </si>
  <si>
    <t>Cascavel</t>
  </si>
  <si>
    <t>SEDE ALVORADA - Cascavel - PR</t>
  </si>
  <si>
    <t>17618/2014</t>
  </si>
  <si>
    <t>OSCAR NIEMEYER</t>
  </si>
  <si>
    <t>6846/2013</t>
  </si>
  <si>
    <t>MUNIQUE/TERRA NOVA</t>
  </si>
  <si>
    <t>7388/2013</t>
  </si>
  <si>
    <t>Escola Zumbi dos Palmares - Cascavel - PR</t>
  </si>
  <si>
    <t>TP 352014</t>
  </si>
  <si>
    <t>32380/2014</t>
  </si>
  <si>
    <t>(12066060000196) WZK CONSTRUCOES LTDA - EPP</t>
  </si>
  <si>
    <t>Chapecó</t>
  </si>
  <si>
    <t>CEIM NEW VILLAS</t>
  </si>
  <si>
    <t>Concorrência 1942016</t>
  </si>
  <si>
    <t>7031/2013</t>
  </si>
  <si>
    <t>(01614299000137) L S W SERVICOS LTDA</t>
  </si>
  <si>
    <t>Foz do Iguaçu</t>
  </si>
  <si>
    <t>JARDIM NITEROI/JD. SÃO ROQUE</t>
  </si>
  <si>
    <t>Concorrência 03 2017</t>
  </si>
  <si>
    <t>7594/2013</t>
  </si>
  <si>
    <t>Cidade Nova II / Vila Solidária</t>
  </si>
  <si>
    <t>Eloi Lohmann</t>
  </si>
  <si>
    <t>JARDIM CATARATAS - PAC 2 - CRECHE/PRÉ-ESCOLA 007</t>
  </si>
  <si>
    <t>Campos Do Iguaçu CONJUNTO LIBRA</t>
  </si>
  <si>
    <t>11678/2014</t>
  </si>
  <si>
    <t>JARDIM ALMADA - PAC 2 - CRECHE/PRÉ-ESCOLA 006</t>
  </si>
  <si>
    <t>8980/2014</t>
  </si>
  <si>
    <t>CMEI GLEBA GUARANI</t>
  </si>
  <si>
    <t>JD MONACO - Foz do Iguaçu - PR</t>
  </si>
  <si>
    <t>Em Reformulação</t>
  </si>
  <si>
    <t>Goioerê</t>
  </si>
  <si>
    <t>Unidade Proinfancia Jardim das Américas</t>
  </si>
  <si>
    <t>Concorrência: 04/2016 - Contrato: 161/2016</t>
  </si>
  <si>
    <t>7227/2013</t>
  </si>
  <si>
    <t>Escola Integral Conjunto Águas Claras - Goioerê - PR</t>
  </si>
  <si>
    <t>Concorrência: 02/2015 - Contrato: 135/2015</t>
  </si>
  <si>
    <t>22364/2014</t>
  </si>
  <si>
    <t>Gravataí</t>
  </si>
  <si>
    <t>RS</t>
  </si>
  <si>
    <t>703277 - Esc. Educ. Infantil - Tipo B - Proinfância - Construção - GRAVATAÍ/RS</t>
  </si>
  <si>
    <t>703277/2010</t>
  </si>
  <si>
    <t>EMEI Morada do Vale II</t>
  </si>
  <si>
    <t>Dispensa 34/2017</t>
  </si>
  <si>
    <t>4113/2013</t>
  </si>
  <si>
    <t>MVC COMPONENTES PLASTICOS LTDA</t>
  </si>
  <si>
    <t>(12934896000165) CONT CONSTRUCOES LTDA - EPP</t>
  </si>
  <si>
    <t>EMEI Princesas</t>
  </si>
  <si>
    <t>4114/2013</t>
  </si>
  <si>
    <t>EMEI PORTO SEGURO</t>
  </si>
  <si>
    <t>5569/2013</t>
  </si>
  <si>
    <t>EMEI MORADA DO VALE III</t>
  </si>
  <si>
    <t>EMEI RINCÃO DA MADALENA</t>
  </si>
  <si>
    <t>EMEI IBIZA</t>
  </si>
  <si>
    <t>EMEI PARQUE DOS EUCALIPTOS</t>
  </si>
  <si>
    <t>E.M.E.I. COHAB C - Gravataí - RS</t>
  </si>
  <si>
    <t>Concorrência 152016</t>
  </si>
  <si>
    <t>11311/2014</t>
  </si>
  <si>
    <t>E.M.E.I. RAIO DE SOL</t>
  </si>
  <si>
    <t>Concorrência 062016</t>
  </si>
  <si>
    <t>(11552977000138) MOTA &amp; MORAES LTDA</t>
  </si>
  <si>
    <t>E.M.E.I. PARQUE FLORIDO - Gravataí - RS</t>
  </si>
  <si>
    <t>Obra Cancelada</t>
  </si>
  <si>
    <t>E.M.E.I. BEM ME QUER</t>
  </si>
  <si>
    <t>7737/2013</t>
  </si>
  <si>
    <t>(19769871000100) SECONTER SERVICOS DE CONSTRUCOES E TERRAPLANAGEM LTDA - EPP</t>
  </si>
  <si>
    <t>E.M.E.I. ALTAVILLE - Gravataí - RS</t>
  </si>
  <si>
    <t>E.M.E.I. COSTA DO IPIRANGA</t>
  </si>
  <si>
    <t>9871/2014</t>
  </si>
  <si>
    <t>E.M.E.I. FAVO DE MEL</t>
  </si>
  <si>
    <t>Guarapuava</t>
  </si>
  <si>
    <t>PAC 2 - CRECHE/PRÉ-ESCOLA 009</t>
  </si>
  <si>
    <t>Morro Alto</t>
  </si>
  <si>
    <t>2912/2012</t>
  </si>
  <si>
    <t>(12406332000150) A.L.O.M TOSSIN SERVICOS EIRELI - EPP</t>
  </si>
  <si>
    <t>PAC 2 - CRECHE/PRÉ-ESCOLA 008</t>
  </si>
  <si>
    <t>Residencial 2000</t>
  </si>
  <si>
    <t>Concorrência 0412</t>
  </si>
  <si>
    <t>(07475058000130) M.I. CONSTRUTORA DE OBRAS LTDA</t>
  </si>
  <si>
    <t>Creche Vila Colibri</t>
  </si>
  <si>
    <t>Alto Cascavel</t>
  </si>
  <si>
    <t>Concorrência 102016</t>
  </si>
  <si>
    <t>6788/2013</t>
  </si>
  <si>
    <t>(23878066000184) TORRES NOVAS CONSTRUTORA EIRELI - EPP</t>
  </si>
  <si>
    <t>Imbituba</t>
  </si>
  <si>
    <t>3099/2012</t>
  </si>
  <si>
    <t>CENTRO DE EDUCAÇÃO INFANTIL DO BAIRRO CAMPESTRE</t>
  </si>
  <si>
    <t>7392/2013</t>
  </si>
  <si>
    <t>Lajeado</t>
  </si>
  <si>
    <t>EMEI Conventos</t>
  </si>
  <si>
    <t>Concorrência nº 11-03/2015</t>
  </si>
  <si>
    <t>5141/2013</t>
  </si>
  <si>
    <t>EMEI BOM PASTOR - Lajeado - RS</t>
  </si>
  <si>
    <t>32737/2014</t>
  </si>
  <si>
    <t>Limeira</t>
  </si>
  <si>
    <t>SP</t>
  </si>
  <si>
    <t>4078/2013</t>
  </si>
  <si>
    <t>Cancelada</t>
  </si>
  <si>
    <t>Creche Res. Alto dos Laranjais - Limeira - SP</t>
  </si>
  <si>
    <t>10037/2014</t>
  </si>
  <si>
    <t>Palhoça</t>
  </si>
  <si>
    <t>700068/11 - Escola de Educação Infantil - Palhoça/SC</t>
  </si>
  <si>
    <t>TP 1462012</t>
  </si>
  <si>
    <t>700068/2011</t>
  </si>
  <si>
    <t>(09007458000147) WA COMERCIO DE MATERIAIS DE CONSTRUCAO LTDA ME</t>
  </si>
  <si>
    <t>Creche Jardim Coqueiros</t>
  </si>
  <si>
    <t>Concorrência 1502013</t>
  </si>
  <si>
    <t>3101/2012</t>
  </si>
  <si>
    <t>(14249022000102) VINICIUS GOEDERT - ME</t>
  </si>
  <si>
    <t>Creche Alaor Silveira</t>
  </si>
  <si>
    <t>Creche Loteamento Mirian II</t>
  </si>
  <si>
    <t>Creche Caminho Novo</t>
  </si>
  <si>
    <t>Área Institucional Loteamento Igaraty - Palhoça - SC</t>
  </si>
  <si>
    <t>7422/2013</t>
  </si>
  <si>
    <t>Paranaguá</t>
  </si>
  <si>
    <t>JARDIM IGUAÇU</t>
  </si>
  <si>
    <t>CP 03/2012, CP 04/2015, Disp 11/2017</t>
  </si>
  <si>
    <t>224/2011</t>
  </si>
  <si>
    <t>(03711190000143) COELHO &amp; RIBEIRO CONSTRUCOES ELETRICAS E CIVIS LTDA EPP</t>
  </si>
  <si>
    <t>Luiz Henrique da Silva Chaves Eireli - ME</t>
  </si>
  <si>
    <t>LOCALIDADE CAIC</t>
  </si>
  <si>
    <t>Informação fornecida pela prefeitura em nov/2017, terreno indicado e aguardando aprovação do FNDE.</t>
  </si>
  <si>
    <t>10849/2014</t>
  </si>
  <si>
    <t>Labra</t>
  </si>
  <si>
    <t>Informação fornecida pela prefeitura em out/2017, aguardando liberação do terreno.</t>
  </si>
  <si>
    <t>Jardim Esperança</t>
  </si>
  <si>
    <t>Alexandra</t>
  </si>
  <si>
    <t>Porto dos Padres</t>
  </si>
  <si>
    <t>DIVINÉIA - Paranaguá - PR</t>
  </si>
  <si>
    <t>7002/2013</t>
  </si>
  <si>
    <t>Beira Rio</t>
  </si>
  <si>
    <t>10643/2014</t>
  </si>
  <si>
    <t>Centro Histórico</t>
  </si>
  <si>
    <t>Pelotas</t>
  </si>
  <si>
    <t>EMEI SANGA FUNDA</t>
  </si>
  <si>
    <t>4136/2013</t>
  </si>
  <si>
    <t>(16951247000123) GR INDUSTRIA E COMERCIO LTDA - ME</t>
  </si>
  <si>
    <t>LOTEAMENTO EUCALIPTO</t>
  </si>
  <si>
    <t>EMEI MONTE BONITO</t>
  </si>
  <si>
    <t>EMEI SÍTIO FLORESTA</t>
  </si>
  <si>
    <t>LOTEAMENTO DUNAS</t>
  </si>
  <si>
    <t>EMEI Z3</t>
  </si>
  <si>
    <t>VILA PRINCESA</t>
  </si>
  <si>
    <t>EMEI Getulio Vargas</t>
  </si>
  <si>
    <t>4137/2013</t>
  </si>
  <si>
    <t>EMEI Governaço</t>
  </si>
  <si>
    <t>EMEI Navegantes</t>
  </si>
  <si>
    <t>EMEI Farroupilha</t>
  </si>
  <si>
    <t>EMEI Loteamento Eldorado</t>
  </si>
  <si>
    <t>Vasco Pires - Pelotas - RS</t>
  </si>
  <si>
    <t>11734/2014</t>
  </si>
  <si>
    <t>Laranjal - Pelotas - RS</t>
  </si>
  <si>
    <t>Ponta Grossa</t>
  </si>
  <si>
    <t>700195/11 - EE Infantil - Vila Romana - Ponta Grrossa/PR</t>
  </si>
  <si>
    <t>700195/2011</t>
  </si>
  <si>
    <t>700195/11 - EE Infantil - Vila Cristina - Ponta Grrossa/PR</t>
  </si>
  <si>
    <t>700195/11 - EE Infantil - 31 de Março - Ponta Grrossa/PR</t>
  </si>
  <si>
    <t>CMEI DO JARDIM PANAMÁ</t>
  </si>
  <si>
    <t>11177/2014</t>
  </si>
  <si>
    <t>CMEI DA VILA CRISTINA</t>
  </si>
  <si>
    <t>CMEI DO PARQUE TAROBA</t>
  </si>
  <si>
    <t>PAC 2 - CRECHE/PRÉ-ESCOLA MCMV 001</t>
  </si>
  <si>
    <t>11178/2014</t>
  </si>
  <si>
    <t>CMEI JARDIM DOS MANACÁS</t>
  </si>
  <si>
    <t>CMEI VILA ELISEU CAMPOS MELLO</t>
  </si>
  <si>
    <t>Santa Maria</t>
  </si>
  <si>
    <t>657111 - Esc. Educ. Infantil - Tipo B - SANTA MARIA/RS</t>
  </si>
  <si>
    <t>657111/2009</t>
  </si>
  <si>
    <t>704173 - Esc. Educ. Infantil - Tipo C - Proinfância - Construção - SANTA MARIA/RS</t>
  </si>
  <si>
    <t>704173/2010</t>
  </si>
  <si>
    <t>Estação dos Ventos</t>
  </si>
  <si>
    <t>Reformulação para metodologia convencional.</t>
  </si>
  <si>
    <t>4216/2013</t>
  </si>
  <si>
    <t>Vila São João Batista</t>
  </si>
  <si>
    <t>Diácono Luiz Pozzobom</t>
  </si>
  <si>
    <t>4215/2013</t>
  </si>
  <si>
    <t>Vila Jardim</t>
  </si>
  <si>
    <t>11203/2014</t>
  </si>
  <si>
    <t>Residencial Lopes</t>
  </si>
  <si>
    <t>PAC_ DOM LUIZ VICTOR SARTORI</t>
  </si>
  <si>
    <t>PAC 2 - CRECHE Municipal Bairro Nossa Senhora da Medianeira</t>
  </si>
  <si>
    <t>PAC 2 - CRECHE SANTA MARTA</t>
  </si>
  <si>
    <t>PAC 2 - CRECHE/PRÉ-ESCOLA 002 LOTEAMENTO MONTE BELO-CAMOBI</t>
  </si>
  <si>
    <t>Construção</t>
  </si>
  <si>
    <t>9479/2014</t>
  </si>
  <si>
    <t>São Francisco do Sul</t>
  </si>
  <si>
    <t>CEI Majorca</t>
  </si>
  <si>
    <t>4132/2013</t>
  </si>
  <si>
    <t>Iperoba - São Francisco do Sul - SC</t>
  </si>
  <si>
    <t>32374/2014</t>
  </si>
  <si>
    <t>São José dos Campos</t>
  </si>
  <si>
    <t>3126/2012</t>
  </si>
  <si>
    <t>7754/2013</t>
  </si>
  <si>
    <t>PAC 2 - CRECHE/PRÉ-ESCOLA 003 TIPO I</t>
  </si>
  <si>
    <t>Taubaté</t>
  </si>
  <si>
    <t>Creche Municipal JARDIM OÁSIS - Taubaté - SP</t>
  </si>
  <si>
    <t>6183/2013</t>
  </si>
  <si>
    <t>Creche Municipal HÍPICA PINHEIRO</t>
  </si>
  <si>
    <t>7105/2013</t>
  </si>
  <si>
    <t>Creche Municipal PORTAL DA MANTIQUEIRA</t>
  </si>
  <si>
    <t>7018/2013</t>
  </si>
  <si>
    <t>Creche Municipal FAZENDINHA</t>
  </si>
  <si>
    <t>Uberlândia</t>
  </si>
  <si>
    <t>MG</t>
  </si>
  <si>
    <t>700302 - EE Infantil - Canaã II - Uberlândia/MG</t>
  </si>
  <si>
    <t>700302/2008</t>
  </si>
  <si>
    <t>710390 - E Educ Infantil C- Jd. Palmeiras II - Uberlândia/MG</t>
  </si>
  <si>
    <t>710390/2008</t>
  </si>
  <si>
    <t>710390 - E Educ Infantil Tipo C - Jd. Europa- Uberlândia/MG</t>
  </si>
  <si>
    <t>710390 - E Educ Infantil Tipo B - Mansour - Uberlândia/MG</t>
  </si>
  <si>
    <t>710390 - E Educ Infantil B - Jardim Botânico - Uberlândia/MG</t>
  </si>
  <si>
    <t>710390 - E Educ Infantil Tipo C - Pacaembu - Uberlândia/MG</t>
  </si>
  <si>
    <t>710390 - E Educ Infantil C - Jd. Sucupira - Uberlândia/MG</t>
  </si>
  <si>
    <t>710390 - E Educ Infantil Tipo B - Planalto - Uberlândia/MG</t>
  </si>
  <si>
    <t>710390 - E Educ Infantil Tipo C - Morumbi - Uberlândia/MG</t>
  </si>
  <si>
    <t>5070/2013</t>
  </si>
  <si>
    <t>PAC 2 - CRECHE/PRÉ-ESCOLA MCMV 006</t>
  </si>
  <si>
    <t>5753/2013</t>
  </si>
  <si>
    <t>PAC 2 - CRECHE/PRÉ-ESCOLA MCMV 005</t>
  </si>
  <si>
    <t>PAC 2 - CRECHE/PRÉ-ESCOLA MCMV 004</t>
  </si>
  <si>
    <t>PAC 2 - CRECHE/PRÉ-ESCOLA MCMV 003</t>
  </si>
  <si>
    <t>PAC 2 - CRECHE/PRÉ-ESCOLA MCMV 002</t>
  </si>
  <si>
    <t>EMENDA PARLAMENTAR 27680005</t>
  </si>
  <si>
    <t>Auxiliadora</t>
  </si>
  <si>
    <t>2013</t>
  </si>
  <si>
    <t>2014</t>
  </si>
  <si>
    <t>2011</t>
  </si>
  <si>
    <t>2012</t>
  </si>
  <si>
    <t>2010</t>
  </si>
  <si>
    <t>Gesamtergebnis</t>
  </si>
  <si>
    <t>Municipality</t>
  </si>
  <si>
    <t>State</t>
  </si>
  <si>
    <t>In construction</t>
  </si>
  <si>
    <t>Planning stage</t>
  </si>
  <si>
    <t>Abandoned</t>
  </si>
  <si>
    <t>Total</t>
  </si>
  <si>
    <t>Baseline from the Federal Government database (SIMEC) - May 2017</t>
  </si>
  <si>
    <t>Updated baseline from data collected by the local partners - June 2017</t>
  </si>
  <si>
    <t>Completed</t>
  </si>
  <si>
    <t>Missing</t>
  </si>
  <si>
    <t>OT</t>
  </si>
  <si>
    <t>Data de referência</t>
  </si>
  <si>
    <t>Tá de Pé</t>
  </si>
  <si>
    <t>ID</t>
  </si>
  <si>
    <t>Atrasada</t>
  </si>
  <si>
    <t>Levant OS - Jun/17</t>
  </si>
  <si>
    <t>Divergência</t>
  </si>
  <si>
    <t>CEP</t>
  </si>
  <si>
    <t>Logradouro</t>
  </si>
  <si>
    <t>Bairro</t>
  </si>
  <si>
    <t>Termo/Convênio</t>
  </si>
  <si>
    <t>Fim da Vigência Termo/Convênio</t>
  </si>
  <si>
    <t>Situação do Termo/Convênio</t>
  </si>
  <si>
    <t>Percentual de Execução</t>
  </si>
  <si>
    <t>Data Prevista de Conclusão da Obra</t>
  </si>
  <si>
    <t>Tipo de ensino / Modalidade</t>
  </si>
  <si>
    <t>Tipo do Projeto</t>
  </si>
  <si>
    <t>Tipo da Obra</t>
  </si>
  <si>
    <t>Classificação da Obra</t>
  </si>
  <si>
    <t>Valor Pactuado pelo FNDE</t>
  </si>
  <si>
    <t>Rede de Ensino Público</t>
  </si>
  <si>
    <t>CNPJ</t>
  </si>
  <si>
    <t>Inscrição Estadual</t>
  </si>
  <si>
    <t>Nome da Entidade</t>
  </si>
  <si>
    <t>Razão Social</t>
  </si>
  <si>
    <t>Email</t>
  </si>
  <si>
    <t>Sigla</t>
  </si>
  <si>
    <t>Telefone Comercial</t>
  </si>
  <si>
    <t>Fax</t>
  </si>
  <si>
    <t>CEP Entidade</t>
  </si>
  <si>
    <t>Logradouro Entidade</t>
  </si>
  <si>
    <t>Complemento Entidade</t>
  </si>
  <si>
    <t>Número Entidade</t>
  </si>
  <si>
    <t>Bairro Entidade</t>
  </si>
  <si>
    <t>UF Entidade</t>
  </si>
  <si>
    <t>Munícipio Entidade</t>
  </si>
  <si>
    <t>Modalidade de Licitação</t>
  </si>
  <si>
    <t>Número da Licitação</t>
  </si>
  <si>
    <t>Homologação da Licitação</t>
  </si>
  <si>
    <t>Empresa Contratada</t>
  </si>
  <si>
    <t>Data de Assinatura do Contrato</t>
  </si>
  <si>
    <t>Prazo de Vigência</t>
  </si>
  <si>
    <t>Data de Término do Contrato</t>
  </si>
  <si>
    <t>Valor do Contrato</t>
  </si>
  <si>
    <t>Valor Pactuado com o FNDE</t>
  </si>
  <si>
    <t>Data da Última Vistoria do Estado ou Município</t>
  </si>
  <si>
    <t>Situação da Vistoria</t>
  </si>
  <si>
    <t>OBS</t>
  </si>
  <si>
    <t>Total Pago</t>
  </si>
  <si>
    <t>Percentual Pago</t>
  </si>
  <si>
    <t>Banco</t>
  </si>
  <si>
    <t>Agência</t>
  </si>
  <si>
    <t>Conta</t>
  </si>
  <si>
    <t>Data</t>
  </si>
  <si>
    <t>Saldo da Conta</t>
  </si>
  <si>
    <t>Saldo Fundos</t>
  </si>
  <si>
    <t>Saldo da Poupança</t>
  </si>
  <si>
    <t>Saldo CDB</t>
  </si>
  <si>
    <t>Saldo TOTAL</t>
  </si>
  <si>
    <t>Rua Zulmira dos Santos Galize</t>
  </si>
  <si>
    <t>6/30/2017</t>
  </si>
  <si>
    <t>Vigente</t>
  </si>
  <si>
    <t>Educação Básica</t>
  </si>
  <si>
    <t>Projeto 2 Convencional</t>
  </si>
  <si>
    <t>Urbana</t>
  </si>
  <si>
    <t>Municipal</t>
  </si>
  <si>
    <t>ISENTO</t>
  </si>
  <si>
    <t>PREFEITURA DO MUNICIPIO DE ARAUCARIA</t>
  </si>
  <si>
    <t>PREFEITURA DO MUNICÍPIO DE ARAUCÁRIA</t>
  </si>
  <si>
    <t>prefeito@araucaria.pr.gov.br</t>
  </si>
  <si>
    <t>PMA/PR</t>
  </si>
  <si>
    <t>(41) 3614-1400 Ramal:</t>
  </si>
  <si>
    <t>(41) 3614-1617 Ramal:</t>
  </si>
  <si>
    <t>RUA PEDRO DRUSZCZ</t>
  </si>
  <si>
    <t>CENTRO</t>
  </si>
  <si>
    <t>2017-03-13 10:22:16.510666</t>
  </si>
  <si>
    <t>Rua Jardineira</t>
  </si>
  <si>
    <t>Projeto 1 Convencional</t>
  </si>
  <si>
    <t>4/15/14 0:00</t>
  </si>
  <si>
    <t>Rua Maria Rosa Cornelsen Hasselmann</t>
  </si>
  <si>
    <t>Concorrência</t>
  </si>
  <si>
    <t>10/16/15 0:00</t>
  </si>
  <si>
    <t>Paralisado</t>
  </si>
  <si>
    <t>Contrato Rescindido</t>
  </si>
  <si>
    <t>Rua Pinus Elliotti, 420</t>
  </si>
  <si>
    <t>6/25/14 0:00</t>
  </si>
  <si>
    <t>Rua Félix Klechovicz</t>
  </si>
  <si>
    <t>Porto das Laranjeiras</t>
  </si>
  <si>
    <t>Rua Carlos Vicente Zapxon</t>
  </si>
  <si>
    <t>Costeira</t>
  </si>
  <si>
    <t>7/15/2017</t>
  </si>
  <si>
    <t>Rua Judith Brunato Cantador</t>
  </si>
  <si>
    <t>2/26/2018</t>
  </si>
  <si>
    <t>6/30/16 23:59</t>
  </si>
  <si>
    <t>Rua Sônia Bodziak</t>
  </si>
  <si>
    <t>7/31/2017</t>
  </si>
  <si>
    <t>Espaço Educativo - 12 Salas</t>
  </si>
  <si>
    <t>Alto Bonito</t>
  </si>
  <si>
    <t>7/27/2016</t>
  </si>
  <si>
    <t>Vencido</t>
  </si>
  <si>
    <t>Escola de Educação Infantil Tipo B</t>
  </si>
  <si>
    <t>PREF MUN DE CACADOR</t>
  </si>
  <si>
    <t>PREFEITURA MUNICIPAL DE CACADOR</t>
  </si>
  <si>
    <t>PREFEITO@CACADOR.SC.GOV.BR</t>
  </si>
  <si>
    <t>PMC</t>
  </si>
  <si>
    <t>(49) 3666-2400 Ramal: 2414</t>
  </si>
  <si>
    <t>(49) 3666-2400 Ramal:</t>
  </si>
  <si>
    <t>AVENIDA SANTA CATARINA</t>
  </si>
  <si>
    <t>7/23/15 0:00</t>
  </si>
  <si>
    <t>6/24/16 0:00</t>
  </si>
  <si>
    <t>Em Execução</t>
  </si>
  <si>
    <t>000035967X</t>
  </si>
  <si>
    <t>Nossa Senhora Salete</t>
  </si>
  <si>
    <t>4/18/2018</t>
  </si>
  <si>
    <t>10/30/12 0:00</t>
  </si>
  <si>
    <t>9/29/16 0:00</t>
  </si>
  <si>
    <t>Rancho Fundo</t>
  </si>
  <si>
    <t>4/30/2018</t>
  </si>
  <si>
    <t>Rua Valdumiro Ferrari</t>
  </si>
  <si>
    <t>Moradias Avelino Piacentini</t>
  </si>
  <si>
    <t>PREF MUN DE CAMPO MOURAO</t>
  </si>
  <si>
    <t>CAMPO MOURAO PREFEITURA</t>
  </si>
  <si>
    <t>prefeitura@campomourao.pr.gov.br</t>
  </si>
  <si>
    <t>PMCM</t>
  </si>
  <si>
    <t>(44) 35181144 Ramal: _</t>
  </si>
  <si>
    <t>(44) 35231104 Ramal: _</t>
  </si>
  <si>
    <t>RUA BRASIL</t>
  </si>
  <si>
    <t>TERREO</t>
  </si>
  <si>
    <t>5/13/16 0:00</t>
  </si>
  <si>
    <t>Rua Carlos Hakner</t>
  </si>
  <si>
    <t>Jardim Flora</t>
  </si>
  <si>
    <t>8/18/16 0:00</t>
  </si>
  <si>
    <t>6/30/14 0:00</t>
  </si>
  <si>
    <t>Rua das Flores</t>
  </si>
  <si>
    <t>Avelino Piacentini</t>
  </si>
  <si>
    <t>6/30/2018</t>
  </si>
  <si>
    <t>Espaço Educativo - 06 Salas</t>
  </si>
  <si>
    <t>RUA MARIA MADALENA HOFF</t>
  </si>
  <si>
    <t>SEDE ALVORADA</t>
  </si>
  <si>
    <t>6/28/2017</t>
  </si>
  <si>
    <t>PREF MUN DE CASCAVEL</t>
  </si>
  <si>
    <t>MUNICIPIO DE CASCAVEL</t>
  </si>
  <si>
    <t>sandram@cascavel.pr.gov.br</t>
  </si>
  <si>
    <t>(45) 4001-2804 Ramal:</t>
  </si>
  <si>
    <t>(45) 4001-2802 Ramal:</t>
  </si>
  <si>
    <t>Prefeitura Municipal de Cascavel Rua Paraná, 5000</t>
  </si>
  <si>
    <t>Coqueiral</t>
  </si>
  <si>
    <t>Tomada de Preço</t>
  </si>
  <si>
    <t>(04516630000174) CERON &amp; VASCONCELOS LTDA</t>
  </si>
  <si>
    <t>1/15/15 0:00</t>
  </si>
  <si>
    <t>12/31/16 0:00</t>
  </si>
  <si>
    <t>Rua Francisco Guaraná de Menezes</t>
  </si>
  <si>
    <t>14 de Novembro</t>
  </si>
  <si>
    <t>11/14/2017</t>
  </si>
  <si>
    <t>Rua Munique</t>
  </si>
  <si>
    <t>Cascavel Velho</t>
  </si>
  <si>
    <t>12/16/2017</t>
  </si>
  <si>
    <t>Complexo Cajati, BR 277, Km 572</t>
  </si>
  <si>
    <t>Distrito de São João</t>
  </si>
  <si>
    <t>Rural</t>
  </si>
  <si>
    <t>12/15/14 0:00</t>
  </si>
  <si>
    <t>12/16/14 0:00</t>
  </si>
  <si>
    <t>6/18/17 0:00</t>
  </si>
  <si>
    <t>4/20/17 0:00</t>
  </si>
  <si>
    <t>Rua Patrick Groth</t>
  </si>
  <si>
    <t>Efapi</t>
  </si>
  <si>
    <t>PREF MUN DE CHAPECO</t>
  </si>
  <si>
    <t>CHAPECO PREFEITURA</t>
  </si>
  <si>
    <t>segov@chapeco.sc.gov.br</t>
  </si>
  <si>
    <t>(49) 3321-8400 Ramal: 8436</t>
  </si>
  <si>
    <t>(49) 33218441 Ramal:</t>
  </si>
  <si>
    <t>AVENIDA GETÚLIO VARGAS</t>
  </si>
  <si>
    <t>S</t>
  </si>
  <si>
    <t>Rua Caratinga x Rua Jacomo Savaris</t>
  </si>
  <si>
    <t>Jardim Residencial São Roque</t>
  </si>
  <si>
    <t>isenta</t>
  </si>
  <si>
    <t>PREF MUN DE FOZ DO IGUACU</t>
  </si>
  <si>
    <t>FOZ DO IGUACU PREFEITURA</t>
  </si>
  <si>
    <t>projetosespeciais@pmfi.pr.gov.br</t>
  </si>
  <si>
    <t>PMFI</t>
  </si>
  <si>
    <t>(45) 2105-1447 Ramal:</t>
  </si>
  <si>
    <t>(45) 2105-1372 Ramal:</t>
  </si>
  <si>
    <t>PRACA GETULIO VARGAS, 280</t>
  </si>
  <si>
    <t>000080505X</t>
  </si>
  <si>
    <t>Rua Maria Fritze Guder X Rua Etelvina Bordinhão dos Santos X Rua Major Agostinho José Rodrigues</t>
  </si>
  <si>
    <t>Cidade Nova</t>
  </si>
  <si>
    <t>Rua José Silvério de Oliveira</t>
  </si>
  <si>
    <t>Conjunto Habitacional Fernanda</t>
  </si>
  <si>
    <t>Rua Salto Belgrado</t>
  </si>
  <si>
    <t>Loteamento Comercial e Residencial Cataratas</t>
  </si>
  <si>
    <t>Rua Capivari</t>
  </si>
  <si>
    <t>Conjunto Libra</t>
  </si>
  <si>
    <t>Avenida Andradina</t>
  </si>
  <si>
    <t>Jardim Lancaster II</t>
  </si>
  <si>
    <t>3/24/2018</t>
  </si>
  <si>
    <t>Rua Angatuba</t>
  </si>
  <si>
    <t>GLEBA GUARANI</t>
  </si>
  <si>
    <t>Rua Macieira</t>
  </si>
  <si>
    <t>Jardim Mônaco</t>
  </si>
  <si>
    <t>MI - Escola de Educação Infantil Tipo B</t>
  </si>
  <si>
    <t>Rua Projetada B</t>
  </si>
  <si>
    <t>Jardim das Américas III</t>
  </si>
  <si>
    <t>10/15/2017</t>
  </si>
  <si>
    <t>PREF MUN DE GOIOERE</t>
  </si>
  <si>
    <t>GOIOERE PREFEITURA MUNICIPAL</t>
  </si>
  <si>
    <t>prefeitopedrocoelho@gmail.com</t>
  </si>
  <si>
    <t>PMG</t>
  </si>
  <si>
    <t>(44) 3521-8900 Ramal:</t>
  </si>
  <si>
    <t>AV AMAZONAS</t>
  </si>
  <si>
    <t>JARDIM LINDOIA</t>
  </si>
  <si>
    <t>10/21/16 0:00</t>
  </si>
  <si>
    <t>(13557544000109) S.V. VENDRAMIN &amp; CIA LTDA - ME</t>
  </si>
  <si>
    <t>10/24/16 0:00</t>
  </si>
  <si>
    <t>10/24/17 0:00</t>
  </si>
  <si>
    <t>Águas Claras</t>
  </si>
  <si>
    <t>3/20/2018</t>
  </si>
  <si>
    <t>11/18/15 0:00</t>
  </si>
  <si>
    <t>(04379027000198) TALLENTO CONSTRUTORA DE OBRAS LTDA</t>
  </si>
  <si>
    <t>11/19/15 0:00</t>
  </si>
  <si>
    <t>6/20/17 0:00</t>
  </si>
  <si>
    <t>PREF MUN DE GRAVATAI</t>
  </si>
  <si>
    <t>PREFEITURA MUNICIPAL DE GRAVATAI</t>
  </si>
  <si>
    <t>gp@gravatai.rs.gov.br</t>
  </si>
  <si>
    <t>(51) 3600-7007 Ramal:</t>
  </si>
  <si>
    <t>(51) 3600-7001 Ramal:</t>
  </si>
  <si>
    <t>Av. José Loureiro da Silva</t>
  </si>
  <si>
    <t>Centro</t>
  </si>
  <si>
    <t>Rua Ernesto Alves</t>
  </si>
  <si>
    <t>Morada do Vale II</t>
  </si>
  <si>
    <t>10/26/2017</t>
  </si>
  <si>
    <t>9/19/13 0:00</t>
  </si>
  <si>
    <t>3/31/16 0:00</t>
  </si>
  <si>
    <t>2/13/17 0:00</t>
  </si>
  <si>
    <t>Descumprimento de Contrato</t>
  </si>
  <si>
    <t>Avenida B esquina com a Rua 02</t>
  </si>
  <si>
    <t>Caveira</t>
  </si>
  <si>
    <t>MI - Escola de Educação Infantil Tipo C</t>
  </si>
  <si>
    <t>4/17/17 0:00</t>
  </si>
  <si>
    <t>RUA 3 (Rua Curumim) ESQ. RUA 6</t>
  </si>
  <si>
    <t>LOTEAMENTO RESIDENCIAL PORTO SEGURO</t>
  </si>
  <si>
    <t>2/25/2018</t>
  </si>
  <si>
    <t>RUA 5 (Rua Aliança)</t>
  </si>
  <si>
    <t>LOTEAMENTO MORADA DO VALE III</t>
  </si>
  <si>
    <t>TRAVESSA DA AMIZADE, Esquina Rua NICOLAU CHAVES</t>
  </si>
  <si>
    <t>Loteamento Auxiliadora</t>
  </si>
  <si>
    <t>Rua FILIPINAS, Esquina Rua NORA NEI</t>
  </si>
  <si>
    <t>Garibaldino</t>
  </si>
  <si>
    <t>RUA IGREJINHA, Esquina AV Estrela</t>
  </si>
  <si>
    <t>Parque Ipiranga</t>
  </si>
  <si>
    <t>Rua Rui Tedesco</t>
  </si>
  <si>
    <t>COHAB C</t>
  </si>
  <si>
    <t>2/16/2018</t>
  </si>
  <si>
    <t>7/14/14 0:00</t>
  </si>
  <si>
    <t>Rua Angélica Apollo</t>
  </si>
  <si>
    <t>São Vicente</t>
  </si>
  <si>
    <t>5/16/16 0:00</t>
  </si>
  <si>
    <t>3/16/17 0:00</t>
  </si>
  <si>
    <t>Rua Guarulhos</t>
  </si>
  <si>
    <t>Parque Florido</t>
  </si>
  <si>
    <t>Rua José Henrique Barbosa dos Santos</t>
  </si>
  <si>
    <t>Jardim Guaianuba</t>
  </si>
  <si>
    <t>10/13/16 0:00</t>
  </si>
  <si>
    <t>10/17/16 0:00</t>
  </si>
  <si>
    <t>10/26/17 0:00</t>
  </si>
  <si>
    <t>4/27/17 0:00</t>
  </si>
  <si>
    <t>Rua Maria Cunha Bueno</t>
  </si>
  <si>
    <t>Sítio Gaúcho</t>
  </si>
  <si>
    <t>Estrada Leonel Cabeleira Bitello</t>
  </si>
  <si>
    <t>Costa do Ipiranga</t>
  </si>
  <si>
    <t>Ouro Preto</t>
  </si>
  <si>
    <t>Natal</t>
  </si>
  <si>
    <t>8/20/2017</t>
  </si>
  <si>
    <t>PREF MUN DE GUARAPUAVA</t>
  </si>
  <si>
    <t>GUARAPUAVA PREFEITURA MUNICIPAL</t>
  </si>
  <si>
    <t>educacao@guarapuava.pr.gov.br</t>
  </si>
  <si>
    <t>(42) 36213056 Ramal: _</t>
  </si>
  <si>
    <t>(42) 3621-3103 Ramal: _</t>
  </si>
  <si>
    <t>RUA BRIGADEIRO ROCHA</t>
  </si>
  <si>
    <t>3/31/17 0:00</t>
  </si>
  <si>
    <t>3/15/17 0:00</t>
  </si>
  <si>
    <t>Rua dos Policiais</t>
  </si>
  <si>
    <t>Imóvel Morro Alto</t>
  </si>
  <si>
    <t>8/28/12 0:00</t>
  </si>
  <si>
    <t>12/23/16 0:00</t>
  </si>
  <si>
    <t>Avenida Miguel Couto</t>
  </si>
  <si>
    <t>1/26/16 0:00</t>
  </si>
  <si>
    <t>RUA CÉLITO CORREA</t>
  </si>
  <si>
    <t>10/31/2017</t>
  </si>
  <si>
    <t>PREF MUN DE IMBITUBA</t>
  </si>
  <si>
    <t>IMBITUBA PREFEITURA</t>
  </si>
  <si>
    <t>prefeito@imbituba.sc.gov.br</t>
  </si>
  <si>
    <t>PMI</t>
  </si>
  <si>
    <t>(48) 3355-8133 Ramal:</t>
  </si>
  <si>
    <t>(48) 33558100 Ramal:</t>
  </si>
  <si>
    <t>RUA: ERNANI COTRIN</t>
  </si>
  <si>
    <t>2/26/13 0:00</t>
  </si>
  <si>
    <t>(01375841000146) CONSTRUTORA FORMIGONI LTDA</t>
  </si>
  <si>
    <t>11/30/17 0:00</t>
  </si>
  <si>
    <t>3/24/17 0:00</t>
  </si>
  <si>
    <t>RUA MANOEL JOÃO MACHADO</t>
  </si>
  <si>
    <t>CAMPESTRE</t>
  </si>
  <si>
    <t>2/17/2018</t>
  </si>
  <si>
    <t>Rua Benno Schmitt</t>
  </si>
  <si>
    <t>Conventos</t>
  </si>
  <si>
    <t>PREF MUN DE LAJEADO</t>
  </si>
  <si>
    <t>MUNICIPIO DE LAJEADO</t>
  </si>
  <si>
    <t>gabinete@lajeado.rs.gov.br</t>
  </si>
  <si>
    <t>PML</t>
  </si>
  <si>
    <t>(51) 3982-1021 Ramal:</t>
  </si>
  <si>
    <t>(51) 3982-1022 Ramal:</t>
  </si>
  <si>
    <t>RUA JULIO MAY</t>
  </si>
  <si>
    <t>Rua Eugênia Mello de Oliveira Kirchheim</t>
  </si>
  <si>
    <t>BOM PASTOR</t>
  </si>
  <si>
    <t>Rua Treze A</t>
  </si>
  <si>
    <t>Geada</t>
  </si>
  <si>
    <t>PREF MUN DE LIMEIRA</t>
  </si>
  <si>
    <t>PREFEITURA MUNICIPAL DE LIMEIRA</t>
  </si>
  <si>
    <t>prefeito@limeira.sp.gov.br</t>
  </si>
  <si>
    <t>(19) 34049669 Ramal:</t>
  </si>
  <si>
    <t>(19) 34513668 Ramal:</t>
  </si>
  <si>
    <t>Rua Prefeito Doutor Alberto Ferreira</t>
  </si>
  <si>
    <t>000068631X</t>
  </si>
  <si>
    <t>Avenida Dr João de Oliveira Silveira</t>
  </si>
  <si>
    <t>Jardim Residencial Village</t>
  </si>
  <si>
    <t>(77578623000170) CASAALTA CONSTRUCOES LTDA</t>
  </si>
  <si>
    <t>1/24/17 0:00</t>
  </si>
  <si>
    <t>Anna Vaz Loureiro/Senhora</t>
  </si>
  <si>
    <t>Jd.Residencial Roseira</t>
  </si>
  <si>
    <t>Rua José Moura Torres</t>
  </si>
  <si>
    <t>Parque Residencial Belinha Ometto Abílio Pedro</t>
  </si>
  <si>
    <t>Rua João Baptista Francisco</t>
  </si>
  <si>
    <t>Jardim Residencial e Comercial Alto dos Laranjais</t>
  </si>
  <si>
    <t>Rua VT-20.</t>
  </si>
  <si>
    <t>Escola de Educação Infantil Tipo C</t>
  </si>
  <si>
    <t>PREF MUN DE PALHOCA</t>
  </si>
  <si>
    <t>PALHOCA PREFEITURA</t>
  </si>
  <si>
    <t>rodnei66@hotmail.com</t>
  </si>
  <si>
    <t>PMP</t>
  </si>
  <si>
    <t>(48) 32791759 Ramal: 1772</t>
  </si>
  <si>
    <t>(48) 32791745 Ramal:</t>
  </si>
  <si>
    <t>AVENIDA ILZA TEREZINHA PAGANI, 280</t>
  </si>
  <si>
    <t>Parque Residencial Pagani</t>
  </si>
  <si>
    <t>PAGANI</t>
  </si>
  <si>
    <t>10/17/12 0:00</t>
  </si>
  <si>
    <t>10/23/12 0:00</t>
  </si>
  <si>
    <t>11/27/14 0:00</t>
  </si>
  <si>
    <t>7/13/16 0:00</t>
  </si>
  <si>
    <t>Rua Irmã Dulce</t>
  </si>
  <si>
    <t>Passa Vinte</t>
  </si>
  <si>
    <t>12/31/2017</t>
  </si>
  <si>
    <t>150 2013</t>
  </si>
  <si>
    <t>11/25/13 0:00</t>
  </si>
  <si>
    <t>Rua VL 4 - Santa Marta</t>
  </si>
  <si>
    <t>São Sebastião</t>
  </si>
  <si>
    <t>Rua VT 02</t>
  </si>
  <si>
    <t>Pacheco</t>
  </si>
  <si>
    <t>Rua Germano Spricigo</t>
  </si>
  <si>
    <t>Caminho Novo</t>
  </si>
  <si>
    <t>Rua Garoupa</t>
  </si>
  <si>
    <t>Praia de Fora</t>
  </si>
  <si>
    <t>Rua Conselheiro Sinimbú</t>
  </si>
  <si>
    <t>10/29/2016</t>
  </si>
  <si>
    <t>PREF MUN DE PARANAGUA</t>
  </si>
  <si>
    <t>MUNICIPIO DE PARANAGUA</t>
  </si>
  <si>
    <t>gabinete@paranagua.pr.gov.br</t>
  </si>
  <si>
    <t>PMPGUA</t>
  </si>
  <si>
    <t>(41) 34206116 Ramal:</t>
  </si>
  <si>
    <t>(41) 34202714 Ramal:</t>
  </si>
  <si>
    <t>RUA JÚLIA DA COSTA, 322</t>
  </si>
  <si>
    <t>Rua DR. ARMANDO JOSÉ AZEVEDO LOBO</t>
  </si>
  <si>
    <t>Jardim Yamaguchi</t>
  </si>
  <si>
    <t>6/18/2017</t>
  </si>
  <si>
    <t>000068919X</t>
  </si>
  <si>
    <t>Rua Arsênio Bento dos Santos</t>
  </si>
  <si>
    <t>Rua dos Cisnes</t>
  </si>
  <si>
    <t>Rua Silvino Tripoli</t>
  </si>
  <si>
    <t>Rua José Cadilhe</t>
  </si>
  <si>
    <t>Rua Júlio Groth Elias</t>
  </si>
  <si>
    <t>Divinéia</t>
  </si>
  <si>
    <t>7/25/2017</t>
  </si>
  <si>
    <t>Rua 19 de Abril</t>
  </si>
  <si>
    <t>Vila Guarani</t>
  </si>
  <si>
    <t>Avenida Engenheiro Ildefonso Simões Lopes</t>
  </si>
  <si>
    <t>Três Vendas</t>
  </si>
  <si>
    <t>11/30/2017</t>
  </si>
  <si>
    <t>PREF MUN DE PELOTAS</t>
  </si>
  <si>
    <t>PREFEITURA MUNICIPAL DE PELOTAS</t>
  </si>
  <si>
    <t>gabinete.prefeito@pelotas.rs.gov.br</t>
  </si>
  <si>
    <t>SMED</t>
  </si>
  <si>
    <t>(53) 3309-6023 Ramal:</t>
  </si>
  <si>
    <t>(53) 3284-2600 Ramal:</t>
  </si>
  <si>
    <t>PRACA CEL. PEDRO OSORIO</t>
  </si>
  <si>
    <t>6/17/16 0:00</t>
  </si>
  <si>
    <t>6/16/16 0:00</t>
  </si>
  <si>
    <t>1/16/18 0:00</t>
  </si>
  <si>
    <t>RUA DOS AÇORES</t>
  </si>
  <si>
    <t>TRÊS VENDAS</t>
  </si>
  <si>
    <t>Rua Principal</t>
  </si>
  <si>
    <t>Rua Ignácio Teixeira Machado</t>
  </si>
  <si>
    <t>Rua Giovani Guimarães</t>
  </si>
  <si>
    <t>Areal</t>
  </si>
  <si>
    <t>Rua Almirante Rafael Brusque</t>
  </si>
  <si>
    <t>COLONIA Z3</t>
  </si>
  <si>
    <t>Avenida Quatro</t>
  </si>
  <si>
    <t>Corredor Cinco</t>
  </si>
  <si>
    <t>Av. Cidade de Lisboa</t>
  </si>
  <si>
    <t>Fragata</t>
  </si>
  <si>
    <t>Passeio Dois</t>
  </si>
  <si>
    <t>Porto</t>
  </si>
  <si>
    <t>Rua Jornalista Tim Lopes</t>
  </si>
  <si>
    <t>Rua Leopoldo Brod</t>
  </si>
  <si>
    <t>Avenida Ulysses Silveira Guimarães</t>
  </si>
  <si>
    <t>12/30/2017</t>
  </si>
  <si>
    <t>Rua Novo Hamburgo</t>
  </si>
  <si>
    <t>Laranjal</t>
  </si>
  <si>
    <t>Rua Edmundo Kruger</t>
  </si>
  <si>
    <t>PREF MUN DE PONTA GROSSA</t>
  </si>
  <si>
    <t>MUNICIPIO DE PONTA GROSSA</t>
  </si>
  <si>
    <t>marcelorangel@pontagrossa.pr.gov.br</t>
  </si>
  <si>
    <t>PMPG</t>
  </si>
  <si>
    <t>(42) 3220-1127 Ramal:</t>
  </si>
  <si>
    <t>(42) 3901-6007 Ramal:</t>
  </si>
  <si>
    <t>Avenida Visconde de Taunay 950</t>
  </si>
  <si>
    <t>1º SUB SOLO</t>
  </si>
  <si>
    <t>(11851047000185) ENGEPARK - CONSTRUCOES CIVIS LTDA</t>
  </si>
  <si>
    <t>8/18/13 0:00</t>
  </si>
  <si>
    <t>2/27/14 0:00</t>
  </si>
  <si>
    <t>000062893X</t>
  </si>
  <si>
    <t>Rua Casemiro Reis/Rua Paes de Andrade/ Rua Martins Pena</t>
  </si>
  <si>
    <t>(03729672000120) BBJ &amp; CIA LTDA</t>
  </si>
  <si>
    <t>Rua Abílio Holzmann/Bairro dos Neves</t>
  </si>
  <si>
    <t>(07795455000190) J G DA SILVA FILHO &amp; CIA LTDA - ME</t>
  </si>
  <si>
    <t>Outros</t>
  </si>
  <si>
    <t>Rua Dois</t>
  </si>
  <si>
    <t>Neves</t>
  </si>
  <si>
    <t>10/20/2017</t>
  </si>
  <si>
    <t>Rua Paes de Andrade</t>
  </si>
  <si>
    <t>Nova Rússia</t>
  </si>
  <si>
    <t>Rua Miguel Dropa</t>
  </si>
  <si>
    <t>Cará-cará</t>
  </si>
  <si>
    <t>Rua A</t>
  </si>
  <si>
    <t>Contorno</t>
  </si>
  <si>
    <t>11/23/12 0:00</t>
  </si>
  <si>
    <t>(03505277000164) ECSAM SERVICOS AMBIENTAIS LTDA.</t>
  </si>
  <si>
    <t>11/27/12 0:00</t>
  </si>
  <si>
    <t>9/23/13 0:00</t>
  </si>
  <si>
    <t>8/26/13 0:00</t>
  </si>
  <si>
    <t>Embargos</t>
  </si>
  <si>
    <t>Rua Alfredo Alvarez (Antiga Rua 2)</t>
  </si>
  <si>
    <t>Chapada</t>
  </si>
  <si>
    <t>9/25/13 0:00</t>
  </si>
  <si>
    <t>Rua Júlia Lopes</t>
  </si>
  <si>
    <t>Orfãs</t>
  </si>
  <si>
    <t>12/30/13 0:00</t>
  </si>
  <si>
    <t>Rua Venâncio Aires</t>
  </si>
  <si>
    <t>PREF MUN DE SANTA MARIA</t>
  </si>
  <si>
    <t>MUNICIPIO DE SANTA MARIA</t>
  </si>
  <si>
    <t>casacivil@santamaria.rs.gov.br</t>
  </si>
  <si>
    <t>PMSM</t>
  </si>
  <si>
    <t>(55) 9321-7099 Ramal:</t>
  </si>
  <si>
    <t>(55) 3921-7256 Ramal:</t>
  </si>
  <si>
    <t>7º ANDAR</t>
  </si>
  <si>
    <t>001 2016</t>
  </si>
  <si>
    <t>(05495827000137) LUFAB COMERCIO E REPRESENTACOES LTDA</t>
  </si>
  <si>
    <t>5/30/17 0:00</t>
  </si>
  <si>
    <t>9/26/16 0:00</t>
  </si>
  <si>
    <t>6/29/12 0:00</t>
  </si>
  <si>
    <t>(10689993000104) ARIMIX SERVICOS DE CONCRETAGEM LTDA</t>
  </si>
  <si>
    <t>Rua Luiz Castagna</t>
  </si>
  <si>
    <t>Presidente João Goulart</t>
  </si>
  <si>
    <t>8/29/2017</t>
  </si>
  <si>
    <t>10/17/13 0:00</t>
  </si>
  <si>
    <t>Rua Domingos de Almeida</t>
  </si>
  <si>
    <t>Divina Providência</t>
  </si>
  <si>
    <t>Rua A Esq Rua C</t>
  </si>
  <si>
    <t>Diácono Luiz Pozzobon</t>
  </si>
  <si>
    <t>7/29/13 0:00</t>
  </si>
  <si>
    <t>9/13/16 0:00</t>
  </si>
  <si>
    <t>Rua Bolívia (prolongamento)</t>
  </si>
  <si>
    <t>Camobi</t>
  </si>
  <si>
    <t>Rua Vereador Antônio Dias</t>
  </si>
  <si>
    <t>Itararé</t>
  </si>
  <si>
    <t>5/31/2018</t>
  </si>
  <si>
    <t>RUA ANTONIO ROSSI, S/Nº</t>
  </si>
  <si>
    <t>PINHEIRO MACHADO</t>
  </si>
  <si>
    <t>3/24/16 0:00</t>
  </si>
  <si>
    <t>Rua Ceará s/n</t>
  </si>
  <si>
    <t>Nonoai</t>
  </si>
  <si>
    <t>Rua João Batista da Cruz Jobim</t>
  </si>
  <si>
    <t>Nossa Senhora Medianeira</t>
  </si>
  <si>
    <t>Av. Manoel Malmann Filho</t>
  </si>
  <si>
    <t>NOVA SANTA MARTA</t>
  </si>
  <si>
    <t>RUA DYONÉLIOMACHADO S/Nº</t>
  </si>
  <si>
    <t>CAMOBI</t>
  </si>
  <si>
    <t>10/17/14 0:00</t>
  </si>
  <si>
    <t>3/23/16 0:00</t>
  </si>
  <si>
    <t>Estrada Vereador Pedro Fernandes</t>
  </si>
  <si>
    <t>Distrito de Pains</t>
  </si>
  <si>
    <t>8/31/2017</t>
  </si>
  <si>
    <t>Escola com Projeto elaborado pelo proponente</t>
  </si>
  <si>
    <t>(02579293000139) HILGERT CONSTRUCOES E PRE-MOLDADOS LTDA</t>
  </si>
  <si>
    <t>Rua São Martinho</t>
  </si>
  <si>
    <t>Majorca</t>
  </si>
  <si>
    <t>1/30/2018</t>
  </si>
  <si>
    <t>PREF MUN DE SAO FRANCISCO DO SUL</t>
  </si>
  <si>
    <t>SAO FRANCISCO DO SUL PREFEITURA</t>
  </si>
  <si>
    <t>chefia.gabinete@saofranciscodosul.sc.gov.br</t>
  </si>
  <si>
    <t>PMSFS</t>
  </si>
  <si>
    <t>(47) 34712222 Ramal:</t>
  </si>
  <si>
    <t>PRAÇA GETULIO VARGAS, 01</t>
  </si>
  <si>
    <t>PRÉDIO</t>
  </si>
  <si>
    <t>5/20/14 0:00</t>
  </si>
  <si>
    <t>Rodovia Duque de Caxias</t>
  </si>
  <si>
    <t>Iperoba</t>
  </si>
  <si>
    <t>2/27/2018</t>
  </si>
  <si>
    <t>(18985854000130) ARKA EMPREENDIMENTOS LTDA - EPP</t>
  </si>
  <si>
    <t>000025147X</t>
  </si>
  <si>
    <t>Avenida João Rodolfo Castelli</t>
  </si>
  <si>
    <t>Putim</t>
  </si>
  <si>
    <t>Escola de Educação Infantil Tipo A</t>
  </si>
  <si>
    <t>PREF MUN DE SAO JOSE DOS CAMPOS</t>
  </si>
  <si>
    <t>SAO JOSE DOS CAMPOS PREFEITURA</t>
  </si>
  <si>
    <t>gabinete@sjc.sp.gov.br</t>
  </si>
  <si>
    <t>PMSJC</t>
  </si>
  <si>
    <t>(12) 3901-2016 Ramal:</t>
  </si>
  <si>
    <t>(12) 3912-1664 Ramal:</t>
  </si>
  <si>
    <t>RUA JOSE DE ALENCAR</t>
  </si>
  <si>
    <t>VILA SANTA LUZIA</t>
  </si>
  <si>
    <t>6/13/16 0:00</t>
  </si>
  <si>
    <t>RUA TELMA PACHECO DE OLIVEIRA</t>
  </si>
  <si>
    <t>JARDIM HELENA / VILLA MONTERREY</t>
  </si>
  <si>
    <t>(12381044000198) ALVESLIMA CONSTRUTORA E INCORPORADORA LTDA EPP</t>
  </si>
  <si>
    <t>Avenida Odila dos Santos Pereira</t>
  </si>
  <si>
    <t>Loteamento Santa Edwiges</t>
  </si>
  <si>
    <t>Avenida Arnaldo Felipe Sbruzzi</t>
  </si>
  <si>
    <t>Piracangaguá (Chácara Flórida)</t>
  </si>
  <si>
    <t>11/19/2017</t>
  </si>
  <si>
    <t>PREF MUN DE TAUBATE</t>
  </si>
  <si>
    <t>PREFEITURA MUNICIPAL DE TAUBATE</t>
  </si>
  <si>
    <t>seed@educacaotaubate.sp.gov.br</t>
  </si>
  <si>
    <t>PMT</t>
  </si>
  <si>
    <t>(12) 36255000 Ramal:</t>
  </si>
  <si>
    <t>(12) 36216444 Ramal:</t>
  </si>
  <si>
    <t>AVENIDA TIRADENTES</t>
  </si>
  <si>
    <t>Pregão</t>
  </si>
  <si>
    <t>6/30/16 0:00</t>
  </si>
  <si>
    <t>4/24/17 0:00</t>
  </si>
  <si>
    <t>Rua Viriato Bandeira Duarte</t>
  </si>
  <si>
    <t>Jardim Bela Vista</t>
  </si>
  <si>
    <t>8/22/2017</t>
  </si>
  <si>
    <t>Rua Manoel Rodrigues</t>
  </si>
  <si>
    <t>Residencial Portal da Mantiqueira</t>
  </si>
  <si>
    <t>8/25/2017</t>
  </si>
  <si>
    <t>7/20/16 0:00</t>
  </si>
  <si>
    <t>Praça Sílvia Maria</t>
  </si>
  <si>
    <t>Terra Nova</t>
  </si>
  <si>
    <t>7/22/16 0:00</t>
  </si>
  <si>
    <t>Rua Queila esquina com Rua Jericó</t>
  </si>
  <si>
    <t>Jardim Canaã II</t>
  </si>
  <si>
    <t>R$620.209,84</t>
  </si>
  <si>
    <t>PREF MUN DE UBERLANDIA</t>
  </si>
  <si>
    <t>MUNICIPIO DE UBERLANDIA</t>
  </si>
  <si>
    <t>gabineteprefeito@uberlandia.mg.gov.br</t>
  </si>
  <si>
    <t>PMU</t>
  </si>
  <si>
    <t>(34) 32392440 Ramal:</t>
  </si>
  <si>
    <t>(34) 32365270 Ramal:</t>
  </si>
  <si>
    <t>Avenida Anselmo Alves dos Santos</t>
  </si>
  <si>
    <t>Segismundo Pereira</t>
  </si>
  <si>
    <t>8/14/13 0:00</t>
  </si>
  <si>
    <t>(11084310000158) S MUNHOZ CONSTRUCOES LTDA</t>
  </si>
  <si>
    <t>8/27/13 0:00</t>
  </si>
  <si>
    <t>5/30/16 0:00</t>
  </si>
  <si>
    <t>R$938.016,64</t>
  </si>
  <si>
    <t>Alameda Otávio Rodrigues de Oliveira</t>
  </si>
  <si>
    <t>Jardim das Palmeiras II</t>
  </si>
  <si>
    <t>R$0,00</t>
  </si>
  <si>
    <t>R$2.852.670,06</t>
  </si>
  <si>
    <t>Avenida José Fonseca e Silva</t>
  </si>
  <si>
    <t>Jardim Europa</t>
  </si>
  <si>
    <t>R$620.700,90</t>
  </si>
  <si>
    <t>Rua Rio Jequitinhonha</t>
  </si>
  <si>
    <t>Mansour</t>
  </si>
  <si>
    <t>Rua das Raízes</t>
  </si>
  <si>
    <t>Jardim Botânico</t>
  </si>
  <si>
    <t>Rua da Pitanga</t>
  </si>
  <si>
    <t>Pacaembu</t>
  </si>
  <si>
    <t>R$1.332.216,81</t>
  </si>
  <si>
    <t>Rua dos Aracas</t>
  </si>
  <si>
    <t>Jardim Sucupira</t>
  </si>
  <si>
    <t>Rua do Feirante</t>
  </si>
  <si>
    <t>Planalto</t>
  </si>
  <si>
    <t>Rua do Moinho</t>
  </si>
  <si>
    <t>Morumbi</t>
  </si>
  <si>
    <t>Rua Conrado de Brito</t>
  </si>
  <si>
    <t>Alto Umuarama</t>
  </si>
  <si>
    <t>9/28/2017</t>
  </si>
  <si>
    <t>R$1.574.668,54</t>
  </si>
  <si>
    <t>$1.574.668,54</t>
  </si>
  <si>
    <t>R$393.925,58</t>
  </si>
  <si>
    <t>Avenida Juhem Cecilio Jorge</t>
  </si>
  <si>
    <t>Jardim Patrícia</t>
  </si>
  <si>
    <t>R$1.576.736,04</t>
  </si>
  <si>
    <t>R$393.925,57</t>
  </si>
  <si>
    <t>Rua Ismael Carvalho Espíndola</t>
  </si>
  <si>
    <t>Cidade Verde</t>
  </si>
  <si>
    <t>10/13/2017</t>
  </si>
  <si>
    <t>R$1.574.911,54</t>
  </si>
  <si>
    <t>R$393.727,89</t>
  </si>
  <si>
    <t>R$4.604.895,97</t>
  </si>
  <si>
    <t>Rua Rancheira</t>
  </si>
  <si>
    <t>Guarani</t>
  </si>
  <si>
    <t>R$1.579.200,04</t>
  </si>
  <si>
    <t>R$394.800,01</t>
  </si>
  <si>
    <t>Rua SP - 102</t>
  </si>
  <si>
    <t>Shopping Park IV</t>
  </si>
  <si>
    <t>R$1.565.080,04</t>
  </si>
  <si>
    <t>R$391.270,01</t>
  </si>
  <si>
    <t>Rua Cláudio José Bisinoto</t>
  </si>
  <si>
    <t>Morada Nova</t>
  </si>
  <si>
    <t>R$1.591.930,04</t>
  </si>
  <si>
    <t>R$397.982,51</t>
  </si>
  <si>
    <t>Rua Paineira da Índia</t>
  </si>
  <si>
    <t>Aclimação-lot terra nova2</t>
  </si>
  <si>
    <t>R$1.578.826,54</t>
  </si>
  <si>
    <t>R$394.706,64</t>
  </si>
  <si>
    <t>Rua Risde Attiê</t>
  </si>
  <si>
    <t>Jardim Itália</t>
  </si>
  <si>
    <t>R$1.583.065,04</t>
  </si>
  <si>
    <t>R$395.766,26</t>
  </si>
  <si>
    <t>Avenida Afonso Pena</t>
  </si>
  <si>
    <t>R$1.591.580,04</t>
  </si>
  <si>
    <t>R$397.895,01</t>
  </si>
  <si>
    <t>Rua Mileto</t>
  </si>
  <si>
    <t>Canaã</t>
  </si>
  <si>
    <t>R$1.581.735,04</t>
  </si>
  <si>
    <t>R$395.433,76</t>
  </si>
  <si>
    <t>Rua Higino Guerra</t>
  </si>
  <si>
    <t>Martins</t>
  </si>
  <si>
    <t>R$1.578.611,54</t>
  </si>
  <si>
    <t>R$394.652,89</t>
  </si>
  <si>
    <t>R$5.000.000,00</t>
  </si>
  <si>
    <t>0.00</t>
  </si>
  <si>
    <t>SIMEC - Mai/2017 (conferido 020718)</t>
  </si>
  <si>
    <t>% Execução</t>
  </si>
  <si>
    <t>PAC 2 - CRECHE/PRÉ-ESCOLA  002</t>
  </si>
  <si>
    <t xml:space="preserve">Fazenda Velha                                                                                       </t>
  </si>
  <si>
    <t>1267584.72</t>
  </si>
  <si>
    <t xml:space="preserve">PREFEITURA DO MUNICÍPIO DE ARAUCÁRIA                                                                                                                                                                    </t>
  </si>
  <si>
    <t xml:space="preserve">PMA/PR </t>
  </si>
  <si>
    <t xml:space="preserve">(41) 3614-1400 Ramal: </t>
  </si>
  <si>
    <t xml:space="preserve">(41) 3614-1617 Ramal: </t>
  </si>
  <si>
    <t>576713.35</t>
  </si>
  <si>
    <t>PAC 2 - CRECHE/PRÉ-ESCOLA  001</t>
  </si>
  <si>
    <t xml:space="preserve">Campina da Barra                                                                                    </t>
  </si>
  <si>
    <t>1927667.98</t>
  </si>
  <si>
    <t>PAC 2 - CRECHE/PRÉ-ESCOLA  006</t>
  </si>
  <si>
    <t xml:space="preserve">Capela Velha                                                                                        </t>
  </si>
  <si>
    <t>02.03</t>
  </si>
  <si>
    <t>PAC 2 - CRECHE/PRÉ-ESCOLA  005</t>
  </si>
  <si>
    <t>PAC 2 - CRECHE/PRÉ-ESCOLA  004</t>
  </si>
  <si>
    <t xml:space="preserve">Porto das Laranjeiras                                                                               </t>
  </si>
  <si>
    <t>PAC 2 - CRECHE/PRÉ-ESCOLA  003</t>
  </si>
  <si>
    <t xml:space="preserve">Costeira                                                                                            </t>
  </si>
  <si>
    <t>7753.68</t>
  </si>
  <si>
    <t xml:space="preserve">Iguaçu                                                                                              </t>
  </si>
  <si>
    <t>3552543.79</t>
  </si>
  <si>
    <t>932385.96</t>
  </si>
  <si>
    <t>Rua Victor Hugo Petry</t>
  </si>
  <si>
    <t>76.12</t>
  </si>
  <si>
    <t>1134108.98</t>
  </si>
  <si>
    <t xml:space="preserve">PREFEITURA MUNICIPAL DE CACADOR                                                                                                                                                                         </t>
  </si>
  <si>
    <t xml:space="preserve">(49) 3666-2400 Ramal: </t>
  </si>
  <si>
    <t xml:space="preserve">AVENIDA SANTA CATARINA </t>
  </si>
  <si>
    <t>848488.79</t>
  </si>
  <si>
    <t>112305.58</t>
  </si>
  <si>
    <t>Rua Luiz Tortato</t>
  </si>
  <si>
    <t>97.66</t>
  </si>
  <si>
    <t>1453995.37</t>
  </si>
  <si>
    <t>(18345650000134) ENGEGRAU CONSTRUCOES LTDA - EPP</t>
  </si>
  <si>
    <t>434652.95</t>
  </si>
  <si>
    <t>46313.43</t>
  </si>
  <si>
    <t>Rua Armindo Dalastra Bonfanti</t>
  </si>
  <si>
    <t xml:space="preserve">Rancho Fundo                                                                                        </t>
  </si>
  <si>
    <t>1888084.32</t>
  </si>
  <si>
    <t>500438.36</t>
  </si>
  <si>
    <t xml:space="preserve">Moradias Avelino Piacentini                                                                         </t>
  </si>
  <si>
    <t>44.70</t>
  </si>
  <si>
    <t xml:space="preserve">CAMPO MOURAO PREFEITURA                                                                                                                                                                                 </t>
  </si>
  <si>
    <t>1869470.51</t>
  </si>
  <si>
    <t>12229.64</t>
  </si>
  <si>
    <t xml:space="preserve">Jardim Flora                                                                                        </t>
  </si>
  <si>
    <t>44.29</t>
  </si>
  <si>
    <t>1806106.94</t>
  </si>
  <si>
    <t xml:space="preserve">Avelino Piacentini                                                                                  </t>
  </si>
  <si>
    <t>91.06</t>
  </si>
  <si>
    <t>1021589.39</t>
  </si>
  <si>
    <t>688408.94</t>
  </si>
  <si>
    <t>279.21</t>
  </si>
  <si>
    <t xml:space="preserve">SEDE ALVORADA                                                                                       </t>
  </si>
  <si>
    <t>67.38</t>
  </si>
  <si>
    <t>998599.01</t>
  </si>
  <si>
    <t>MUNICÍPIO DE CASCAVEL</t>
  </si>
  <si>
    <t xml:space="preserve">MUNICIPIO DE CASCAVEL                                                                                                                                                                                   </t>
  </si>
  <si>
    <t xml:space="preserve">(45) 4001-2804 Ramal: </t>
  </si>
  <si>
    <t xml:space="preserve">(45) 4001-2802 Ramal: </t>
  </si>
  <si>
    <t>Rua Paraná</t>
  </si>
  <si>
    <t>(03096398000108) RECREACAO INFANTIL LUA DE CRISTAL S/C LTDA</t>
  </si>
  <si>
    <t>771271.52</t>
  </si>
  <si>
    <t>40667.49</t>
  </si>
  <si>
    <t xml:space="preserve">14 de Novembro                                                                                      </t>
  </si>
  <si>
    <t>1927667.97</t>
  </si>
  <si>
    <t>511417.93</t>
  </si>
  <si>
    <t>TERRA NOVA</t>
  </si>
  <si>
    <t>Avenida das Torres</t>
  </si>
  <si>
    <t xml:space="preserve">Santa Cruz                                                                                          </t>
  </si>
  <si>
    <t>500982.52</t>
  </si>
  <si>
    <t>100.00</t>
  </si>
  <si>
    <t>1186692.66</t>
  </si>
  <si>
    <t>Concluído</t>
  </si>
  <si>
    <t>163714.99</t>
  </si>
  <si>
    <t xml:space="preserve">Efapi                                                                                               </t>
  </si>
  <si>
    <t>40.20</t>
  </si>
  <si>
    <t xml:space="preserve">CHAPECO PREFEITURA                                                                                                                                                                                      </t>
  </si>
  <si>
    <t xml:space="preserve">(49) 33218441 Ramal: </t>
  </si>
  <si>
    <t>1732003.61</t>
  </si>
  <si>
    <t>Rua Caratinga  x  Rua Jacomo Savaris</t>
  </si>
  <si>
    <t xml:space="preserve">Jardim Residencial São Roque                                                                        </t>
  </si>
  <si>
    <t>50.49</t>
  </si>
  <si>
    <t xml:space="preserve">FOZ DO IGUACU PREFEITURA                                                                                                                                                                                </t>
  </si>
  <si>
    <t xml:space="preserve">(45) 2105-1447 Ramal: </t>
  </si>
  <si>
    <t xml:space="preserve">(45) 2105-1372 Ramal: </t>
  </si>
  <si>
    <t>1598448.03</t>
  </si>
  <si>
    <t>8685.54</t>
  </si>
  <si>
    <t>Rua Maria Fritze Guder  X Rua Etelvina Bordinhão dos Santos X Rua Major Agostinho José Rodrigues</t>
  </si>
  <si>
    <t xml:space="preserve">Cidade Nova                                                                                         </t>
  </si>
  <si>
    <t>79.47</t>
  </si>
  <si>
    <t>(84989722000100) COMERCIO DE GENEROS ALIMENTICIOS POR DO SOL LTDA</t>
  </si>
  <si>
    <t>2612464.09</t>
  </si>
  <si>
    <t xml:space="preserve">Conjunto Habitacional Fernanda                                                                      </t>
  </si>
  <si>
    <t>55.63</t>
  </si>
  <si>
    <t>(09372579000198) MPB - COMERCIO DE MATERIAIS DE CONSTRUCAO LTDA</t>
  </si>
  <si>
    <t>2342118.21</t>
  </si>
  <si>
    <t>JARDIM CATARATAS - PAC 2 - CRECHE/PRÉ-ESCOLA  007</t>
  </si>
  <si>
    <t xml:space="preserve">Loteamento Comercial e Residencial Cataratas                                                        </t>
  </si>
  <si>
    <t xml:space="preserve">Conjunto Libra                                                                                      </t>
  </si>
  <si>
    <t>JARDIM ALMADA - PAC 2 - CRECHE/PRÉ-ESCOLA  006</t>
  </si>
  <si>
    <t xml:space="preserve">Jardim Lancaster II                                                                                 </t>
  </si>
  <si>
    <t xml:space="preserve">Rua Angatuba </t>
  </si>
  <si>
    <t xml:space="preserve">GLEBA GUARANI                                                                                       </t>
  </si>
  <si>
    <t xml:space="preserve">Jardim Mônaco                                                                                       </t>
  </si>
  <si>
    <t>1493426.54</t>
  </si>
  <si>
    <t xml:space="preserve">Jardim das Américas III                                                                             </t>
  </si>
  <si>
    <t>30.74</t>
  </si>
  <si>
    <t xml:space="preserve">GOIOERE PREFEITURA MUNICIPAL                                                                                                                                                                            </t>
  </si>
  <si>
    <t xml:space="preserve">(44) 3521-8900 Ramal: </t>
  </si>
  <si>
    <t>1792394.35</t>
  </si>
  <si>
    <t>176.73</t>
  </si>
  <si>
    <t xml:space="preserve">Águas Claras                                                                                        </t>
  </si>
  <si>
    <t>92.64</t>
  </si>
  <si>
    <t>3533595.15</t>
  </si>
  <si>
    <t>3344840.24</t>
  </si>
  <si>
    <t>262500.46</t>
  </si>
  <si>
    <t>914410.54</t>
  </si>
  <si>
    <t xml:space="preserve">PREFEITURA MUNICIPAL DE GRAVATAI                                                                                                                                                                        </t>
  </si>
  <si>
    <t>guilester.neves@gravatai.rs.gov.br</t>
  </si>
  <si>
    <t xml:space="preserve">(51) 3600-7007 Ramal: </t>
  </si>
  <si>
    <t xml:space="preserve">(51) 3600-7001 Ramal: </t>
  </si>
  <si>
    <t>1066276.38</t>
  </si>
  <si>
    <t>94.62</t>
  </si>
  <si>
    <t>1492930.41</t>
  </si>
  <si>
    <t>Dispensa</t>
  </si>
  <si>
    <t>1766357.10</t>
  </si>
  <si>
    <t>548791.78</t>
  </si>
  <si>
    <t>10.89</t>
  </si>
  <si>
    <t>786913.29</t>
  </si>
  <si>
    <t>235218.85</t>
  </si>
  <si>
    <t>39.19</t>
  </si>
  <si>
    <t>1506646.31</t>
  </si>
  <si>
    <t>1817363.96</t>
  </si>
  <si>
    <t>943014.31</t>
  </si>
  <si>
    <t>28.62</t>
  </si>
  <si>
    <t>788965.49</t>
  </si>
  <si>
    <t xml:space="preserve">Loteamento Auxiliadora                                                                              </t>
  </si>
  <si>
    <t>07.06</t>
  </si>
  <si>
    <t>1492750.71</t>
  </si>
  <si>
    <t xml:space="preserve">Garibaldino                                                                                         </t>
  </si>
  <si>
    <t>1490024.98</t>
  </si>
  <si>
    <t xml:space="preserve">Parque Ipiranga                                                                                     </t>
  </si>
  <si>
    <t>98.54</t>
  </si>
  <si>
    <t>1494292.81</t>
  </si>
  <si>
    <t>1020531.45</t>
  </si>
  <si>
    <t>E.M.E.I. COHAB C</t>
  </si>
  <si>
    <t xml:space="preserve">COHAB C                                                                                             </t>
  </si>
  <si>
    <t>41.30</t>
  </si>
  <si>
    <t>2447238.48</t>
  </si>
  <si>
    <t>1852022.22</t>
  </si>
  <si>
    <t>0.10</t>
  </si>
  <si>
    <t>956174.21</t>
  </si>
  <si>
    <t xml:space="preserve">São Vicente                                                                                         </t>
  </si>
  <si>
    <t>24.26</t>
  </si>
  <si>
    <t>1802473.77</t>
  </si>
  <si>
    <t>2005168.08</t>
  </si>
  <si>
    <t xml:space="preserve">Parque Florido                                                                                      </t>
  </si>
  <si>
    <t>1497835.71</t>
  </si>
  <si>
    <t xml:space="preserve">Jardim Guaianuba                                                                                    </t>
  </si>
  <si>
    <t>58.48</t>
  </si>
  <si>
    <t>2217081.33</t>
  </si>
  <si>
    <t>279636.86</t>
  </si>
  <si>
    <t xml:space="preserve">Sítio Gaúcho                                                                                        </t>
  </si>
  <si>
    <t>1495655.41</t>
  </si>
  <si>
    <t xml:space="preserve">Costa do Ipiranga                                                                                   </t>
  </si>
  <si>
    <t>23.59</t>
  </si>
  <si>
    <t>1196771.39</t>
  </si>
  <si>
    <t>1442804.03</t>
  </si>
  <si>
    <t>36740.74</t>
  </si>
  <si>
    <t xml:space="preserve">Natal                                                                                               </t>
  </si>
  <si>
    <t>09.65</t>
  </si>
  <si>
    <t>1960836.04</t>
  </si>
  <si>
    <t>PAC 2 - CRECHE/PRÉ-ESCOLA  009</t>
  </si>
  <si>
    <t>1368907.76</t>
  </si>
  <si>
    <t xml:space="preserve">GUARAPUAVA PREFEITURA MUNICIPAL                                                                                                                                                                         </t>
  </si>
  <si>
    <t>515992.26</t>
  </si>
  <si>
    <t>1179945.13</t>
  </si>
  <si>
    <t>PAC 2 - CRECHE/PRÉ-ESCOLA  008</t>
  </si>
  <si>
    <t>1332862.86</t>
  </si>
  <si>
    <t>1222050.67</t>
  </si>
  <si>
    <t xml:space="preserve">Alto Cascavel                                                                                       </t>
  </si>
  <si>
    <t>59.73</t>
  </si>
  <si>
    <t>1696474.96</t>
  </si>
  <si>
    <t>45457.27</t>
  </si>
  <si>
    <t>80.74</t>
  </si>
  <si>
    <t>1448633.71</t>
  </si>
  <si>
    <t xml:space="preserve">IMBITUBA PREFEITURA                                                                                                                                                                                     </t>
  </si>
  <si>
    <t xml:space="preserve">(48) 3355-8133 Ramal: </t>
  </si>
  <si>
    <t xml:space="preserve">(48) 33558100 Ramal: </t>
  </si>
  <si>
    <t>1560503.51</t>
  </si>
  <si>
    <t>3324.84</t>
  </si>
  <si>
    <t xml:space="preserve">CAMPESTRE                                                                                           </t>
  </si>
  <si>
    <t>362.16</t>
  </si>
  <si>
    <t>371500.00</t>
  </si>
  <si>
    <t xml:space="preserve">Conventos                                                                                           </t>
  </si>
  <si>
    <t>64.21</t>
  </si>
  <si>
    <t xml:space="preserve">MUNICIPIO DE LAJEADO                                                                                                                                                                                    </t>
  </si>
  <si>
    <t xml:space="preserve">(51) 3982-1021 Ramal: </t>
  </si>
  <si>
    <t xml:space="preserve">(51) 3982-1022 Ramal: </t>
  </si>
  <si>
    <t>(00084457000121) PELLEGRINI &amp; PELLEGRINI LTDA</t>
  </si>
  <si>
    <t>1832050.07</t>
  </si>
  <si>
    <t>EMEI BOM PASTOR</t>
  </si>
  <si>
    <t xml:space="preserve">BOM PASTOR                                                                                          </t>
  </si>
  <si>
    <t xml:space="preserve">Geada                                                                                               </t>
  </si>
  <si>
    <t>1979860.84</t>
  </si>
  <si>
    <t xml:space="preserve">PREFEITURA MUNICIPAL DE LIMEIRA                                                                                                                                                                         </t>
  </si>
  <si>
    <t xml:space="preserve">(19) 34049669 Ramal: </t>
  </si>
  <si>
    <t xml:space="preserve">(19) 34513668 Ramal: </t>
  </si>
  <si>
    <t>1209533.37</t>
  </si>
  <si>
    <t xml:space="preserve">Avenida Dr João de Oliveira Silveira </t>
  </si>
  <si>
    <t>83.65</t>
  </si>
  <si>
    <t>1519838.54</t>
  </si>
  <si>
    <t>PAC 2 - CI Caroline Pardo 001</t>
  </si>
  <si>
    <t>Rua Josefa Raimundo Candiotto</t>
  </si>
  <si>
    <t xml:space="preserve">Parque Residencial Aeroporto                                                                        </t>
  </si>
  <si>
    <t>4192331.79</t>
  </si>
  <si>
    <t>Parque Residencial Belinha Ometto                 Abílio Pedro</t>
  </si>
  <si>
    <t>1524836.04</t>
  </si>
  <si>
    <t>1516338.54</t>
  </si>
  <si>
    <t>479994.02</t>
  </si>
  <si>
    <t>94.55</t>
  </si>
  <si>
    <t>524690.44</t>
  </si>
  <si>
    <t xml:space="preserve">PALHOCA PREFEITURA                                                                                                                                                                                      </t>
  </si>
  <si>
    <t xml:space="preserve">(48) 32791745 Ramal: </t>
  </si>
  <si>
    <t xml:space="preserve"> PAGANI</t>
  </si>
  <si>
    <t>542811.52</t>
  </si>
  <si>
    <t>Abandono da empresa</t>
  </si>
  <si>
    <t>14464.23</t>
  </si>
  <si>
    <t>626742.78</t>
  </si>
  <si>
    <t>150   2013</t>
  </si>
  <si>
    <t>608411.02</t>
  </si>
  <si>
    <t>3337.18</t>
  </si>
  <si>
    <t xml:space="preserve">São Sebastião                                                                                       </t>
  </si>
  <si>
    <t xml:space="preserve">Rua VT 02 </t>
  </si>
  <si>
    <t>150  2013</t>
  </si>
  <si>
    <t xml:space="preserve">Caminho Novo                                                                                        </t>
  </si>
  <si>
    <t>1722573.34</t>
  </si>
  <si>
    <t xml:space="preserve">Praia de Fora                                                                                       </t>
  </si>
  <si>
    <t>806808.38</t>
  </si>
  <si>
    <t>7818.32</t>
  </si>
  <si>
    <t>80.94</t>
  </si>
  <si>
    <t>1281668.52</t>
  </si>
  <si>
    <t xml:space="preserve">MUNICIPIO DE PARANAGUA                                                                                                                                                                                  </t>
  </si>
  <si>
    <t xml:space="preserve">(41) 34206116 Ramal: </t>
  </si>
  <si>
    <t xml:space="preserve">(41) 34202714 Ramal: </t>
  </si>
  <si>
    <t>44494.05</t>
  </si>
  <si>
    <t xml:space="preserve">Jardim Yamaguchi                                                                                    </t>
  </si>
  <si>
    <t>1476438.54</t>
  </si>
  <si>
    <t>2207440.54</t>
  </si>
  <si>
    <t xml:space="preserve">Labra                                                                                               </t>
  </si>
  <si>
    <t>1482198.54</t>
  </si>
  <si>
    <t xml:space="preserve">Jardim Esperança                                                                                    </t>
  </si>
  <si>
    <t>1505586.54</t>
  </si>
  <si>
    <t xml:space="preserve">Alexandra                                                                                           </t>
  </si>
  <si>
    <t xml:space="preserve">Porto dos Padres                                                                                    </t>
  </si>
  <si>
    <t xml:space="preserve">Divinéia                                                                                            </t>
  </si>
  <si>
    <t>809772.58</t>
  </si>
  <si>
    <t>270774.44</t>
  </si>
  <si>
    <t xml:space="preserve">Vila Guarani                                                                                        </t>
  </si>
  <si>
    <t>809908.38</t>
  </si>
  <si>
    <t>270390.23</t>
  </si>
  <si>
    <t xml:space="preserve">Três Vendas                                                                                         </t>
  </si>
  <si>
    <t>4.81</t>
  </si>
  <si>
    <t xml:space="preserve">PREFEITURA MUNICIPAL DE PELOTAS                                                                                                                                                                         </t>
  </si>
  <si>
    <t xml:space="preserve">(53) 3309-6023 Ramal: </t>
  </si>
  <si>
    <t xml:space="preserve">(53) 3284-2600 Ramal: </t>
  </si>
  <si>
    <t>7600215.09</t>
  </si>
  <si>
    <t>1040878.05</t>
  </si>
  <si>
    <t xml:space="preserve">TRÊS VENDAS                                                                                         </t>
  </si>
  <si>
    <t>811383.29</t>
  </si>
  <si>
    <t>12.82</t>
  </si>
  <si>
    <t xml:space="preserve">Areal                                                                                               </t>
  </si>
  <si>
    <t>4.95</t>
  </si>
  <si>
    <t>11.58</t>
  </si>
  <si>
    <t>7.30</t>
  </si>
  <si>
    <t>1522329.37</t>
  </si>
  <si>
    <t>1153358.79</t>
  </si>
  <si>
    <t>1526930.41</t>
  </si>
  <si>
    <t>1515462.90</t>
  </si>
  <si>
    <t>8.19</t>
  </si>
  <si>
    <t>1531110.41</t>
  </si>
  <si>
    <t>795563.29</t>
  </si>
  <si>
    <t xml:space="preserve">Laranjal                                                                                            </t>
  </si>
  <si>
    <t xml:space="preserve">MUNICIPIO DE PONTA GROSSA                                                                                                                                                                               </t>
  </si>
  <si>
    <t xml:space="preserve">(42) 3220-1127 Ramal: </t>
  </si>
  <si>
    <t xml:space="preserve">(42) 3901-6007 Ramal: </t>
  </si>
  <si>
    <t>1183303.10</t>
  </si>
  <si>
    <t>5906020.84</t>
  </si>
  <si>
    <t>1275694.00</t>
  </si>
  <si>
    <t>15.78</t>
  </si>
  <si>
    <t>1258559.39</t>
  </si>
  <si>
    <t xml:space="preserve">Neves                                                                                               </t>
  </si>
  <si>
    <t>1497430.54</t>
  </si>
  <si>
    <t>1180730.00</t>
  </si>
  <si>
    <t>1562425.86</t>
  </si>
  <si>
    <t xml:space="preserve">Nova Rússia                                                                                         </t>
  </si>
  <si>
    <t>808307.38</t>
  </si>
  <si>
    <t>596616.00</t>
  </si>
  <si>
    <t xml:space="preserve">Cará-cará                                                                                           </t>
  </si>
  <si>
    <t>807158.38</t>
  </si>
  <si>
    <t>PAC 2 - CRECHE/PRÉ-ESCOLA MCMV  001</t>
  </si>
  <si>
    <t xml:space="preserve">Contorno                                                                                            </t>
  </si>
  <si>
    <t>1498221.54</t>
  </si>
  <si>
    <t>1425490.08</t>
  </si>
  <si>
    <t>2105217.98</t>
  </si>
  <si>
    <t xml:space="preserve">Chapada                                                                                             </t>
  </si>
  <si>
    <t>828293.38</t>
  </si>
  <si>
    <t>1357739.88</t>
  </si>
  <si>
    <t xml:space="preserve">Orfãs                                                                                               </t>
  </si>
  <si>
    <t>821067.38</t>
  </si>
  <si>
    <t>639364.08</t>
  </si>
  <si>
    <t>94.70</t>
  </si>
  <si>
    <t>1305613.49</t>
  </si>
  <si>
    <t xml:space="preserve">MUNICIPIO DE SANTA MARIA                                                                                                                                                                                </t>
  </si>
  <si>
    <t xml:space="preserve">(55) 3921-7099 Ramal: </t>
  </si>
  <si>
    <t xml:space="preserve">(55) 3921-7256 Ramal: </t>
  </si>
  <si>
    <t>1991997.09</t>
  </si>
  <si>
    <t>31174.58</t>
  </si>
  <si>
    <t>69.72</t>
  </si>
  <si>
    <t>614766.46</t>
  </si>
  <si>
    <t>1146917.60</t>
  </si>
  <si>
    <t>7204.35</t>
  </si>
  <si>
    <t xml:space="preserve">Presidente João Goulart                                                                             </t>
  </si>
  <si>
    <t>1241440.14</t>
  </si>
  <si>
    <t xml:space="preserve">Divina Providência                                                                                  </t>
  </si>
  <si>
    <t>1533938.38</t>
  </si>
  <si>
    <t xml:space="preserve">Diácono Luiz Pozzobon                                                                               </t>
  </si>
  <si>
    <t>5.31</t>
  </si>
  <si>
    <t>Projeto Tipo B - Bloco Estrutural</t>
  </si>
  <si>
    <t>1512730.42</t>
  </si>
  <si>
    <t>943735.78</t>
  </si>
  <si>
    <t xml:space="preserve">Camobi                                                                                              </t>
  </si>
  <si>
    <t>1527584.98</t>
  </si>
  <si>
    <t>811489.49</t>
  </si>
  <si>
    <t>4173081.65</t>
  </si>
  <si>
    <t>19.44</t>
  </si>
  <si>
    <t>1537625.78</t>
  </si>
  <si>
    <t>PAC_  DOM LUIZ  VICTOR  SARTORI</t>
  </si>
  <si>
    <t>Rua  Ceará    s/n</t>
  </si>
  <si>
    <t>812020.49</t>
  </si>
  <si>
    <t xml:space="preserve">Nossa Senhora Medianeira                                                                            </t>
  </si>
  <si>
    <t>4.34</t>
  </si>
  <si>
    <t>1518709.12</t>
  </si>
  <si>
    <t xml:space="preserve">NOVA SANTA MARTA                                                                                    </t>
  </si>
  <si>
    <t>1533985.25</t>
  </si>
  <si>
    <t>1533006.08</t>
  </si>
  <si>
    <t>PAC 2 - CRECHE/PRÉ-ESCOLA  002 LOTEAMENTO MONTE BELO-CAMOBI</t>
  </si>
  <si>
    <t>RUA DYONÉLIO MACHADO S/Nº</t>
  </si>
  <si>
    <t xml:space="preserve">CAMOBI                                                                                              </t>
  </si>
  <si>
    <t>11.91</t>
  </si>
  <si>
    <t>1531784.78</t>
  </si>
  <si>
    <t>431837.97</t>
  </si>
  <si>
    <t>359669.09</t>
  </si>
  <si>
    <t>3032.11</t>
  </si>
  <si>
    <t>1499205.54</t>
  </si>
  <si>
    <t xml:space="preserve">SAO FRANCISCO DO SUL PREFEITURA                                                                                                                                                                         </t>
  </si>
  <si>
    <t>convenios@saofranciscodosul.sc.gov.br</t>
  </si>
  <si>
    <t xml:space="preserve">(47) 34712222 Ramal: </t>
  </si>
  <si>
    <t>PRAÇA GETULIO VARGAS,  01</t>
  </si>
  <si>
    <t>25534.39</t>
  </si>
  <si>
    <t xml:space="preserve">Iperoba                                                                                             </t>
  </si>
  <si>
    <t>38.59</t>
  </si>
  <si>
    <t>3554832.03</t>
  </si>
  <si>
    <t>3330338.25</t>
  </si>
  <si>
    <t>27467.95</t>
  </si>
  <si>
    <t xml:space="preserve">Putim                                                                                               </t>
  </si>
  <si>
    <t>99.76</t>
  </si>
  <si>
    <t>8477691.43</t>
  </si>
  <si>
    <t xml:space="preserve">SAO JOSE DOS CAMPOS PREFEITURA                                                                                                                                                                          </t>
  </si>
  <si>
    <t xml:space="preserve">(12) 3901-2016 Ramal: </t>
  </si>
  <si>
    <t xml:space="preserve">(12) 3912-1664 Ramal: </t>
  </si>
  <si>
    <t>(05633207000117) FRANZO - ENGENHARIA E PLANEJAMENTO LTDA.</t>
  </si>
  <si>
    <t>6437476.96</t>
  </si>
  <si>
    <t>3036738.56</t>
  </si>
  <si>
    <t xml:space="preserve">JARDIM HELENA / VILLA MONTERREY                                                                     </t>
  </si>
  <si>
    <t>6100066.43</t>
  </si>
  <si>
    <t>7528210.88</t>
  </si>
  <si>
    <t>1444.73</t>
  </si>
  <si>
    <t>PAC 2 - CRECHE/PRÉ-ESCOLA  003 TIPO I</t>
  </si>
  <si>
    <t xml:space="preserve">Loteamento Santa Edwiges                                                                            </t>
  </si>
  <si>
    <t>3695702.35</t>
  </si>
  <si>
    <t>Creche Municipal  HÍPICA PINHEIRO</t>
  </si>
  <si>
    <t xml:space="preserve">Jardim Bela Vista                                                                                   </t>
  </si>
  <si>
    <t>74.20</t>
  </si>
  <si>
    <t xml:space="preserve">PREFEITURA MUNICIPAL DE TAUBATE                                                                                                                                                                         </t>
  </si>
  <si>
    <t xml:space="preserve">(12) 36255000 Ramal: </t>
  </si>
  <si>
    <t xml:space="preserve">(12) 36216444 Ramal: </t>
  </si>
  <si>
    <t>(17539083000194) S. L. DA SILVA SANTOS DE CASTRO CONSTRUCOES E REFORMAS  - ME</t>
  </si>
  <si>
    <t>1884600.37</t>
  </si>
  <si>
    <t>66255.89</t>
  </si>
  <si>
    <t xml:space="preserve">Residencial Portal da Mantiqueira                                                                   </t>
  </si>
  <si>
    <t>87.35</t>
  </si>
  <si>
    <t>1884598.16</t>
  </si>
  <si>
    <t>82184.84</t>
  </si>
  <si>
    <t xml:space="preserve">Terra Nova                                                                                          </t>
  </si>
  <si>
    <t>72.38</t>
  </si>
  <si>
    <t>(58060260000132) EMC ENGENHARIA DE MANUTENCAO E CONSTRUCAO LTDA</t>
  </si>
  <si>
    <t>1980135.74</t>
  </si>
  <si>
    <t xml:space="preserve">Piracangaguá (Chácara Flórida)                                                                      </t>
  </si>
  <si>
    <t>98.79</t>
  </si>
  <si>
    <t>1536621.54</t>
  </si>
  <si>
    <t>1180666.66</t>
  </si>
  <si>
    <t>82.15</t>
  </si>
  <si>
    <t>620209.84</t>
  </si>
  <si>
    <t xml:space="preserve">MUNICIPIO DE UBERLANDIA                                                                                                                                                                                 </t>
  </si>
  <si>
    <t xml:space="preserve">(34) 32392440 Ramal: </t>
  </si>
  <si>
    <t xml:space="preserve">(34) 32365270 Ramal: </t>
  </si>
  <si>
    <t>1078530.65</t>
  </si>
  <si>
    <t>620700.90</t>
  </si>
  <si>
    <t>1332216.81</t>
  </si>
  <si>
    <t>PAC 2 - CRECHE/PRÉ-ESCOLA  005 - Uberlândia - MG</t>
  </si>
  <si>
    <t xml:space="preserve">Alto Umuarama                                                                                       </t>
  </si>
  <si>
    <t>1574668.54</t>
  </si>
  <si>
    <t>PAC 2 - CRECHE/PRÉ-ESCOLA  001 - Uberlândia - MG</t>
  </si>
  <si>
    <t xml:space="preserve">Jardim Patrícia                                                                                     </t>
  </si>
  <si>
    <t>1576736.04</t>
  </si>
  <si>
    <t>PAC 2 - CRECHE/PRÉ-ESCOLA MCMV  006 - Uberlândia - MG</t>
  </si>
  <si>
    <t xml:space="preserve">Cidade Verde                                                                                        </t>
  </si>
  <si>
    <t>1574911.54</t>
  </si>
  <si>
    <t>4850192.73</t>
  </si>
  <si>
    <t>PAC 2 - CRECHE/PRÉ-ESCOLA MCMV  005 - Uberlândia - MG</t>
  </si>
  <si>
    <t xml:space="preserve">Guarani                                                                                             </t>
  </si>
  <si>
    <t>1579200.04</t>
  </si>
  <si>
    <t>PAC 2 - CRECHE/PRÉ-ESCOLA MCMV  004 - Uberlândia - MG</t>
  </si>
  <si>
    <t xml:space="preserve">Shopping Park IV                                                                                    </t>
  </si>
  <si>
    <t>1565080.04</t>
  </si>
  <si>
    <t>PAC 2 - CRECHE/PRÉ-ESCOLA  003 - Uberlândia - MG</t>
  </si>
  <si>
    <t xml:space="preserve">Morada Nova                                                                                         </t>
  </si>
  <si>
    <t>1591930.04</t>
  </si>
  <si>
    <t>PAC 2 - CRECHE/PRÉ-ESCOLA MCMV  003 - Uberlândia - MG</t>
  </si>
  <si>
    <t xml:space="preserve">Aclimação-lot terra nova2                                                                           </t>
  </si>
  <si>
    <t>1578826.54</t>
  </si>
  <si>
    <t>PAC 2 - CRECHE/PRÉ-ESCOLA MCMV  002 - Uberlândia - MG</t>
  </si>
  <si>
    <t xml:space="preserve">Jardim Itália                                                                                       </t>
  </si>
  <si>
    <t>1583065.04</t>
  </si>
  <si>
    <t>PAC 2 - CRECHE/PRÉ-ESCOLA  006 - Uberlândia - MG</t>
  </si>
  <si>
    <t>1591580.04</t>
  </si>
  <si>
    <t>PAC 2 - CRECHE/PRÉ-ESCOLA MCMV  001 - Uberlândia - MG</t>
  </si>
  <si>
    <t xml:space="preserve">Canaã                                                                                               </t>
  </si>
  <si>
    <t>1581735.04</t>
  </si>
  <si>
    <t>PAC 2 - CRECHE/PRÉ-ESCOLA  002 - Uberlândia - MG</t>
  </si>
  <si>
    <t xml:space="preserve">Martins                                                                                             </t>
  </si>
  <si>
    <t>1578611.54</t>
  </si>
  <si>
    <t>EMENDA PARLAMENTAR  27680005 - Uberlândia - MG</t>
  </si>
  <si>
    <t xml:space="preserve">Segismundo Pereira                                                                                  </t>
  </si>
  <si>
    <t>5000000.00</t>
  </si>
  <si>
    <t>Pedidos LAI - Mar-Abr/2018</t>
  </si>
  <si>
    <t>% Executado93</t>
  </si>
  <si>
    <t>Data Prevista de Conclusão104</t>
  </si>
  <si>
    <t>SIMEC - Julho/2018</t>
  </si>
  <si>
    <t>Em andamento</t>
  </si>
  <si>
    <t>Sem resposta da prefeitura</t>
  </si>
  <si>
    <t>Ano do convênio</t>
  </si>
  <si>
    <t>2009</t>
  </si>
  <si>
    <t>2008</t>
  </si>
  <si>
    <t>Atraso médio</t>
  </si>
  <si>
    <t>Situação Abril/2018</t>
  </si>
  <si>
    <t>Cronograma em atraso</t>
  </si>
  <si>
    <t>Informação corrigida - havia inconsistência no dado do OS</t>
  </si>
  <si>
    <t>CP 241/2013, CP 549/2017 (anulada), CP 831/2017</t>
  </si>
  <si>
    <t>Treviso Construtora Ltda.</t>
  </si>
  <si>
    <t>Dados de outras fontes não constantes no SIMEC em julho de 2018</t>
  </si>
  <si>
    <t>CP 07/2016</t>
  </si>
  <si>
    <t>CP 09/2016</t>
  </si>
  <si>
    <t>CP 08/2016</t>
  </si>
  <si>
    <t>(17539083000194) S. L. DA SILVA SANTOS DE CASTRO CONSTRUCOES E REFORMAS - ME</t>
  </si>
  <si>
    <t>(77.578.623/0001-70) CASAALTA CONSTRUÇÕES LTDA.</t>
  </si>
  <si>
    <t>CP 05/2016</t>
  </si>
  <si>
    <t>SRP Governo Federal (Pregão 55/2013), TP 02/2017</t>
  </si>
  <si>
    <t>CP 03/2015</t>
  </si>
  <si>
    <t>CP 01/2016</t>
  </si>
  <si>
    <t>CP 131/2015</t>
  </si>
  <si>
    <t>CP 12/2016</t>
  </si>
  <si>
    <t>Houve abandono por empresa contratada?</t>
  </si>
  <si>
    <t>ARP 59/2013 do FNDE</t>
  </si>
  <si>
    <t>Metodologia inovadora iniciada, distrato e processo judicial contra a empresa. Última medição em 2014.</t>
  </si>
  <si>
    <t>CP 09/2012, CP 23/2014</t>
  </si>
  <si>
    <t>UEME CONSTRUCAO CIVIL LTDA (79.785.432/0001-05)</t>
  </si>
  <si>
    <t>RDC 94/2012 GF, CP 042016</t>
  </si>
  <si>
    <t>RDC 94/2012 GF</t>
  </si>
  <si>
    <t>Contrato anterior 221/2013. Pedido de alterações no projeto.</t>
  </si>
  <si>
    <t>RDC 94/2012 GF, CP 042016, CP 022018</t>
  </si>
  <si>
    <t>?</t>
  </si>
  <si>
    <t>RDC 94/2012 GF, CP 062016</t>
  </si>
  <si>
    <t>(09.101.160/0001-00) Bandeira e Silva Engenharia Ltda. - EPP</t>
  </si>
  <si>
    <t>(81.424.962/0001-70) MVC COMPONENTES PLASTICOS LTDA</t>
  </si>
  <si>
    <t>(18.962.959/0001-73) Construtora Enoque Teixeira EIRELI</t>
  </si>
  <si>
    <t>Bairro Geada</t>
  </si>
  <si>
    <t>Residencial Village</t>
  </si>
  <si>
    <t>Contrato anterior 161/2013</t>
  </si>
  <si>
    <t>Contrato anterior 163/2013</t>
  </si>
  <si>
    <t>Há os contratos 162 e 164/2013, que podem ser relacionados a essa obra, porém a identificação do local não bate.</t>
  </si>
  <si>
    <t>Concorrência 042012</t>
  </si>
  <si>
    <t>Aparentemente, atraso na entrega do terreno e na realização da terraplenagem fez com que início efetivo se desse somente em 2014 (1ª medição em Nov/2014). SIMEC: Medições desatualizadas, até Mai/2015, data de entrega e dados dos contratos desatulizados, pois a obra foi concluída somente em 2017).</t>
  </si>
  <si>
    <t>CP 0412, TP 082015</t>
  </si>
  <si>
    <t>(12622000000102) TERCEIRO PLANALTO CONSTRUTORA DE OBRAS LTDA EPP - outro nome: GTA</t>
  </si>
  <si>
    <t>Contrato anterior 562/2012. SIMEC: Medições ausentes. Segundo dados do SIGEF, últimos pagamentos para a empresa ALOM foram em 2016.</t>
  </si>
  <si>
    <t>SIMEC: Desatualizado; já houve nova contratação. Novo contrato: 127/2018</t>
  </si>
  <si>
    <t>SIMEC: Consta apenas uma medição de Jul/2017.</t>
  </si>
  <si>
    <t>SIMEC: Não constam medições de 2018; % reconhecido do FNDE abaixo das medições da prefeitura.</t>
  </si>
  <si>
    <t>SIMEC: Última medição de out/2017, com 83%. Visita à obra em 30/11, estava próxima da conclusão, pouco avanço. Segundo SIGEF, primeiros pagamentos para a MVC em 2014. Último pagamento para a Cont em ago/2017, repasse seguinte do FNDE apenas em abr/2018, evidenciando atrasos.</t>
  </si>
  <si>
    <t>Dispensa 87/2018</t>
  </si>
  <si>
    <t>SIMEC: ausência de dados da licitação; medições somente de 2014 sem indicação de % executado. Segundo SIGEF, primeiros pagamentos para a MVC em 2014.</t>
  </si>
  <si>
    <t>SIMEC: consta nova licitação, porém sem dados de contratação, nem mudança na situação da obra; apenas duas medições sem % executado de 2015. Segundo SIGEF, primeiros pagamentos para a MVC em 2014.</t>
  </si>
  <si>
    <t>SIMEC: Última medição de ago/2017, com 18%. Segundo SIGEF, primeiros pagamentos para a MVC em 2014. Último pagamento para a Cont em ago/2017, repasse seguinte do FNDE apenas em abr/2018, evidenciando atrasos.</t>
  </si>
  <si>
    <t>SIMEC: ausência de dados da licitação; medições de 2014 sem indicação de % executado, início da execução indicado como 2015.</t>
  </si>
  <si>
    <t>SIMEC: Última medição de nov/2017, com 57%. Segundo SIGEF, primeiros pagamentos para a MVC em 2014. Último pagamento para a Cont em ago/2017, repasse seguinte do FNDE apenas em abr/2018, evidenciando atrasos.</t>
  </si>
  <si>
    <t>SIMEC: Última medição de ago/2017, com 22%, apenas 1% de avanço até vistoria do FNDE em junho/2018.</t>
  </si>
  <si>
    <t>SIMEC: Última medição indica 71% (pouca discrepância, apenas faltando última atualização).</t>
  </si>
  <si>
    <t>SIMEC: Última medição indica 83% (pouca discrepância, apenas faltando última atualização).</t>
  </si>
  <si>
    <t>SIMEC: Última medição indica 87%. Não constam dados do aditivo, embora a contratação tenha se estendido e haja uma planilha do 3º aditivo.</t>
  </si>
  <si>
    <t>(05633207000117) SPALLA ENGENHARIA (outro nome: FRANZO)</t>
  </si>
  <si>
    <t>SIMEC: Desatualizado; já houve contratação, obra iniciada e paralisada.</t>
  </si>
  <si>
    <t>SIMEC: Última medição de dez/2017, corresponde ao % executado de 38%.</t>
  </si>
  <si>
    <t>Aditivo alegando atraso na entrega do terreno e finalização da terraplanagem, além da contratação de muro de arrimo por outra empresa. SIMEC: Última medição de nov/2017, com 76%.</t>
  </si>
  <si>
    <t>TP 222014, CP 202017</t>
  </si>
  <si>
    <t>(04516630000174) CERON &amp; VASCONCELOS LTDA (outro nome: Lessio Engenharia)</t>
  </si>
  <si>
    <t>Contrato anterior rescindido. Último pagamento significativo à empresa em 2016.</t>
  </si>
  <si>
    <t>Vários aditivos contratuais, justificativas acusando atrasos nos repasses do FNDE e nos pagamentos, além da contratação de serviços adicionais. SIMEC: data prevista de conclusão não foi atualizada de acordo com aditivos, inconsistências nos percentuais das medições incluídas.</t>
  </si>
  <si>
    <t>SIMEC: 1ª medição de ago/2017 apenas; última medição de abr/2018 indica 20%; data prevista de conclusão 31/12/2018, não há dados de aditivo compatíveis.</t>
  </si>
  <si>
    <t>TP 072015, TP 012017</t>
  </si>
  <si>
    <t>CP 052015</t>
  </si>
  <si>
    <t>SIMEC: Desatualizado, sem aditivos de valor. Última medição indica 41% (pouca discrepância, apenas faltando última atualização). Contrato 422/2016.</t>
  </si>
  <si>
    <t>Concorrência 042015</t>
  </si>
  <si>
    <t>SIMEC: última medição de dez/2016, inconsistente com % executado.</t>
  </si>
  <si>
    <t>CP 1162012, TP 17/2016, CP 022017</t>
  </si>
  <si>
    <t>Obra entregue e inaugurada sem estar concluída. SIMEC: % executado das medições não correspondem ao total. Contratação em 2017 para muro e outra para conclusão.</t>
  </si>
  <si>
    <t>CP 032011, CP 562015, TP 052017</t>
  </si>
  <si>
    <t>SIMEC desatualizado. Contrato anterior 147/2011, 1º pagamento à empresa em abr/2012, até jul/2014. Escola já está em funcionamento desde final de julho/2017, serviços adicionais (cercamento etc.) licitados em junho/2017.</t>
  </si>
  <si>
    <t>(12.953.704/0001-68) MARCO ANTÔNIO FERRARI RAMOS E CIA LTDA</t>
  </si>
  <si>
    <t>(14.574.771/0001-05) ÁREA SUL
CONSTRUÇÃO CIVIL LTDA. EPP</t>
  </si>
  <si>
    <t>Campina da Barra - Jardineira</t>
  </si>
  <si>
    <t>Obra não recebeu repasse, havia um bloqueio pelo FNDE, porém foi iniciada. SIMEC desatualizado, consta homologação da licitação, porém não os dados de contrato. Contrato 04/2017.</t>
  </si>
  <si>
    <t>(27599963000100) LHC CONSTRUCOES EIRELI - ME</t>
  </si>
  <si>
    <t>(11793154000102) ENGEAG ENGENHARIA LTDA EPP</t>
  </si>
  <si>
    <t>CP 06/2016</t>
  </si>
  <si>
    <t>SIMEC desatualizado, não inclui dados de licitação ou contratação. Contrato anterior 79/2016. Empresa nao executou, terreno inadequado requerendo terraplanagem e custo alto adicional. Procurando alternativa para outro projeto. Recursos permanecem em conta. Notícia de que terraplanagem foi iniciada em 14.09.17 e que haverá outra licitação para que obra seja entregue em 2018.</t>
  </si>
  <si>
    <t>SIMEC: última medição de mai/2018 (pouca discrepância).</t>
  </si>
  <si>
    <t>(84989722000100) COMERCIO DE GENEROS ALIMENTICIOS POR DO SOL LTDA (outro nome: JCM Construtora de Obras)</t>
  </si>
  <si>
    <t>SIMEC: última medição de mar/2018, com 42%</t>
  </si>
  <si>
    <t> 2.342.118,21</t>
  </si>
  <si>
    <t>SIMEC: última medição de mar/2018, com 29%</t>
  </si>
  <si>
    <t>Repasse não encontrado no SIGEF. SIMEC sem endereço.</t>
  </si>
  <si>
    <t>SIMEC: Última medição de dez/2017, com 28%.</t>
  </si>
  <si>
    <t>Paralisada desde 2015. SIMEC desatualizado, última medição de mai/2015, vistoria do FNDE de jul/2017 não identificou paralisação, medições sem % executado.</t>
  </si>
  <si>
    <t>SIMEC: Última medição de dez/2017, com 43%.</t>
  </si>
  <si>
    <t>Contrato anterior 160/2013. Obra Cancelada.</t>
  </si>
  <si>
    <t>Há os contratos 162 e 164/2013, que podem ser relacionados a essa obra, porém a identificação do local não bate. Obra cancelada.</t>
  </si>
  <si>
    <t>SIMEC: Obra indicada como paralisada, porém consta como 31/12/18 a data prevista de conclusão. Apenas há dados de contratação anterior. Última medição de dez/2013, e medições não indicam % executado.</t>
  </si>
  <si>
    <t>Acordo de cooperação com construtora MRV para conclusão das obras, fechado em 2017. SIMEC: obra consta como concluída, porém não há nenhuma menção ao acordo com a MRV, apenas dados da contratação antiga.</t>
  </si>
  <si>
    <t>SIMEC: Obra não iniciada, porém não há mais recursos na conta do convênio.</t>
  </si>
  <si>
    <t>SIMEC: Obra não iniciada, porém constam pagamentos à empresa Vinícius Goedert ME de maio a novembro de 2016 na conta do convênio. Não foram encontrados registros de contratos com a empresa referentes a essa obra no site do TCE-SC.</t>
  </si>
  <si>
    <t>SIMEC: Obra indicada como concluída, porém com % executado desatualizado, sem dados de contratações ou medições. Conta corrente do convênio com última movimentação em 2016, porém houve nova contratação e execução do remanescente da obra em 2017 e 2018.</t>
  </si>
  <si>
    <t>Contrato anterior 216/2013. 2° contrato 153/2016. Não é possível saber se foi iniciada pela MVC ou pela GR. SIMEC: Consta nova data prevista de conclusão, sem dados da nova licitação ou do novo contrato; não consta nenhuma medição da contratação anterior.</t>
  </si>
  <si>
    <t>Contrato anterior 211/2013. 2° contrato 153/2016. Não é possível saber se foi iniciada pela MVC ou pela GR. SIMEC: Consta nova data prevista de conclusão, sem dados da nova licitação ou do novo contrato; não consta nenhuma medição da contratação anterior.</t>
  </si>
  <si>
    <t>Contrato anterior 217/2013. Pedido de reformulação. SIMEC: desatualizado, consta não iniciada e 0% executado, porém há uma medição de 2%.</t>
  </si>
  <si>
    <t>SIMEC desatualizado</t>
  </si>
  <si>
    <t>Contrato anterior 214/2013. 2° contrato 153/2016. Não é possível saber se foi iniciada pela MVC ou pela GR. SIMEC: Consta nova data prevista de conclusão, sem dados da nova licitação ou do novo contrato; constam apenas duas medições da contratação anterior, com % executado inconsistente.</t>
  </si>
  <si>
    <t>Contrato anterior 212/2013. 2° contrato 153/2016. Não é possível saber se foi iniciada pela MVC ou pela GR. SIMEC: Consta nova data prevista de conclusão, sem dados da nova licitação ou do novo contrato; não consta nenhuma medição da contratação anterior.</t>
  </si>
  <si>
    <t>Contrato anterior 213/2013. Pedido de reformulação. SIMEC: desatualizado, consta não iniciada e 0% executado, porém há uma medição de 2%.</t>
  </si>
  <si>
    <t>Contrato anterior 210/2013. 2° contrato 153/2016. Não é possível saber se foi iniciada pela MVC ou pela GR. SIMEC: Consta nova data prevista de conclusão, sem dados da nova licitação ou do novo contrato; constam apenas duas medições da contratação anterior, com % executado inconsistente.</t>
  </si>
  <si>
    <t>Contrato anterior 222/2013. Pedido de reformulação. SIMEC: Não constam dados da licitação, apenas do contrato com a MVC e das medições, que são consistentes com o % total medido; situação como "em reformulação", porém obra está paralisada.</t>
  </si>
  <si>
    <t>Contrato anterior 215/2013. 2º contrato 252/2016. Não é possível saber se foi iniciada pela MVC ou pela Bandeira e Silva. SIMEC: Desatualizado, consta movimentação na conta, porém nem essa nem as outras obras têm situação em andamento.</t>
  </si>
  <si>
    <t>Saldo da conta 07/2018</t>
  </si>
  <si>
    <t>Contrato anterior 218 ou 219/2013. 2º contrato 252/2016. Não é possível saber se foi iniciada pela MVC ou pela Bandeira e Silva. SIMEC desatualizado, obra já em andamento, não consta licitação nem contratação.</t>
  </si>
  <si>
    <t>Contrato anterior 223/2013. Pedido de reformulação. SIMEC desatualizado, consta medição da MVC, porém nenhum dado de licitação ou contratação.</t>
  </si>
  <si>
    <t>Contrato anterior 220/2013. Pedido de reformulação. SIMEC desatualizado, obra paralisada. Consta medição da MVC (consistente com total executado), porém nenhum dado de licitação ou contratação, e data desatualizada de conclusão.</t>
  </si>
  <si>
    <t>CP 26/2012</t>
  </si>
  <si>
    <t>Inconsistência no Simec</t>
  </si>
  <si>
    <t>Contrato anterior não encontrado. Obra não iniciada. Há recursos na conta, porém houve movimentação de débitos desde 03/2013 até esgotamento dos recursos e entrada expressiva em 02/17, porém sem registro de repasse do FNDE. SIMEC desatualizado, consta ainda data de entrega de 2014.</t>
  </si>
  <si>
    <t>Valor final28</t>
  </si>
  <si>
    <t>Valor final29</t>
  </si>
  <si>
    <t>Valor final30</t>
  </si>
  <si>
    <t>Valor final31</t>
  </si>
  <si>
    <t>Valor final32</t>
  </si>
  <si>
    <t>Valor final33</t>
  </si>
  <si>
    <t>Valor final34</t>
  </si>
  <si>
    <t>Valor final35</t>
  </si>
  <si>
    <t>Contratos anteriores: 110/2014; 107/2016. Nova licitação já concluída, porém suspensa pelo TCU em jun/2018. SIMEC desatualizado, tem dados da primeira licitação, porém sem dados de contratação.</t>
  </si>
  <si>
    <t>Contrato anterior 111/2014. SIMEC desatualizado, consta homologação da licitação, porém não os dados de contrato. Contrato 105/2016.</t>
  </si>
  <si>
    <t>CP 182016</t>
  </si>
  <si>
    <t>Inex 56/2014. CP 112016. CP 172017 - suspensa.</t>
  </si>
  <si>
    <t>Inex 57/2014. CP 112016.</t>
  </si>
  <si>
    <t>Inex 55/2014. CP 112016. CP 162017 - suspensa.</t>
  </si>
  <si>
    <t>Contratos anteriores: 109/2014; 106/2016, rescindido em jun/2017. Nova licitação já concluída, porém suspensa pelo TCU em jun/2018. SIMEC desatualizado.</t>
  </si>
  <si>
    <t>Contrato anterior 53/2014. SIMEC desatualizado, consta homologação da licitação, porém não os dados de contrato. Contrato 03/2017. Problemas com a posse do terreno.</t>
  </si>
  <si>
    <t>Inex 21/2014. CP 182016</t>
  </si>
  <si>
    <t>Contratos anteriores: 52/2014; 104/2016, rescindido em jun/2017. Nova licitação já concluída, porém suspensa pelo TCU em jun/2018. SIMEC desatualizado, consta homologação da licitação, porém não os dados de contrato.</t>
  </si>
  <si>
    <t>Inex 20/2014. CP 112016. CP 182017 - suspensa.</t>
  </si>
  <si>
    <t>Inex 19/2014. CP 182016</t>
  </si>
  <si>
    <t>Contrato anterior: 51/2014. SIMEC desatualizado, consta homologação da licitação, porém não os dados de contrato. Contrato 05/2017.</t>
  </si>
  <si>
    <t>CP 35/2012</t>
  </si>
  <si>
    <t>Contrato não encontrado no TCE-PR. SIMEC: consta dado de contrato não mais atual, situação indica "em planejamento".</t>
  </si>
  <si>
    <t>Contrato não encontrado no TCE-PR. SIMEC: consta dado de contrato não mais atual, situação indica "em planejamento"; consta data de conclusão em abril de 2014, porém sem aditivo correspondente ao contrato.</t>
  </si>
  <si>
    <t>CP 25/2012</t>
  </si>
  <si>
    <t>Contrato não encontrado no TCE-PR. SIMEC: constam dados de contrato, porém nenhuma informação sobre a evolução da obra. Como há dados de contratação, deduz-se que houve rescisão ou abandono.</t>
  </si>
  <si>
    <t>Consta em cópia da homologação da licitação disponível no SIMEC. Contrato não encontrado no TCE-PR. Como essa obra foi licitada, deduz-se que houve rescisão ou abandono.</t>
  </si>
  <si>
    <t>SIMEC: Consta data de conclusão prevista para dez/2018, porém a contratação registrada é a antiga e a situação ainda consta como paralisada. Há recursos na conta, porém houve movimentação de débitos desde 03/2013 até esgotamento dos recursos e entrada expressiva em 02/17, porém sem registro de repasse do FNDE.</t>
  </si>
  <si>
    <t>(11550466000187) ESPINDOLA CONSTRUTORA LTDA</t>
  </si>
  <si>
    <t>(05495827000137) LUFAB COMERCIO E REPRESENTACOES LTDA (nome anterior: K A J Materiais de construção)</t>
  </si>
  <si>
    <t>SIMEC: Data de entrega inconsistente com dados do contrato; % das medições inconsistente com total indicado. Conta não encontrada. Movimentação da conta mostra débitos progressivos entre 2011 e 2012, sugerindo que execução anterior tenha ocorrido nessa época.</t>
  </si>
  <si>
    <t>Contrato 175/2016. Conta não encontrada. Movimentação da conta mostra débitos progressivos entre 2012 e 2013, sugerindo que execução anterior tenha ocorrido nessa época. SIMEC: % das medições inconsistente com o total informado.</t>
  </si>
  <si>
    <t>Consta no SIMEC data de licitação, porém sem dados ou informações de contrato. Movimentação da conta não apresenta débitos, portanto as obras não devem ter sido iniciadas.</t>
  </si>
  <si>
    <t>Metodologia inovadora iniciada, distrato e processo judicial contra a empresa. Última medição em 2014. SIMEC agora indica nova licitação (16/07/18)</t>
  </si>
  <si>
    <t>Dados atualizados entre 02/07/18 e 16/07/18</t>
  </si>
  <si>
    <t>Reformulação para metodologia convencional. Prefeitura disse que a obra foi cancelada.</t>
  </si>
  <si>
    <t>Metodologia inovadora iniciada, distrato e processo judicial contra a empresa. Última medição em 2014. SIMEC: não constam dados da contratação anterior, agora aparece como em reformulação.</t>
  </si>
  <si>
    <t>Construção (obra de quadra)</t>
  </si>
  <si>
    <t>SIMEC: Última medição indica 69% (pouca discrepância, apenas faltando última atualização). Documentos de análise de solo indicam Casaalta como cliente, sugerindo que houve contrato anterior. Não foi encontrado contrato anterior.</t>
  </si>
  <si>
    <t>Há indicação de saldo na conta nos meses anteriores, e saldo zero agora (16/07/18). Dados do SIGEF indicam conta com repasse de R$ 2 mi em 2011.</t>
  </si>
  <si>
    <t>SIMEC: dados de saldo da conta inconsistentes (aparente ter sido inserido errado como zero em alguns meses).</t>
  </si>
  <si>
    <t>ID alterado para 1067788. Aparentemente ficou paralisada desde fim de 2015. SIMEC: Última medição indica 94%; não consta contratação anterior.</t>
  </si>
  <si>
    <t>(novo contrato firmado em 11/07/18)</t>
  </si>
  <si>
    <t>Contrato rescindido em abr/2018. SIMEC não contém mais os dados da contratação original, somente como contrato anterior.</t>
  </si>
  <si>
    <t>SIMEC: Última medição de jan/2018 com 27%.</t>
  </si>
  <si>
    <t>CP 02/2018</t>
  </si>
  <si>
    <t>TP 04/2018</t>
  </si>
  <si>
    <t>SIMEC: Medições e dados correspondem à situação.</t>
  </si>
  <si>
    <t>Total Geral</t>
  </si>
  <si>
    <t>Contagem de Houve abandono por empresa contratada?</t>
  </si>
  <si>
    <t>dif</t>
  </si>
  <si>
    <t>dif tempo</t>
  </si>
  <si>
    <t>(Em andamento)</t>
  </si>
  <si>
    <t>(Paralisada)</t>
  </si>
  <si>
    <t>Divergência2</t>
  </si>
  <si>
    <t>Houve rescisão contratual?</t>
  </si>
  <si>
    <t>SIMEC: Somente uma medição, de set/2017. Contrato anterior: 8815/2015, rescindido em jul/2016. Contrato atual: 562/2017, ou 50/2017.</t>
  </si>
  <si>
    <t>Valor já pago</t>
  </si>
  <si>
    <t>Terreno irregular</t>
  </si>
  <si>
    <t>MI</t>
  </si>
  <si>
    <t>TC reformulado em 2016</t>
  </si>
  <si>
    <t>TC reformulado em 2015</t>
  </si>
  <si>
    <t>TC 2a reformulação de 2016</t>
  </si>
  <si>
    <t>TC</t>
  </si>
  <si>
    <t>TC reformulado em 2018</t>
  </si>
  <si>
    <t>TC reformulado em 2017</t>
  </si>
  <si>
    <t>(Leer)</t>
  </si>
  <si>
    <t>formel</t>
  </si>
  <si>
    <t>Soma saldo não iniciada</t>
  </si>
  <si>
    <t>Soma saldo paralisada</t>
  </si>
  <si>
    <t>Soma saldo não iniciada pendência terreno</t>
  </si>
  <si>
    <t>formel2</t>
  </si>
  <si>
    <t>Saldo dividido</t>
  </si>
  <si>
    <t>Todas - Anexo III</t>
  </si>
  <si>
    <t>Situação Junho/2017</t>
  </si>
  <si>
    <t>CAPELA VELHA</t>
  </si>
  <si>
    <t>AVELINO PIACENTINI</t>
  </si>
  <si>
    <t>700302 - EE Infantil - Canaã II</t>
  </si>
  <si>
    <t>710390 - E Educ Infantil C- Jd. Palmeiras II</t>
  </si>
  <si>
    <t>710390 - E Educ Infantil Tipo B - Mansour</t>
  </si>
  <si>
    <t>710390 - E Educ Infantil B - Jardim Botânico</t>
  </si>
  <si>
    <t>710390 - E Educ Infantil Tipo C - Pacaembu</t>
  </si>
  <si>
    <t>710390 - E Educ Infantil C - Jd. Sucupira</t>
  </si>
  <si>
    <t>710390 - E Educ Infantil Tipo B - Planalto</t>
  </si>
  <si>
    <t>710390 - E Educ Infantil Tipo C - Morumbi</t>
  </si>
  <si>
    <t>710390 - E Educ Infantil Tipo C - Jd. Europa</t>
  </si>
  <si>
    <t>Creche Municipal JARDIM OÁSIS</t>
  </si>
  <si>
    <t>657111 - Esc. Educ. Infantil - Tipo B</t>
  </si>
  <si>
    <t>704173 - Esc. Educ. Infantil - Tipo C - Proinfância - Construção</t>
  </si>
  <si>
    <t>700195/11 - EE Infantil - Vila Romana</t>
  </si>
  <si>
    <t>700195/11 - EE Infantil - Vila Cristina</t>
  </si>
  <si>
    <t>700195/11 - EE Infantil - 31 de Março</t>
  </si>
  <si>
    <t>Vasco Pires</t>
  </si>
  <si>
    <t>DIVINÉIA</t>
  </si>
  <si>
    <t>Escola Zumbi dos Palmares</t>
  </si>
  <si>
    <t>JD MONACO</t>
  </si>
  <si>
    <t>Escola Integral Conjunto Águas Claras</t>
  </si>
  <si>
    <t>703277 - Esc. Educ. Infantil - Tipo B - Proinfância - Construção</t>
  </si>
  <si>
    <t>E.M.E.I. PARQUE FLORIDO</t>
  </si>
  <si>
    <t>E.M.E.I. ALTAVILLE</t>
  </si>
  <si>
    <t>Creche Res. Alto dos Laranjais</t>
  </si>
  <si>
    <t>700068/11 - Escola de Educação Infantil</t>
  </si>
  <si>
    <t>Área Institucional Loteamento Igaraty</t>
  </si>
  <si>
    <t>Zeilenbeschriftungen</t>
  </si>
  <si>
    <t>Summe von Total repassado</t>
  </si>
  <si>
    <t>1067788 (1001904)</t>
  </si>
  <si>
    <t>atrasadas</t>
  </si>
  <si>
    <t>em execução</t>
  </si>
  <si>
    <t>não iniciadas</t>
  </si>
  <si>
    <t>paralisadas</t>
  </si>
  <si>
    <t>total das obras não entregues</t>
  </si>
  <si>
    <t>Valor pago (corrente, ago2018)</t>
  </si>
  <si>
    <t>Valor pago dividido</t>
  </si>
  <si>
    <t>Soma repasses não iniciadas</t>
  </si>
  <si>
    <t>Soma repasses paralisadas</t>
  </si>
  <si>
    <t>Soma repasses não iniciadas com pendência de terreno</t>
  </si>
  <si>
    <t>Total repassado (valores correntes de agosto/2018)</t>
  </si>
  <si>
    <t>Valores divididos pelo número de obras dos convênios (incluindo outras já concluídas)</t>
  </si>
  <si>
    <t>% Executado933</t>
  </si>
  <si>
    <t>Data Prevista de Conclusão1044</t>
  </si>
  <si>
    <t>Situação3</t>
  </si>
  <si>
    <t>SIMEC - Nov/2018</t>
  </si>
  <si>
    <t>99.99</t>
  </si>
  <si>
    <t>99.50</t>
  </si>
  <si>
    <t>56.40</t>
  </si>
  <si>
    <t>50.01</t>
  </si>
  <si>
    <t>56.94</t>
  </si>
  <si>
    <t>93.61</t>
  </si>
  <si>
    <t>86.76</t>
  </si>
  <si>
    <t>44.44</t>
  </si>
  <si>
    <t>96.01</t>
  </si>
  <si>
    <t>53.47</t>
  </si>
  <si>
    <t>52.42</t>
  </si>
  <si>
    <t>47.63</t>
  </si>
  <si>
    <t>75.74</t>
  </si>
  <si>
    <t>30.66</t>
  </si>
  <si>
    <t>93.04</t>
  </si>
  <si>
    <t>85.18</t>
  </si>
  <si>
    <t>92.82</t>
  </si>
  <si>
    <t>99.53</t>
  </si>
  <si>
    <t>97.92</t>
  </si>
  <si>
    <t>81.43</t>
  </si>
  <si>
    <t>43.40</t>
  </si>
  <si>
    <t>99.43</t>
  </si>
  <si>
    <t>80.65</t>
  </si>
  <si>
    <t>97.29</t>
  </si>
  <si>
    <t>45.04</t>
  </si>
  <si>
    <t>96.98</t>
  </si>
  <si>
    <t>Info OS</t>
  </si>
  <si>
    <t>Cancelamento de obras</t>
  </si>
  <si>
    <t>Simec - jul18</t>
  </si>
  <si>
    <t>Prefeituras/OS - abr18</t>
  </si>
  <si>
    <t>Simec - nov18</t>
  </si>
  <si>
    <t>Situação4</t>
  </si>
  <si>
    <t>Situação5</t>
  </si>
  <si>
    <t>Sem informação</t>
  </si>
  <si>
    <t>Não iniciada (L)</t>
  </si>
  <si>
    <t>Contagem de Info OS</t>
  </si>
  <si>
    <t>Concluídas</t>
  </si>
  <si>
    <t>Status atual</t>
  </si>
  <si>
    <t>Documento</t>
  </si>
  <si>
    <t>Contrato</t>
  </si>
  <si>
    <t>1º Aditivo</t>
  </si>
  <si>
    <t>2º Aditivo</t>
  </si>
  <si>
    <t>3º Aditivo</t>
  </si>
  <si>
    <t>Data de assinatura</t>
  </si>
  <si>
    <t>Início da vigência</t>
  </si>
  <si>
    <t>Fim da vigência</t>
  </si>
  <si>
    <t>Alteração</t>
  </si>
  <si>
    <t>Prorrogação retroativa por 180 dias</t>
  </si>
  <si>
    <t>Prorrogação retroativa por 815 dias</t>
  </si>
  <si>
    <t>Prorrogação por 210 dias e aditivo de valor equivalente a 22,96% do valor do contrato</t>
  </si>
  <si>
    <t>4º Aditivo</t>
  </si>
  <si>
    <t>5º Aditivo</t>
  </si>
  <si>
    <t>6º Aditivo</t>
  </si>
  <si>
    <t>7º Aditivo</t>
  </si>
  <si>
    <t>8º Aditivo</t>
  </si>
  <si>
    <t>Aditivo de valor equivalente a 20,31% do valor contratado para a execução da Creche Lot. Miriam II</t>
  </si>
  <si>
    <t>Aditivo de valor equivalente a 24,9% do valor contratado para a execução da Creche Alaor Silveira e 24,29% para a Creche Jardim Coqueiros</t>
  </si>
  <si>
    <t>Anzahl von Termo convênio</t>
  </si>
  <si>
    <t>Pedidos LAI - Mar-Abr/2019</t>
  </si>
  <si>
    <t>% Executado2</t>
  </si>
  <si>
    <t>Data Prevista de Conclusão2 mm/dd/aaaa</t>
  </si>
  <si>
    <t>54.53</t>
  </si>
  <si>
    <t>64.20</t>
  </si>
  <si>
    <t>36.57</t>
  </si>
  <si>
    <t>06/13/2019</t>
  </si>
  <si>
    <t>10.00</t>
  </si>
  <si>
    <t>6/21/2018</t>
  </si>
  <si>
    <t>59.12</t>
  </si>
  <si>
    <t>50.77</t>
  </si>
  <si>
    <t>10/17/2018</t>
  </si>
  <si>
    <t>30.59</t>
  </si>
  <si>
    <t>39.10</t>
  </si>
  <si>
    <t>7/31/2019</t>
  </si>
  <si>
    <t>51.89</t>
  </si>
  <si>
    <t>12/20/2019</t>
  </si>
  <si>
    <t>04/26/2019</t>
  </si>
  <si>
    <t>12/20/2018</t>
  </si>
  <si>
    <t>9.90</t>
  </si>
  <si>
    <t>5/31/2019</t>
  </si>
  <si>
    <t>87.88</t>
  </si>
  <si>
    <t>8/21/2017</t>
  </si>
  <si>
    <t>10.81</t>
  </si>
  <si>
    <t>10.80</t>
  </si>
  <si>
    <t>90.24</t>
  </si>
  <si>
    <t>47.62</t>
  </si>
  <si>
    <t>35.91</t>
  </si>
  <si>
    <t>90.30</t>
  </si>
  <si>
    <t>05/30/2018</t>
  </si>
  <si>
    <t>80.51</t>
  </si>
  <si>
    <t>04/30/2019</t>
  </si>
  <si>
    <t>4.91</t>
  </si>
  <si>
    <t>01/30/2021</t>
  </si>
  <si>
    <t>8.68</t>
  </si>
  <si>
    <t>7.24</t>
  </si>
  <si>
    <t>04/26/2020</t>
  </si>
  <si>
    <t>12.16</t>
  </si>
  <si>
    <t>27.78</t>
  </si>
  <si>
    <t>52.72</t>
  </si>
  <si>
    <t>12/15/2018</t>
  </si>
  <si>
    <t>10/16/2018</t>
  </si>
  <si>
    <t>12/18/2018</t>
  </si>
  <si>
    <t>Situação22</t>
  </si>
  <si>
    <t>T1</t>
  </si>
  <si>
    <t>obras</t>
  </si>
  <si>
    <t>meses</t>
  </si>
  <si>
    <t>T2</t>
  </si>
</sst>
</file>

<file path=xl/styles.xml><?xml version="1.0" encoding="utf-8"?>
<styleSheet xmlns="http://schemas.openxmlformats.org/spreadsheetml/2006/main">
  <numFmts count="6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dd/mm/yy;@"/>
    <numFmt numFmtId="167" formatCode="0.0"/>
    <numFmt numFmtId="168" formatCode="_-[$R$-416]\ * #,##0.00_-;\-[$R$-416]\ * #,##0.00_-;_-[$R$-416]\ * &quot;-&quot;??_-;_-@_-"/>
    <numFmt numFmtId="169" formatCode="0.0%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5" tint="0.79998168889431442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/>
      </top>
      <bottom style="medium">
        <color indexed="64"/>
      </bottom>
      <diagonal/>
    </border>
    <border>
      <left style="thin">
        <color indexed="64"/>
      </left>
      <right/>
      <top style="thin">
        <color theme="9"/>
      </top>
      <bottom style="medium">
        <color indexed="64"/>
      </bottom>
      <diagonal/>
    </border>
  </borders>
  <cellStyleXfs count="13">
    <xf numFmtId="0" fontId="0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164" fontId="9" fillId="0" borderId="0" applyFont="0" applyFill="0" applyBorder="0" applyAlignment="0" applyProtection="0"/>
    <xf numFmtId="0" fontId="11" fillId="6" borderId="0" applyNumberFormat="0" applyBorder="0" applyAlignment="0" applyProtection="0"/>
    <xf numFmtId="0" fontId="10" fillId="0" borderId="0" applyNumberFormat="0" applyFill="0" applyBorder="0" applyAlignment="0" applyProtection="0"/>
    <xf numFmtId="165" fontId="9" fillId="0" borderId="0" applyFont="0" applyFill="0" applyBorder="0" applyAlignment="0" applyProtection="0"/>
  </cellStyleXfs>
  <cellXfs count="224">
    <xf numFmtId="0" fontId="0" fillId="0" borderId="0" xfId="0"/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" fontId="0" fillId="0" borderId="0" xfId="0" applyNumberFormat="1" applyAlignment="1">
      <alignment horizontal="center" vertical="center"/>
    </xf>
    <xf numFmtId="14" fontId="0" fillId="0" borderId="2" xfId="0" applyNumberForma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17" fontId="0" fillId="0" borderId="2" xfId="0" applyNumberFormat="1" applyBorder="1" applyAlignment="1">
      <alignment horizontal="center" vertical="top"/>
    </xf>
    <xf numFmtId="0" fontId="3" fillId="0" borderId="0" xfId="0" applyFont="1" applyAlignment="1"/>
    <xf numFmtId="0" fontId="0" fillId="0" borderId="0" xfId="0" applyAlignment="1"/>
    <xf numFmtId="0" fontId="4" fillId="2" borderId="0" xfId="0" applyFont="1" applyFill="1" applyAlignment="1"/>
    <xf numFmtId="0" fontId="3" fillId="0" borderId="0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3" fillId="0" borderId="6" xfId="0" applyFont="1" applyBorder="1"/>
    <xf numFmtId="0" fontId="3" fillId="0" borderId="0" xfId="0" applyFont="1" applyBorder="1"/>
    <xf numFmtId="0" fontId="3" fillId="5" borderId="7" xfId="0" applyFont="1" applyFill="1" applyBorder="1"/>
    <xf numFmtId="0" fontId="0" fillId="0" borderId="0" xfId="0" applyNumberFormat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7" xfId="0" applyNumberFormat="1" applyFont="1" applyFill="1" applyBorder="1" applyAlignment="1">
      <alignment horizontal="center"/>
    </xf>
    <xf numFmtId="0" fontId="8" fillId="5" borderId="6" xfId="0" applyFont="1" applyFill="1" applyBorder="1"/>
    <xf numFmtId="0" fontId="8" fillId="5" borderId="6" xfId="0" applyFont="1" applyFill="1" applyBorder="1" applyAlignment="1">
      <alignment horizontal="center"/>
    </xf>
    <xf numFmtId="0" fontId="3" fillId="0" borderId="0" xfId="0" applyFont="1"/>
    <xf numFmtId="0" fontId="8" fillId="5" borderId="8" xfId="0" applyFont="1" applyFill="1" applyBorder="1" applyAlignment="1">
      <alignment horizontal="center"/>
    </xf>
    <xf numFmtId="0" fontId="3" fillId="5" borderId="6" xfId="0" applyFont="1" applyFill="1" applyBorder="1"/>
    <xf numFmtId="0" fontId="3" fillId="5" borderId="7" xfId="0" applyNumberFormat="1" applyFont="1" applyFill="1" applyBorder="1"/>
    <xf numFmtId="9" fontId="0" fillId="0" borderId="0" xfId="2" applyFont="1"/>
    <xf numFmtId="14" fontId="0" fillId="0" borderId="1" xfId="0" applyNumberFormat="1" applyBorder="1" applyAlignment="1">
      <alignment horizontal="center" vertical="top"/>
    </xf>
    <xf numFmtId="0" fontId="4" fillId="0" borderId="0" xfId="0" applyFont="1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0" fillId="0" borderId="0" xfId="0" applyAlignment="1">
      <alignment horizontal="left"/>
    </xf>
    <xf numFmtId="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4" borderId="0" xfId="0" applyFill="1"/>
    <xf numFmtId="0" fontId="5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4" fontId="5" fillId="0" borderId="2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vertical="top"/>
    </xf>
    <xf numFmtId="0" fontId="1" fillId="13" borderId="9" xfId="0" applyFont="1" applyFill="1" applyBorder="1"/>
    <xf numFmtId="0" fontId="1" fillId="13" borderId="10" xfId="0" applyFont="1" applyFill="1" applyBorder="1"/>
    <xf numFmtId="0" fontId="1" fillId="13" borderId="11" xfId="0" applyFont="1" applyFill="1" applyBorder="1"/>
    <xf numFmtId="0" fontId="0" fillId="0" borderId="9" xfId="0" applyFont="1" applyBorder="1"/>
    <xf numFmtId="0" fontId="0" fillId="0" borderId="10" xfId="0" applyFont="1" applyBorder="1"/>
    <xf numFmtId="14" fontId="0" fillId="0" borderId="10" xfId="0" applyNumberFormat="1" applyFont="1" applyBorder="1"/>
    <xf numFmtId="22" fontId="0" fillId="0" borderId="10" xfId="0" applyNumberFormat="1" applyFont="1" applyBorder="1"/>
    <xf numFmtId="3" fontId="0" fillId="0" borderId="10" xfId="0" applyNumberFormat="1" applyFont="1" applyBorder="1"/>
    <xf numFmtId="0" fontId="0" fillId="0" borderId="11" xfId="0" applyFont="1" applyBorder="1"/>
    <xf numFmtId="16" fontId="0" fillId="0" borderId="10" xfId="0" quotePrefix="1" applyNumberFormat="1" applyBorder="1"/>
    <xf numFmtId="17" fontId="0" fillId="0" borderId="10" xfId="0" quotePrefix="1" applyNumberFormat="1" applyBorder="1"/>
    <xf numFmtId="166" fontId="5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1" fillId="14" borderId="10" xfId="0" applyFont="1" applyFill="1" applyBorder="1"/>
    <xf numFmtId="0" fontId="0" fillId="2" borderId="10" xfId="0" applyFill="1" applyBorder="1"/>
    <xf numFmtId="0" fontId="0" fillId="2" borderId="10" xfId="0" applyFont="1" applyFill="1" applyBorder="1"/>
    <xf numFmtId="0" fontId="5" fillId="0" borderId="1" xfId="0" applyFont="1" applyBorder="1" applyAlignment="1">
      <alignment horizontal="center" vertical="top"/>
    </xf>
    <xf numFmtId="1" fontId="5" fillId="0" borderId="0" xfId="1" applyNumberFormat="1" applyFont="1" applyBorder="1" applyAlignment="1">
      <alignment horizontal="center" vertical="top"/>
    </xf>
    <xf numFmtId="1" fontId="5" fillId="0" borderId="12" xfId="1" applyNumberFormat="1" applyFont="1" applyBorder="1" applyAlignment="1">
      <alignment horizontal="center" vertical="top"/>
    </xf>
    <xf numFmtId="1" fontId="5" fillId="0" borderId="2" xfId="1" applyNumberFormat="1" applyFont="1" applyBorder="1" applyAlignment="1">
      <alignment horizontal="center" vertical="top"/>
    </xf>
    <xf numFmtId="10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 vertical="top"/>
    </xf>
    <xf numFmtId="17" fontId="5" fillId="0" borderId="0" xfId="0" applyNumberFormat="1" applyFont="1" applyAlignment="1">
      <alignment horizontal="center" vertical="top"/>
    </xf>
    <xf numFmtId="10" fontId="5" fillId="0" borderId="0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0" fontId="1" fillId="1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0" fillId="0" borderId="0" xfId="0" pivotButton="1" applyAlignment="1"/>
    <xf numFmtId="166" fontId="5" fillId="15" borderId="1" xfId="0" applyNumberFormat="1" applyFont="1" applyFill="1" applyBorder="1" applyAlignment="1">
      <alignment horizontal="center" vertical="top"/>
    </xf>
    <xf numFmtId="10" fontId="0" fillId="0" borderId="0" xfId="0" applyNumberFormat="1" applyAlignment="1">
      <alignment horizontal="center" vertical="top"/>
    </xf>
    <xf numFmtId="14" fontId="0" fillId="15" borderId="1" xfId="0" applyNumberFormat="1" applyFill="1" applyBorder="1" applyAlignment="1">
      <alignment horizontal="center" vertical="top"/>
    </xf>
    <xf numFmtId="0" fontId="0" fillId="15" borderId="0" xfId="0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16" borderId="0" xfId="0" applyFill="1" applyAlignment="1"/>
    <xf numFmtId="0" fontId="0" fillId="16" borderId="0" xfId="0" applyFill="1"/>
    <xf numFmtId="4" fontId="0" fillId="16" borderId="0" xfId="0" applyNumberForma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6" borderId="0" xfId="0" applyFill="1" applyAlignment="1">
      <alignment horizontal="left"/>
    </xf>
    <xf numFmtId="0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4" fontId="0" fillId="16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17" borderId="10" xfId="0" applyFont="1" applyFill="1" applyBorder="1"/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68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vertical="top"/>
    </xf>
    <xf numFmtId="168" fontId="2" fillId="0" borderId="0" xfId="1" applyNumberFormat="1" applyFont="1" applyAlignment="1">
      <alignment vertical="top"/>
    </xf>
    <xf numFmtId="168" fontId="9" fillId="0" borderId="0" xfId="1" applyNumberFormat="1" applyFont="1" applyAlignment="1">
      <alignment horizontal="center" vertical="center"/>
    </xf>
    <xf numFmtId="168" fontId="9" fillId="0" borderId="0" xfId="1" applyNumberFormat="1" applyFont="1" applyAlignment="1">
      <alignment vertical="top"/>
    </xf>
    <xf numFmtId="168" fontId="9" fillId="0" borderId="0" xfId="1" applyNumberFormat="1" applyFont="1" applyAlignment="1">
      <alignment horizontal="center" vertical="top"/>
    </xf>
    <xf numFmtId="0" fontId="1" fillId="13" borderId="1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0" fontId="0" fillId="16" borderId="0" xfId="0" applyFill="1" applyAlignment="1">
      <alignment vertical="top"/>
    </xf>
    <xf numFmtId="0" fontId="2" fillId="0" borderId="0" xfId="0" applyFont="1" applyAlignment="1">
      <alignment horizont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0" xfId="0" applyFont="1" applyFill="1" applyBorder="1" applyAlignment="1">
      <alignment horizontal="center"/>
    </xf>
    <xf numFmtId="14" fontId="0" fillId="3" borderId="10" xfId="0" applyNumberFormat="1" applyFont="1" applyFill="1" applyBorder="1"/>
    <xf numFmtId="22" fontId="0" fillId="3" borderId="10" xfId="0" applyNumberFormat="1" applyFont="1" applyFill="1" applyBorder="1"/>
    <xf numFmtId="3" fontId="0" fillId="3" borderId="10" xfId="0" applyNumberFormat="1" applyFont="1" applyFill="1" applyBorder="1"/>
    <xf numFmtId="0" fontId="0" fillId="3" borderId="11" xfId="0" applyFont="1" applyFill="1" applyBorder="1"/>
    <xf numFmtId="0" fontId="0" fillId="3" borderId="0" xfId="0" applyFill="1"/>
    <xf numFmtId="9" fontId="0" fillId="0" borderId="0" xfId="2" applyFont="1" applyAlignment="1">
      <alignment horizontal="center"/>
    </xf>
    <xf numFmtId="14" fontId="0" fillId="0" borderId="1" xfId="0" applyNumberFormat="1" applyFill="1" applyBorder="1" applyAlignment="1">
      <alignment horizontal="center" vertical="top"/>
    </xf>
    <xf numFmtId="1" fontId="5" fillId="0" borderId="1" xfId="0" applyNumberFormat="1" applyFont="1" applyBorder="1" applyAlignment="1">
      <alignment horizontal="center" vertical="top"/>
    </xf>
    <xf numFmtId="1" fontId="5" fillId="0" borderId="0" xfId="0" applyNumberFormat="1" applyFont="1" applyBorder="1" applyAlignment="1">
      <alignment horizontal="center" vertical="top"/>
    </xf>
    <xf numFmtId="165" fontId="0" fillId="0" borderId="10" xfId="1" applyFont="1" applyBorder="1"/>
    <xf numFmtId="165" fontId="0" fillId="3" borderId="10" xfId="1" applyFont="1" applyFill="1" applyBorder="1"/>
    <xf numFmtId="165" fontId="0" fillId="0" borderId="0" xfId="1" applyFont="1" applyAlignment="1">
      <alignment horizontal="center" vertical="center"/>
    </xf>
    <xf numFmtId="165" fontId="0" fillId="0" borderId="0" xfId="1" applyFont="1"/>
    <xf numFmtId="165" fontId="0" fillId="0" borderId="0" xfId="0" applyNumberFormat="1"/>
    <xf numFmtId="0" fontId="9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168" fontId="3" fillId="0" borderId="0" xfId="0" applyNumberFormat="1" applyFont="1" applyAlignment="1"/>
    <xf numFmtId="0" fontId="0" fillId="0" borderId="0" xfId="1" applyNumberFormat="1" applyFont="1" applyBorder="1" applyAlignment="1">
      <alignment horizontal="center" vertical="center"/>
    </xf>
    <xf numFmtId="0" fontId="14" fillId="0" borderId="14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0" fillId="0" borderId="10" xfId="0" applyFill="1" applyBorder="1"/>
    <xf numFmtId="0" fontId="0" fillId="0" borderId="10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0" fillId="0" borderId="0" xfId="0" applyFont="1" applyFill="1" applyAlignment="1">
      <alignment vertical="top"/>
    </xf>
    <xf numFmtId="0" fontId="5" fillId="0" borderId="1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vertical="top"/>
    </xf>
    <xf numFmtId="0" fontId="5" fillId="0" borderId="13" xfId="0" applyFont="1" applyFill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top"/>
    </xf>
    <xf numFmtId="0" fontId="0" fillId="0" borderId="0" xfId="0" applyFont="1" applyFill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left" vertical="center"/>
    </xf>
    <xf numFmtId="168" fontId="2" fillId="0" borderId="0" xfId="1" applyNumberFormat="1" applyFont="1" applyAlignment="1">
      <alignment horizontal="center" vertical="center"/>
    </xf>
    <xf numFmtId="168" fontId="9" fillId="4" borderId="0" xfId="1" applyNumberFormat="1" applyFont="1" applyFill="1" applyAlignment="1">
      <alignment horizontal="center" vertical="center"/>
    </xf>
    <xf numFmtId="168" fontId="0" fillId="0" borderId="0" xfId="1" applyNumberFormat="1" applyFont="1" applyBorder="1" applyAlignment="1">
      <alignment horizontal="left" vertical="center"/>
    </xf>
    <xf numFmtId="14" fontId="5" fillId="0" borderId="0" xfId="1" applyNumberFormat="1" applyFont="1" applyBorder="1" applyAlignment="1">
      <alignment horizontal="center" vertical="top"/>
    </xf>
    <xf numFmtId="2" fontId="5" fillId="0" borderId="0" xfId="1" applyNumberFormat="1" applyFont="1" applyBorder="1" applyAlignment="1">
      <alignment horizontal="center" vertical="top"/>
    </xf>
    <xf numFmtId="0" fontId="3" fillId="0" borderId="18" xfId="0" applyFont="1" applyBorder="1"/>
    <xf numFmtId="0" fontId="0" fillId="0" borderId="18" xfId="0" applyBorder="1" applyAlignment="1">
      <alignment horizontal="center"/>
    </xf>
    <xf numFmtId="0" fontId="4" fillId="0" borderId="18" xfId="0" applyFont="1" applyBorder="1"/>
    <xf numFmtId="0" fontId="4" fillId="0" borderId="20" xfId="0" applyFont="1" applyBorder="1"/>
    <xf numFmtId="0" fontId="0" fillId="0" borderId="20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17" fontId="0" fillId="0" borderId="0" xfId="0" applyNumberFormat="1"/>
    <xf numFmtId="0" fontId="1" fillId="13" borderId="2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vertical="center"/>
    </xf>
    <xf numFmtId="0" fontId="1" fillId="13" borderId="22" xfId="0" applyFont="1" applyFill="1" applyBorder="1" applyAlignment="1">
      <alignment vertical="center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vertical="top"/>
    </xf>
    <xf numFmtId="0" fontId="0" fillId="0" borderId="13" xfId="0" applyBorder="1" applyAlignment="1">
      <alignment vertical="top"/>
    </xf>
    <xf numFmtId="14" fontId="2" fillId="0" borderId="0" xfId="0" applyNumberFormat="1" applyFont="1"/>
    <xf numFmtId="0" fontId="2" fillId="0" borderId="0" xfId="0" applyFont="1"/>
    <xf numFmtId="14" fontId="0" fillId="4" borderId="0" xfId="0" applyNumberFormat="1" applyFill="1"/>
    <xf numFmtId="14" fontId="5" fillId="0" borderId="0" xfId="0" applyNumberFormat="1" applyFont="1"/>
    <xf numFmtId="0" fontId="0" fillId="0" borderId="0" xfId="0" applyAlignment="1">
      <alignment horizontal="left" indent="1"/>
    </xf>
    <xf numFmtId="169" fontId="0" fillId="0" borderId="0" xfId="2" applyNumberFormat="1" applyFont="1"/>
    <xf numFmtId="167" fontId="5" fillId="0" borderId="0" xfId="1" applyNumberFormat="1" applyFont="1" applyBorder="1" applyAlignment="1">
      <alignment horizontal="center" vertical="top"/>
    </xf>
    <xf numFmtId="0" fontId="0" fillId="0" borderId="0" xfId="0" applyFill="1" applyBorder="1"/>
    <xf numFmtId="17" fontId="3" fillId="5" borderId="6" xfId="0" applyNumberFormat="1" applyFont="1" applyFill="1" applyBorder="1"/>
    <xf numFmtId="4" fontId="0" fillId="4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0" xfId="0" applyNumberFormat="1" applyFont="1" applyAlignment="1">
      <alignment horizontal="center" vertical="top"/>
    </xf>
    <xf numFmtId="0" fontId="5" fillId="0" borderId="2" xfId="0" applyNumberFormat="1" applyFont="1" applyBorder="1" applyAlignment="1">
      <alignment horizontal="center" vertical="top"/>
    </xf>
    <xf numFmtId="167" fontId="5" fillId="0" borderId="2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</cellXfs>
  <cellStyles count="13">
    <cellStyle name="60% - Ênfase1 2" xfId="3"/>
    <cellStyle name="60% - Ênfase2 2" xfId="4"/>
    <cellStyle name="60% - Ênfase3 2" xfId="5"/>
    <cellStyle name="60% - Ênfase4 2" xfId="6"/>
    <cellStyle name="60% - Ênfase5 2" xfId="7"/>
    <cellStyle name="60% - Ênfase6 2" xfId="8"/>
    <cellStyle name="Dezimal" xfId="1" builtinId="3"/>
    <cellStyle name="Moeda 2" xfId="9"/>
    <cellStyle name="Neutro 2" xfId="10"/>
    <cellStyle name="Prozent" xfId="2" builtinId="5"/>
    <cellStyle name="Standard" xfId="0" builtinId="0"/>
    <cellStyle name="Título 5" xfId="11"/>
    <cellStyle name="Vírgula 2" xfId="12"/>
  </cellStyles>
  <dxfs count="276">
    <dxf>
      <numFmt numFmtId="165" formatCode="_-* #,##0.00\ _€_-;\-* #,##0.00\ _€_-;_-* &quot;-&quot;??\ _€_-;_-@_-"/>
    </dxf>
    <dxf>
      <numFmt numFmtId="165" formatCode="_-* #,##0.00\ _€_-;\-* #,##0.00\ _€_-;_-* &quot;-&quot;??\ _€_-;_-@_-"/>
    </dxf>
    <dxf>
      <fill>
        <patternFill patternType="none">
          <fgColor indexed="64"/>
          <bgColor auto="1"/>
        </patternFill>
      </fill>
      <alignment vertical="top" textRotation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R$-416]\ * #,##0.00_-;\-[$R$-416]\ * #,##0.00_-;_-[$R$-416]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relativeIndent="255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border outline="0">
        <top style="thin">
          <color theme="9"/>
        </top>
      </border>
    </dxf>
    <dxf>
      <fill>
        <patternFill patternType="none">
          <fgColor indexed="64"/>
          <bgColor auto="1"/>
        </patternFill>
      </fill>
      <alignment vertical="top" textRotation="0" indent="0" relativeIndent="255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0" formatCode="General"/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general" vertical="bottom" textRotation="0" wrapText="0" indent="0" relativeIndent="0" justifyLastLine="0" shrinkToFit="0" mergeCell="0" readingOrder="0"/>
    </dxf>
    <dxf>
      <alignment textRotation="0" wrapText="0" indent="0" relativeIndent="255" justifyLastLine="0" shrinkToFit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R$-416]\ * #,##0.00_-;\-[$R$-416]\ * #,##0.00_-;_-[$R$-416]\ * &quot;-&quot;??_-;_-@_-"/>
      <alignment horizontal="center" vertical="center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R$-416]\ * #,##0.00_-;\-[$R$-416]\ * #,##0.00_-;_-[$R$-416]\ * &quot;-&quot;??_-;_-@_-"/>
      <alignment horizontal="center" vertical="center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R$-416]\ * #,##0.00_-;\-[$R$-416]\ * #,##0.00_-;_-[$R$-416]\ * &quot;-&quot;??_-;_-@_-"/>
      <alignment horizontal="center" vertical="center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_-[$R$-416]\ * #,##0.00_-;\-[$R$-416]\ * #,##0.00_-;_-[$R$-416]\ * &quot;-&quot;??_-;_-@_-"/>
      <alignment horizontal="center" vertical="center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top" textRotation="0" wrapText="0" indent="0" relativeIndent="0" justifyLastLine="0" shrinkToFit="0" mergeCell="0" readingOrder="0"/>
    </dxf>
    <dxf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top" textRotation="0" wrapText="0" indent="0" relativeIndent="0" justifyLastLine="0" shrinkToFit="0" mergeCell="0" readingOrder="0"/>
    </dxf>
    <dxf>
      <alignment horizontal="center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;@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;@"/>
      <alignment horizontal="center" vertical="top" textRotation="0" wrapText="0" indent="0" relative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;@"/>
      <alignment horizontal="center" vertical="top" textRotation="0" wrapText="0" indent="0" relative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;@"/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0.0"/>
      <alignment horizontal="center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;@"/>
      <alignment horizontal="center" vertical="top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top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255" justifyLastLine="0" shrinkToFit="0" readingOrder="0"/>
    </dxf>
    <dxf>
      <numFmt numFmtId="14" formatCode="0.00%"/>
      <alignment horizontal="center" vertical="top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255" justifyLastLine="0" shrinkToFit="0" readingOrder="0"/>
    </dxf>
    <dxf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top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dd/mm/yy;@"/>
      <alignment horizontal="center" vertical="top" textRotation="0" wrapText="0" indent="0" relativeIndent="255" justifyLastLine="0" shrinkToFit="0" readingOrder="0"/>
      <border diagonalUp="0" diagonalDown="0" outline="0"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top" textRotation="0" wrapText="0" indent="0" relative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0" indent="0" relative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numFmt numFmtId="19" formatCode="dd/mm/yyyy"/>
      <alignment horizontal="center" vertical="top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/>
        <bottom/>
      </border>
    </dxf>
    <dxf>
      <alignment horizontal="general" vertical="top" textRotation="0" wrapText="0" indent="0" relativeIndent="0" justifyLastLine="0" shrinkToFit="0" readingOrder="0"/>
    </dxf>
    <dxf>
      <alignment horizontal="center" vertical="top" textRotation="0" wrapText="0" indent="0" relativeIndent="0" justifyLastLine="0" shrinkToFit="0" mergeCell="0" readingOrder="0"/>
    </dxf>
    <dxf>
      <alignment horizontal="center" vertical="top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0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horizontal="general" vertical="top" textRotation="0" wrapText="0" indent="0" relativeIndent="0" justifyLastLine="0" shrinkToFit="0" mergeCell="0" readingOrder="0"/>
    </dxf>
    <dxf>
      <alignment horizontal="general" vertical="top" textRotation="0" wrapText="0" indent="0" relativeIndent="255" justifyLastLine="0" shrinkToFit="0" readingOrder="0"/>
    </dxf>
    <dxf>
      <alignment textRotation="0" wrapText="0" indent="0" relativeIndent="255" justifyLastLine="0" shrinkToFit="0" readingOrder="0"/>
    </dxf>
    <dxf>
      <alignment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relativeIndent="255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'Cópia tabelas'!$C$53</c:f>
              <c:strCache>
                <c:ptCount val="1"/>
                <c:pt idx="0">
                  <c:v>jun/17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'Cópia tabelas'!$B$58:$B$58</c:f>
              <c:strCache>
                <c:ptCount val="1"/>
                <c:pt idx="0">
                  <c:v>Não iniciada</c:v>
                </c:pt>
              </c:strCache>
            </c:strRef>
          </c:cat>
          <c:val>
            <c:numRef>
              <c:f>'Cópia tabelas'!$C$58:$C$58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DD-47C7-9A3A-E3B69AB623DD}"/>
            </c:ext>
          </c:extLst>
        </c:ser>
        <c:dLbls>
          <c:showVal val="1"/>
        </c:dLbls>
        <c:axId val="199419008"/>
        <c:axId val="199420544"/>
      </c:barChart>
      <c:catAx>
        <c:axId val="199419008"/>
        <c:scaling>
          <c:orientation val="minMax"/>
        </c:scaling>
        <c:axPos val="b"/>
        <c:numFmt formatCode="General" sourceLinked="0"/>
        <c:tickLblPos val="nextTo"/>
        <c:crossAx val="199420544"/>
        <c:crosses val="autoZero"/>
        <c:auto val="1"/>
        <c:lblAlgn val="ctr"/>
        <c:lblOffset val="100"/>
      </c:catAx>
      <c:valAx>
        <c:axId val="199420544"/>
        <c:scaling>
          <c:orientation val="minMax"/>
        </c:scaling>
        <c:axPos val="l"/>
        <c:numFmt formatCode="General" sourceLinked="1"/>
        <c:tickLblPos val="nextTo"/>
        <c:crossAx val="1994190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'Cópia tabelas'!$C$53</c:f>
              <c:strCache>
                <c:ptCount val="1"/>
                <c:pt idx="0">
                  <c:v>jun/17</c:v>
                </c:pt>
              </c:strCache>
            </c:strRef>
          </c:tx>
          <c:cat>
            <c:strRef>
              <c:f>'Cópia tabelas'!$B$54:$B$58</c:f>
              <c:strCache>
                <c:ptCount val="5"/>
                <c:pt idx="0">
                  <c:v>Concluída</c:v>
                </c:pt>
                <c:pt idx="1">
                  <c:v>Em andamento</c:v>
                </c:pt>
                <c:pt idx="2">
                  <c:v>Paralisada</c:v>
                </c:pt>
                <c:pt idx="3">
                  <c:v>Cancelada</c:v>
                </c:pt>
                <c:pt idx="4">
                  <c:v>Não iniciada</c:v>
                </c:pt>
              </c:strCache>
            </c:strRef>
          </c:cat>
          <c:val>
            <c:numRef>
              <c:f>'Cópia tabelas'!$C$54:$C$58</c:f>
              <c:numCache>
                <c:formatCode>General</c:formatCode>
                <c:ptCount val="5"/>
                <c:pt idx="0">
                  <c:v>3</c:v>
                </c:pt>
                <c:pt idx="1">
                  <c:v>32</c:v>
                </c:pt>
                <c:pt idx="2">
                  <c:v>23</c:v>
                </c:pt>
                <c:pt idx="3">
                  <c:v>0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'Cópia tabelas'!$D$53</c:f>
              <c:strCache>
                <c:ptCount val="1"/>
                <c:pt idx="0">
                  <c:v>abr/18</c:v>
                </c:pt>
              </c:strCache>
            </c:strRef>
          </c:tx>
          <c:cat>
            <c:strRef>
              <c:f>'Cópia tabelas'!$B$54:$B$58</c:f>
              <c:strCache>
                <c:ptCount val="5"/>
                <c:pt idx="0">
                  <c:v>Concluída</c:v>
                </c:pt>
                <c:pt idx="1">
                  <c:v>Em andamento</c:v>
                </c:pt>
                <c:pt idx="2">
                  <c:v>Paralisada</c:v>
                </c:pt>
                <c:pt idx="3">
                  <c:v>Cancelada</c:v>
                </c:pt>
                <c:pt idx="4">
                  <c:v>Não iniciada</c:v>
                </c:pt>
              </c:strCache>
            </c:strRef>
          </c:cat>
          <c:val>
            <c:numRef>
              <c:f>'Cópia tabelas'!$D$54:$D$58</c:f>
              <c:numCache>
                <c:formatCode>General</c:formatCode>
                <c:ptCount val="5"/>
                <c:pt idx="0">
                  <c:v>12</c:v>
                </c:pt>
                <c:pt idx="1">
                  <c:v>31</c:v>
                </c:pt>
                <c:pt idx="2">
                  <c:v>27</c:v>
                </c:pt>
                <c:pt idx="3">
                  <c:v>5</c:v>
                </c:pt>
                <c:pt idx="4">
                  <c:v>60</c:v>
                </c:pt>
              </c:numCache>
            </c:numRef>
          </c:val>
        </c:ser>
        <c:ser>
          <c:idx val="2"/>
          <c:order val="2"/>
          <c:tx>
            <c:strRef>
              <c:f>'Cópia tabelas'!$E$53</c:f>
              <c:strCache>
                <c:ptCount val="1"/>
                <c:pt idx="0">
                  <c:v>abr/19</c:v>
                </c:pt>
              </c:strCache>
            </c:strRef>
          </c:tx>
          <c:cat>
            <c:strRef>
              <c:f>'Cópia tabelas'!$B$54:$B$58</c:f>
              <c:strCache>
                <c:ptCount val="5"/>
                <c:pt idx="0">
                  <c:v>Concluída</c:v>
                </c:pt>
                <c:pt idx="1">
                  <c:v>Em andamento</c:v>
                </c:pt>
                <c:pt idx="2">
                  <c:v>Paralisada</c:v>
                </c:pt>
                <c:pt idx="3">
                  <c:v>Cancelada</c:v>
                </c:pt>
                <c:pt idx="4">
                  <c:v>Não iniciada</c:v>
                </c:pt>
              </c:strCache>
            </c:strRef>
          </c:cat>
          <c:val>
            <c:numRef>
              <c:f>'Cópia tabelas'!$E$54:$E$58</c:f>
              <c:numCache>
                <c:formatCode>General</c:formatCode>
                <c:ptCount val="5"/>
                <c:pt idx="0">
                  <c:v>25</c:v>
                </c:pt>
                <c:pt idx="1">
                  <c:v>34</c:v>
                </c:pt>
                <c:pt idx="2">
                  <c:v>18</c:v>
                </c:pt>
                <c:pt idx="3">
                  <c:v>55</c:v>
                </c:pt>
                <c:pt idx="4">
                  <c:v>3</c:v>
                </c:pt>
              </c:numCache>
            </c:numRef>
          </c:val>
        </c:ser>
        <c:dLbls>
          <c:showVal val="1"/>
        </c:dLbls>
        <c:axId val="199480064"/>
        <c:axId val="199481600"/>
      </c:barChart>
      <c:catAx>
        <c:axId val="199480064"/>
        <c:scaling>
          <c:orientation val="minMax"/>
        </c:scaling>
        <c:axPos val="b"/>
        <c:tickLblPos val="nextTo"/>
        <c:crossAx val="199481600"/>
        <c:crosses val="autoZero"/>
        <c:auto val="1"/>
        <c:lblAlgn val="ctr"/>
        <c:lblOffset val="100"/>
      </c:catAx>
      <c:valAx>
        <c:axId val="199481600"/>
        <c:scaling>
          <c:orientation val="minMax"/>
        </c:scaling>
        <c:axPos val="l"/>
        <c:numFmt formatCode="General" sourceLinked="1"/>
        <c:tickLblPos val="nextTo"/>
        <c:crossAx val="199480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49</xdr:row>
      <xdr:rowOff>133350</xdr:rowOff>
    </xdr:from>
    <xdr:to>
      <xdr:col>14</xdr:col>
      <xdr:colOff>209550</xdr:colOff>
      <xdr:row>64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33</xdr:row>
      <xdr:rowOff>114300</xdr:rowOff>
    </xdr:from>
    <xdr:to>
      <xdr:col>17</xdr:col>
      <xdr:colOff>444500</xdr:colOff>
      <xdr:row>48</xdr:row>
      <xdr:rowOff>95250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915%20-%20repasses_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"/>
      <sheetName val="180915 - repasses_ot"/>
      <sheetName val="Total repassado por obra"/>
    </sheetNames>
    <sheetDataSet>
      <sheetData sheetId="0"/>
      <sheetData sheetId="1"/>
      <sheetData sheetId="2">
        <row r="2">
          <cell r="B2" t="str">
            <v>id</v>
          </cell>
          <cell r="D2" t="str">
            <v>Total repassado por obra</v>
          </cell>
        </row>
        <row r="3">
          <cell r="B3">
            <v>4443</v>
          </cell>
          <cell r="D3">
            <v>1645414</v>
          </cell>
        </row>
        <row r="4">
          <cell r="B4">
            <v>7895</v>
          </cell>
          <cell r="D4">
            <v>2740382</v>
          </cell>
        </row>
        <row r="5">
          <cell r="B5">
            <v>8235</v>
          </cell>
          <cell r="D5">
            <v>2740382</v>
          </cell>
        </row>
        <row r="6">
          <cell r="B6">
            <v>8236</v>
          </cell>
          <cell r="D6">
            <v>2740382</v>
          </cell>
        </row>
        <row r="7">
          <cell r="B7">
            <v>8237</v>
          </cell>
          <cell r="D7">
            <v>2740382</v>
          </cell>
        </row>
        <row r="8">
          <cell r="B8">
            <v>8238</v>
          </cell>
          <cell r="D8">
            <v>2740382</v>
          </cell>
        </row>
        <row r="9">
          <cell r="B9">
            <v>8239</v>
          </cell>
          <cell r="D9">
            <v>2740382</v>
          </cell>
        </row>
        <row r="10">
          <cell r="B10">
            <v>8240</v>
          </cell>
          <cell r="D10">
            <v>2740382</v>
          </cell>
        </row>
        <row r="11">
          <cell r="B11">
            <v>8241</v>
          </cell>
          <cell r="D11">
            <v>2740382</v>
          </cell>
        </row>
        <row r="12">
          <cell r="B12">
            <v>8969</v>
          </cell>
          <cell r="D12">
            <v>1404673</v>
          </cell>
        </row>
        <row r="13">
          <cell r="B13">
            <v>13408</v>
          </cell>
          <cell r="D13">
            <v>860403</v>
          </cell>
        </row>
        <row r="14">
          <cell r="B14">
            <v>13418</v>
          </cell>
          <cell r="D14">
            <v>421174</v>
          </cell>
        </row>
        <row r="15">
          <cell r="B15">
            <v>17386</v>
          </cell>
          <cell r="D15">
            <v>359463</v>
          </cell>
        </row>
        <row r="16">
          <cell r="B16">
            <v>17717</v>
          </cell>
          <cell r="D16">
            <v>7216521</v>
          </cell>
        </row>
        <row r="17">
          <cell r="B17">
            <v>17718</v>
          </cell>
          <cell r="D17">
            <v>7216521</v>
          </cell>
        </row>
        <row r="18">
          <cell r="B18">
            <v>17720</v>
          </cell>
          <cell r="D18">
            <v>7216521</v>
          </cell>
        </row>
        <row r="19">
          <cell r="B19">
            <v>18129</v>
          </cell>
          <cell r="D19">
            <v>240260</v>
          </cell>
        </row>
        <row r="20">
          <cell r="B20">
            <v>19337</v>
          </cell>
          <cell r="D20">
            <v>1278351</v>
          </cell>
        </row>
        <row r="21">
          <cell r="B21">
            <v>19529</v>
          </cell>
          <cell r="D21">
            <v>1118052</v>
          </cell>
        </row>
        <row r="22">
          <cell r="B22">
            <v>19531</v>
          </cell>
          <cell r="D22">
            <v>426997</v>
          </cell>
        </row>
        <row r="23">
          <cell r="B23">
            <v>19536</v>
          </cell>
          <cell r="D23">
            <v>427101</v>
          </cell>
        </row>
        <row r="24">
          <cell r="B24">
            <v>19600</v>
          </cell>
          <cell r="D24">
            <v>252347</v>
          </cell>
        </row>
        <row r="25">
          <cell r="B25">
            <v>19651</v>
          </cell>
          <cell r="D25">
            <v>1568209</v>
          </cell>
        </row>
        <row r="26">
          <cell r="B26">
            <v>19778</v>
          </cell>
          <cell r="D26">
            <v>364809</v>
          </cell>
        </row>
        <row r="27">
          <cell r="B27">
            <v>19874</v>
          </cell>
          <cell r="D27">
            <v>512428</v>
          </cell>
        </row>
        <row r="28">
          <cell r="B28">
            <v>19887</v>
          </cell>
          <cell r="D28">
            <v>1498023</v>
          </cell>
        </row>
        <row r="29">
          <cell r="B29">
            <v>19910</v>
          </cell>
          <cell r="D29">
            <v>364809</v>
          </cell>
        </row>
        <row r="30">
          <cell r="B30">
            <v>19965</v>
          </cell>
          <cell r="D30">
            <v>936409</v>
          </cell>
        </row>
        <row r="31">
          <cell r="B31">
            <v>20024</v>
          </cell>
          <cell r="D31">
            <v>171614</v>
          </cell>
        </row>
        <row r="32">
          <cell r="B32">
            <v>20029</v>
          </cell>
          <cell r="D32">
            <v>252347</v>
          </cell>
        </row>
        <row r="33">
          <cell r="B33">
            <v>20033</v>
          </cell>
          <cell r="D33">
            <v>252347</v>
          </cell>
        </row>
        <row r="34">
          <cell r="B34">
            <v>20061</v>
          </cell>
          <cell r="D34">
            <v>171614</v>
          </cell>
        </row>
        <row r="35">
          <cell r="B35">
            <v>20098</v>
          </cell>
          <cell r="D35">
            <v>364809</v>
          </cell>
        </row>
        <row r="36">
          <cell r="B36">
            <v>20179</v>
          </cell>
          <cell r="D36">
            <v>252347</v>
          </cell>
        </row>
        <row r="37">
          <cell r="B37">
            <v>24448</v>
          </cell>
          <cell r="D37">
            <v>481279</v>
          </cell>
        </row>
        <row r="38">
          <cell r="B38">
            <v>24449</v>
          </cell>
          <cell r="D38">
            <v>1145442</v>
          </cell>
        </row>
        <row r="39">
          <cell r="B39">
            <v>24450</v>
          </cell>
          <cell r="D39">
            <v>968507</v>
          </cell>
        </row>
        <row r="40">
          <cell r="B40">
            <v>24484</v>
          </cell>
          <cell r="D40">
            <v>7426830</v>
          </cell>
        </row>
        <row r="41">
          <cell r="B41">
            <v>24531</v>
          </cell>
          <cell r="D41">
            <v>185529</v>
          </cell>
        </row>
        <row r="42">
          <cell r="B42">
            <v>24532</v>
          </cell>
          <cell r="D42">
            <v>960924</v>
          </cell>
        </row>
        <row r="43">
          <cell r="B43">
            <v>24533</v>
          </cell>
          <cell r="D43">
            <v>185180</v>
          </cell>
        </row>
        <row r="44">
          <cell r="B44">
            <v>24534</v>
          </cell>
          <cell r="D44">
            <v>953326</v>
          </cell>
        </row>
        <row r="45">
          <cell r="B45">
            <v>24535</v>
          </cell>
          <cell r="D45">
            <v>958470</v>
          </cell>
        </row>
        <row r="46">
          <cell r="B46">
            <v>24536</v>
          </cell>
          <cell r="D46">
            <v>956434</v>
          </cell>
        </row>
        <row r="47">
          <cell r="B47">
            <v>24614</v>
          </cell>
          <cell r="D47">
            <v>625815</v>
          </cell>
        </row>
        <row r="48">
          <cell r="B48">
            <v>24615</v>
          </cell>
          <cell r="D48">
            <v>185312</v>
          </cell>
        </row>
        <row r="49">
          <cell r="B49">
            <v>24616</v>
          </cell>
          <cell r="D49">
            <v>745746</v>
          </cell>
        </row>
        <row r="50">
          <cell r="B50">
            <v>24617</v>
          </cell>
          <cell r="D50">
            <v>396749</v>
          </cell>
        </row>
        <row r="51">
          <cell r="B51">
            <v>24618</v>
          </cell>
          <cell r="D51">
            <v>1580532</v>
          </cell>
        </row>
        <row r="52">
          <cell r="B52">
            <v>24619</v>
          </cell>
          <cell r="D52">
            <v>850318</v>
          </cell>
        </row>
        <row r="53">
          <cell r="B53">
            <v>24620</v>
          </cell>
          <cell r="D53">
            <v>539519</v>
          </cell>
        </row>
        <row r="54">
          <cell r="B54">
            <v>24621</v>
          </cell>
          <cell r="D54">
            <v>527329</v>
          </cell>
        </row>
        <row r="55">
          <cell r="B55">
            <v>24622</v>
          </cell>
          <cell r="D55">
            <v>539635</v>
          </cell>
        </row>
        <row r="56">
          <cell r="B56">
            <v>24623</v>
          </cell>
          <cell r="D56">
            <v>860660</v>
          </cell>
        </row>
        <row r="57">
          <cell r="B57">
            <v>25121</v>
          </cell>
          <cell r="D57">
            <v>1659473</v>
          </cell>
        </row>
        <row r="58">
          <cell r="B58">
            <v>25130</v>
          </cell>
          <cell r="D58">
            <v>1357041</v>
          </cell>
        </row>
        <row r="59">
          <cell r="B59">
            <v>25132</v>
          </cell>
          <cell r="D59">
            <v>395004</v>
          </cell>
        </row>
        <row r="60">
          <cell r="B60">
            <v>25133</v>
          </cell>
          <cell r="D60">
            <v>544229</v>
          </cell>
        </row>
        <row r="61">
          <cell r="B61">
            <v>25134</v>
          </cell>
          <cell r="D61">
            <v>395004</v>
          </cell>
        </row>
        <row r="62">
          <cell r="B62">
            <v>25135</v>
          </cell>
          <cell r="D62">
            <v>391048</v>
          </cell>
        </row>
        <row r="63">
          <cell r="B63">
            <v>25206</v>
          </cell>
          <cell r="D63">
            <v>392883</v>
          </cell>
        </row>
        <row r="64">
          <cell r="B64">
            <v>25284</v>
          </cell>
          <cell r="D64">
            <v>1563303</v>
          </cell>
        </row>
        <row r="65">
          <cell r="B65">
            <v>25286</v>
          </cell>
          <cell r="D65">
            <v>1601359</v>
          </cell>
        </row>
        <row r="66">
          <cell r="B66">
            <v>25309</v>
          </cell>
          <cell r="D66">
            <v>969501</v>
          </cell>
        </row>
        <row r="67">
          <cell r="B67">
            <v>25311</v>
          </cell>
          <cell r="D67">
            <v>969501</v>
          </cell>
        </row>
        <row r="68">
          <cell r="B68">
            <v>25312</v>
          </cell>
          <cell r="D68">
            <v>453100</v>
          </cell>
        </row>
        <row r="69">
          <cell r="B69">
            <v>25351</v>
          </cell>
          <cell r="D69">
            <v>181924</v>
          </cell>
        </row>
        <row r="70">
          <cell r="B70">
            <v>25352</v>
          </cell>
          <cell r="D70">
            <v>395596</v>
          </cell>
        </row>
        <row r="71">
          <cell r="B71">
            <v>25353</v>
          </cell>
          <cell r="D71">
            <v>395596</v>
          </cell>
        </row>
        <row r="72">
          <cell r="B72">
            <v>25356</v>
          </cell>
          <cell r="D72">
            <v>395565</v>
          </cell>
        </row>
        <row r="73">
          <cell r="B73">
            <v>25357</v>
          </cell>
          <cell r="D73">
            <v>395595</v>
          </cell>
        </row>
        <row r="74">
          <cell r="B74">
            <v>25358</v>
          </cell>
          <cell r="D74">
            <v>395270</v>
          </cell>
        </row>
        <row r="75">
          <cell r="B75">
            <v>25359</v>
          </cell>
          <cell r="D75">
            <v>395603</v>
          </cell>
        </row>
        <row r="76">
          <cell r="B76">
            <v>25360</v>
          </cell>
          <cell r="D76">
            <v>395598</v>
          </cell>
        </row>
        <row r="77">
          <cell r="B77">
            <v>33214</v>
          </cell>
          <cell r="D77">
            <v>466078</v>
          </cell>
        </row>
        <row r="78">
          <cell r="B78">
            <v>33215</v>
          </cell>
          <cell r="D78">
            <v>465162</v>
          </cell>
        </row>
        <row r="79">
          <cell r="B79">
            <v>1001247</v>
          </cell>
          <cell r="D79">
            <v>490673</v>
          </cell>
        </row>
        <row r="80">
          <cell r="B80">
            <v>1001248</v>
          </cell>
          <cell r="D80">
            <v>490673</v>
          </cell>
        </row>
        <row r="81">
          <cell r="B81">
            <v>1001606</v>
          </cell>
          <cell r="D81">
            <v>1349132</v>
          </cell>
        </row>
        <row r="82">
          <cell r="B82">
            <v>1002357</v>
          </cell>
          <cell r="D82">
            <v>490426</v>
          </cell>
        </row>
        <row r="83">
          <cell r="B83">
            <v>1002358</v>
          </cell>
          <cell r="D83">
            <v>491762</v>
          </cell>
        </row>
        <row r="84">
          <cell r="B84">
            <v>1002359</v>
          </cell>
          <cell r="D84">
            <v>487365</v>
          </cell>
        </row>
        <row r="85">
          <cell r="B85">
            <v>1002360</v>
          </cell>
          <cell r="D85">
            <v>495726</v>
          </cell>
        </row>
        <row r="86">
          <cell r="B86">
            <v>1002361</v>
          </cell>
          <cell r="D86">
            <v>491646</v>
          </cell>
        </row>
        <row r="87">
          <cell r="B87">
            <v>1002362</v>
          </cell>
          <cell r="D87">
            <v>492965</v>
          </cell>
        </row>
        <row r="88">
          <cell r="B88">
            <v>1002363</v>
          </cell>
          <cell r="D88">
            <v>495617</v>
          </cell>
        </row>
        <row r="89">
          <cell r="B89">
            <v>1002364</v>
          </cell>
          <cell r="D89">
            <v>492551</v>
          </cell>
        </row>
        <row r="90">
          <cell r="B90">
            <v>1002365</v>
          </cell>
          <cell r="D90">
            <v>491579</v>
          </cell>
        </row>
        <row r="91">
          <cell r="B91">
            <v>1003823</v>
          </cell>
          <cell r="D91">
            <v>466078</v>
          </cell>
        </row>
        <row r="92">
          <cell r="B92">
            <v>1004230</v>
          </cell>
          <cell r="D92">
            <v>781396</v>
          </cell>
        </row>
        <row r="93">
          <cell r="B93">
            <v>1004300</v>
          </cell>
          <cell r="D93">
            <v>1081213</v>
          </cell>
        </row>
        <row r="94">
          <cell r="B94">
            <v>1004301</v>
          </cell>
          <cell r="D94">
            <v>1121614</v>
          </cell>
        </row>
        <row r="95">
          <cell r="B95">
            <v>1005588</v>
          </cell>
          <cell r="D95">
            <v>787605</v>
          </cell>
        </row>
        <row r="96">
          <cell r="B96">
            <v>1005696</v>
          </cell>
          <cell r="D96">
            <v>461693</v>
          </cell>
        </row>
        <row r="97">
          <cell r="B97">
            <v>1005814</v>
          </cell>
          <cell r="D97">
            <v>246178</v>
          </cell>
        </row>
        <row r="98">
          <cell r="B98">
            <v>1006081</v>
          </cell>
          <cell r="D98">
            <v>457691</v>
          </cell>
        </row>
        <row r="99">
          <cell r="B99">
            <v>1006108</v>
          </cell>
          <cell r="D99">
            <v>1489092</v>
          </cell>
        </row>
        <row r="100">
          <cell r="B100">
            <v>1006109</v>
          </cell>
          <cell r="D100">
            <v>1729756</v>
          </cell>
        </row>
        <row r="101">
          <cell r="B101">
            <v>1006110</v>
          </cell>
          <cell r="D101">
            <v>1489338</v>
          </cell>
        </row>
        <row r="102">
          <cell r="B102">
            <v>1006363</v>
          </cell>
          <cell r="D102">
            <v>457231</v>
          </cell>
        </row>
        <row r="103">
          <cell r="B103">
            <v>1006367</v>
          </cell>
          <cell r="D103">
            <v>1223204</v>
          </cell>
        </row>
        <row r="104">
          <cell r="B104">
            <v>1006532</v>
          </cell>
          <cell r="D104">
            <v>452087</v>
          </cell>
        </row>
        <row r="105">
          <cell r="B105">
            <v>1006536</v>
          </cell>
          <cell r="D105">
            <v>247882</v>
          </cell>
        </row>
        <row r="106">
          <cell r="B106">
            <v>1006985</v>
          </cell>
          <cell r="D106">
            <v>454293</v>
          </cell>
        </row>
        <row r="107">
          <cell r="B107">
            <v>1009202</v>
          </cell>
          <cell r="D107">
            <v>1033686</v>
          </cell>
        </row>
        <row r="108">
          <cell r="B108">
            <v>1009203</v>
          </cell>
          <cell r="D108">
            <v>453338</v>
          </cell>
        </row>
        <row r="109">
          <cell r="B109">
            <v>1009204</v>
          </cell>
          <cell r="D109">
            <v>450598</v>
          </cell>
        </row>
        <row r="110">
          <cell r="B110">
            <v>1009205</v>
          </cell>
          <cell r="D110">
            <v>450601</v>
          </cell>
        </row>
        <row r="111">
          <cell r="B111">
            <v>1009214</v>
          </cell>
          <cell r="D111">
            <v>245829</v>
          </cell>
        </row>
        <row r="112">
          <cell r="B112">
            <v>1010390</v>
          </cell>
          <cell r="D112">
            <v>993746</v>
          </cell>
        </row>
        <row r="113">
          <cell r="B113">
            <v>1010678</v>
          </cell>
          <cell r="D113">
            <v>544245</v>
          </cell>
        </row>
        <row r="114">
          <cell r="B114">
            <v>1010679</v>
          </cell>
          <cell r="D114">
            <v>458626</v>
          </cell>
        </row>
        <row r="115">
          <cell r="B115">
            <v>1010680</v>
          </cell>
          <cell r="D115">
            <v>460192</v>
          </cell>
        </row>
        <row r="116">
          <cell r="B116">
            <v>1010681</v>
          </cell>
          <cell r="D116">
            <v>953549</v>
          </cell>
        </row>
        <row r="117">
          <cell r="B117">
            <v>1010682</v>
          </cell>
          <cell r="D117">
            <v>459522</v>
          </cell>
        </row>
        <row r="118">
          <cell r="B118">
            <v>1010716</v>
          </cell>
          <cell r="D118">
            <v>6407008</v>
          </cell>
        </row>
        <row r="119">
          <cell r="B119">
            <v>1010717</v>
          </cell>
          <cell r="D119">
            <v>2147736</v>
          </cell>
        </row>
        <row r="120">
          <cell r="B120">
            <v>1010867</v>
          </cell>
          <cell r="D120">
            <v>3187606</v>
          </cell>
        </row>
        <row r="121">
          <cell r="B121">
            <v>1011012</v>
          </cell>
          <cell r="D121">
            <v>278826</v>
          </cell>
        </row>
        <row r="122">
          <cell r="B122">
            <v>1011013</v>
          </cell>
          <cell r="D122">
            <v>164132</v>
          </cell>
        </row>
        <row r="123">
          <cell r="B123">
            <v>1014175</v>
          </cell>
          <cell r="D123">
            <v>1495705</v>
          </cell>
        </row>
        <row r="124">
          <cell r="B124">
            <v>1014625</v>
          </cell>
          <cell r="D124">
            <v>441276</v>
          </cell>
        </row>
        <row r="125">
          <cell r="B125">
            <v>1016714</v>
          </cell>
          <cell r="D125">
            <v>1052710</v>
          </cell>
        </row>
        <row r="126">
          <cell r="B126">
            <v>1017726</v>
          </cell>
          <cell r="D126">
            <v>846775</v>
          </cell>
        </row>
        <row r="127">
          <cell r="B127">
            <v>1067788</v>
          </cell>
          <cell r="D127">
            <v>1501468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anca Vaz Mondo" refreshedDate="43348.44778923611" createdVersion="3" refreshedVersion="3" minRefreshableVersion="3" recordCount="135">
  <cacheSource type="worksheet">
    <worksheetSource name="Tabelle2"/>
  </cacheSource>
  <cacheFields count="7">
    <cacheField name="ID obra" numFmtId="0">
      <sharedItems containsMixedTypes="1" containsNumber="1" containsInteger="1" minValue="4443" maxValue="1017726"/>
    </cacheField>
    <cacheField name="Nome" numFmtId="0">
      <sharedItems/>
    </cacheField>
    <cacheField name="Município" numFmtId="0">
      <sharedItems/>
    </cacheField>
    <cacheField name="UF" numFmtId="0">
      <sharedItems/>
    </cacheField>
    <cacheField name="Situação Junho/2017" numFmtId="0">
      <sharedItems/>
    </cacheField>
    <cacheField name="Situação Abril/2018" numFmtId="0">
      <sharedItems count="6">
        <s v="Em andamento"/>
        <s v="Não iniciada"/>
        <s v="Paralisada"/>
        <s v="Concluída"/>
        <s v="Cancelada"/>
        <s v="(Em andamento)"/>
      </sharedItems>
    </cacheField>
    <cacheField name="Total repassado" numFmtId="0">
      <sharedItems containsSemiMixedTypes="0" containsString="0" containsNumber="1" minValue="0" maxValue="6841286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anca Vaz Mondo" refreshedDate="43433.691720833333" createdVersion="6" refreshedVersion="6" minRefreshableVersion="3" recordCount="135">
  <cacheSource type="worksheet">
    <worksheetSource name="Tabela232"/>
  </cacheSource>
  <cacheFields count="82">
    <cacheField name="Município" numFmtId="0">
      <sharedItems/>
    </cacheField>
    <cacheField name="UF" numFmtId="0">
      <sharedItems/>
    </cacheField>
    <cacheField name="OT" numFmtId="0">
      <sharedItems/>
    </cacheField>
    <cacheField name="ID obra" numFmtId="0">
      <sharedItems containsSemiMixedTypes="0" containsString="0" containsNumber="1" containsInteger="1" minValue="4443" maxValue="1017726"/>
    </cacheField>
    <cacheField name="Nome" numFmtId="0">
      <sharedItems/>
    </cacheField>
    <cacheField name="Local" numFmtId="0">
      <sharedItems containsBlank="1"/>
    </cacheField>
    <cacheField name="Ano do convênio" numFmtId="0">
      <sharedItems containsMixedTypes="1" containsNumber="1" containsInteger="1" minValue="2013" maxValue="2013"/>
    </cacheField>
    <cacheField name="Situação" numFmtId="0">
      <sharedItems/>
    </cacheField>
    <cacheField name="% Executado" numFmtId="0">
      <sharedItems containsSemiMixedTypes="0" containsString="0" containsNumber="1" minValue="0" maxValue="94.42"/>
    </cacheField>
    <cacheField name="Data Prevista de Conclusão" numFmtId="0">
      <sharedItems containsDate="1" containsMixedTypes="1" minDate="2014-04-04T00:00:00" maxDate="2018-11-03T00:00:00"/>
    </cacheField>
    <cacheField name="Situação2" numFmtId="0">
      <sharedItems/>
    </cacheField>
    <cacheField name="% Executado3" numFmtId="0">
      <sharedItems containsBlank="1" containsMixedTypes="1" containsNumber="1" minValue="0" maxValue="93.08"/>
    </cacheField>
    <cacheField name="Data Prevista de Conclusão4" numFmtId="0">
      <sharedItems containsDate="1" containsString="0" containsBlank="1" containsMixedTypes="1" minDate="2017-03-04T00:00:00" maxDate="2018-02-25T00:00:00"/>
    </cacheField>
    <cacheField name="Obra não iniciada em Jun/2017" numFmtId="0">
      <sharedItems containsSemiMixedTypes="0" containsString="0" containsNumber="1" containsInteger="1" minValue="0" maxValue="1"/>
    </cacheField>
    <cacheField name="Divergência" numFmtId="1">
      <sharedItems containsMixedTypes="1" containsNumber="1" containsInteger="1" minValue="0" maxValue="1"/>
    </cacheField>
    <cacheField name="Situação3" numFmtId="0">
      <sharedItems/>
    </cacheField>
    <cacheField name="% Executado9" numFmtId="0">
      <sharedItems containsString="0" containsBlank="1" containsNumber="1" minValue="0" maxValue="100"/>
    </cacheField>
    <cacheField name="Data Prevista de Conclusão10" numFmtId="0">
      <sharedItems containsDate="1" containsBlank="1" containsMixedTypes="1" minDate="2018-02-27T00:00:00" maxDate="2018-12-27T00:00:00"/>
    </cacheField>
    <cacheField name="Obra não iniciada em Mar/18" numFmtId="0">
      <sharedItems containsSemiMixedTypes="0" containsString="0" containsNumber="1" containsInteger="1" minValue="0" maxValue="1"/>
    </cacheField>
    <cacheField name="Atraso médio" numFmtId="0">
      <sharedItems containsBlank="1" containsMixedTypes="1" containsNumber="1" containsInteger="1" minValue="4" maxValue="10"/>
    </cacheField>
    <cacheField name="Situação4" numFmtId="0">
      <sharedItems/>
    </cacheField>
    <cacheField name="% Executado93" numFmtId="166">
      <sharedItems/>
    </cacheField>
    <cacheField name="Data Prevista de Conclusão104" numFmtId="166">
      <sharedItems containsDate="1" containsMixedTypes="1" minDate="2014-04-04T00:00:00" maxDate="2019-12-28T00:00:00"/>
    </cacheField>
    <cacheField name="Divergência2" numFmtId="1">
      <sharedItems containsSemiMixedTypes="0" containsString="0" containsNumber="1" containsInteger="1" minValue="0" maxValue="1"/>
    </cacheField>
    <cacheField name="Terreno irregular" numFmtId="1">
      <sharedItems containsString="0" containsBlank="1" containsNumber="1" containsInteger="1" minValue="1" maxValue="1"/>
    </cacheField>
    <cacheField name="MI" numFmtId="1">
      <sharedItems containsString="0" containsBlank="1" containsNumber="1" containsInteger="1" minValue="0" maxValue="1"/>
    </cacheField>
    <cacheField name="Situação5" numFmtId="1">
      <sharedItems/>
    </cacheField>
    <cacheField name="% Executado933" numFmtId="0">
      <sharedItems containsMixedTypes="1" containsNumber="1" minValue="7.52" maxValue="7.52"/>
    </cacheField>
    <cacheField name="Data Prevista de Conclusão1044" numFmtId="0">
      <sharedItems containsSemiMixedTypes="0" containsDate="1" containsString="0" containsMixedTypes="1" minDate="1899-12-31T00:00:00" maxDate="2019-10-03T00:00:00"/>
    </cacheField>
    <cacheField name="Info OS" numFmtId="0">
      <sharedItems count="8">
        <s v="Paralisada"/>
        <s v="Não iniciada"/>
        <s v="Não iniciada (L)"/>
        <s v="Concluída"/>
        <s v="Em andamento"/>
        <s v="Cancelada"/>
        <s v="(Em andamento)"/>
        <s v="Licitação" u="1"/>
      </sharedItems>
    </cacheField>
    <cacheField name="TC" numFmtId="1">
      <sharedItems containsBlank="1"/>
    </cacheField>
    <cacheField name="Dados da licitação (anotações Bianca)" numFmtId="0">
      <sharedItems containsBlank="1"/>
    </cacheField>
    <cacheField name="Comentários" numFmtId="0">
      <sharedItems containsBlank="1" longText="1"/>
    </cacheField>
    <cacheField name="Inconsistência no Simec" numFmtId="0">
      <sharedItems/>
    </cacheField>
    <cacheField name="SIMEC desatualizado" numFmtId="0">
      <sharedItems/>
    </cacheField>
    <cacheField name="Recurso recebido" numFmtId="0">
      <sharedItems containsBlank="1"/>
    </cacheField>
    <cacheField name="Valor já pago" numFmtId="165">
      <sharedItems containsSemiMixedTypes="0" containsString="0" containsNumber="1" minValue="0" maxValue="6841286.29"/>
    </cacheField>
    <cacheField name="Saldo da conta 07/2018" numFmtId="168">
      <sharedItems containsSemiMixedTypes="0" containsString="0" containsNumber="1" minValue="0" maxValue="5906020.8399999999"/>
    </cacheField>
    <cacheField name="formel" numFmtId="0">
      <sharedItems containsSemiMixedTypes="0" containsString="0" containsNumber="1" containsInteger="1" minValue="0" maxValue="1"/>
    </cacheField>
    <cacheField name="formel2" numFmtId="0">
      <sharedItems containsSemiMixedTypes="0" containsString="0" containsNumber="1" containsInteger="1" minValue="1" maxValue="25"/>
    </cacheField>
    <cacheField name="Saldo dividido" numFmtId="168">
      <sharedItems containsSemiMixedTypes="0" containsString="0" containsNumber="1" minValue="0" maxValue="3036738.56"/>
    </cacheField>
    <cacheField name="Valor pago (corrente, ago2018)" numFmtId="168">
      <sharedItems containsMixedTypes="1" containsNumber="1" containsInteger="1" minValue="164132" maxValue="7426830"/>
    </cacheField>
    <cacheField name="Valor pago dividido" numFmtId="168">
      <sharedItems containsMixedTypes="1" containsNumber="1" minValue="164132" maxValue="7426830"/>
    </cacheField>
    <cacheField name="Termo convênio" numFmtId="0">
      <sharedItems containsBlank="1" count="65">
        <s v="4093/2013"/>
        <s v="4245/2013"/>
        <s v="5768/2013"/>
        <s v="8979/2014"/>
        <s v="32348/2014"/>
        <s v="274/2011"/>
        <s v="3091/2012"/>
        <s v="7029/2013"/>
        <s v="6012/2013"/>
        <s v="19401/2014"/>
        <s v="17618/2014"/>
        <s v="6846/2013"/>
        <s v="7388/2013"/>
        <s v="32380/2014"/>
        <s v="7031/2013"/>
        <s v="7594/2013"/>
        <s v="11678/2014"/>
        <s v="8980/2014"/>
        <s v="7227/2013"/>
        <s v="22364/2014"/>
        <s v="703277/2010"/>
        <s v="4113/2013"/>
        <s v="4114/2013"/>
        <s v="5569/2013"/>
        <s v="11311/2014"/>
        <s v="7737/2013"/>
        <s v="9871/2014"/>
        <s v="2912/2012"/>
        <s v="6788/2013"/>
        <s v="3099/2012"/>
        <s v="7392/2013"/>
        <s v="5141/2013"/>
        <s v="32737/2014"/>
        <s v="4078/2013"/>
        <s v="10037/2014"/>
        <s v="700068/2011"/>
        <s v="3101/2012"/>
        <s v="7422/2013"/>
        <s v="224/2011"/>
        <s v="10849/2014"/>
        <s v="7002/2013"/>
        <s v="10643/2014"/>
        <s v="4136/2013"/>
        <s v="4137/2013"/>
        <s v="11734/2014"/>
        <s v="700195/2011"/>
        <s v="11177/2014"/>
        <s v="11178/2014"/>
        <s v="657111/2009"/>
        <s v="704173/2010"/>
        <s v="4216/2013"/>
        <s v="4215/2013"/>
        <s v="11203/2014"/>
        <s v="4132/2013"/>
        <s v="32374/2014"/>
        <s v="3126/2012"/>
        <s v="7754/2013"/>
        <s v="6183/2013"/>
        <s v="7105/2013"/>
        <s v="7018/2013"/>
        <s v="700302/2008"/>
        <s v="710390/2008"/>
        <s v="5070/2013"/>
        <s v="5753/2013"/>
        <m/>
      </sharedItems>
    </cacheField>
    <cacheField name="Ano convênio" numFmtId="0">
      <sharedItems containsBlank="1" containsMixedTypes="1" containsNumber="1" containsInteger="1" minValue="2013" maxValue="2013" count="9">
        <n v="2013"/>
        <s v="2013"/>
        <s v="2014"/>
        <s v="2011"/>
        <s v="2012"/>
        <s v="2010"/>
        <s v="2009"/>
        <s v="2008"/>
        <m/>
      </sharedItems>
    </cacheField>
    <cacheField name="Ano de início da obra" numFmtId="0">
      <sharedItems containsMixedTypes="1" containsNumber="1" containsInteger="1" minValue="2011" maxValue="2018"/>
    </cacheField>
    <cacheField name="Ano de entrega" numFmtId="0">
      <sharedItems containsMixedTypes="1" containsNumber="1" containsInteger="1" minValue="2017" maxValue="2018"/>
    </cacheField>
    <cacheField name="dif" numFmtId="0">
      <sharedItems containsString="0" containsBlank="1" containsNumber="1" containsInteger="1" minValue="1" maxValue="6"/>
    </cacheField>
    <cacheField name="dif tempo" numFmtId="0">
      <sharedItems containsBlank="1" containsMixedTypes="1" containsNumber="1" containsInteger="1" minValue="-365" maxValue="1468"/>
    </cacheField>
    <cacheField name="Houve abandono por empresa contratada?" numFmtId="0">
      <sharedItems/>
    </cacheField>
    <cacheField name="Empresa contratada" numFmtId="0">
      <sharedItems containsBlank="1"/>
    </cacheField>
    <cacheField name="Início" numFmtId="0">
      <sharedItems containsDate="1" containsBlank="1" containsMixedTypes="1" minDate="2012-04-10T00:00:00" maxDate="2017-09-27T00:00:00"/>
    </cacheField>
    <cacheField name="Término inicial" numFmtId="0">
      <sharedItems containsDate="1" containsBlank="1" containsMixedTypes="1" minDate="2013-02-12T00:00:00" maxDate="2018-12-27T00:00:00"/>
    </cacheField>
    <cacheField name="Término final" numFmtId="0">
      <sharedItems containsDate="1" containsBlank="1" containsMixedTypes="1" minDate="2013-02-12T00:00:00" maxDate="2019-05-09T00:00:00"/>
    </cacheField>
    <cacheField name="Duração prevista" numFmtId="0">
      <sharedItems containsBlank="1" containsMixedTypes="1" containsNumber="1" containsInteger="1" minValue="166" maxValue="636"/>
    </cacheField>
    <cacheField name="Duração final" numFmtId="0">
      <sharedItems containsBlank="1" containsMixedTypes="1" containsNumber="1" containsInteger="1" minValue="300" maxValue="1738"/>
    </cacheField>
    <cacheField name="Valor inicial" numFmtId="0">
      <sharedItems containsBlank="1" containsMixedTypes="1" containsNumber="1" minValue="542811.52" maxValue="7009450.1299999999"/>
    </cacheField>
    <cacheField name="Valor final" numFmtId="0">
      <sharedItems containsBlank="1" containsMixedTypes="1" containsNumber="1" minValue="596616" maxValue="7610853.9000000004"/>
    </cacheField>
    <cacheField name="Empresa" numFmtId="0">
      <sharedItems containsBlank="1"/>
    </cacheField>
    <cacheField name="Início13" numFmtId="0">
      <sharedItems containsDate="1" containsBlank="1" containsMixedTypes="1" minDate="2015-01-22T00:00:00" maxDate="2018-04-19T00:00:00"/>
    </cacheField>
    <cacheField name="Término inicial14" numFmtId="0">
      <sharedItems containsDate="1" containsBlank="1" containsMixedTypes="1" minDate="2016-03-19T00:00:00" maxDate="2018-11-09T00:00:00"/>
    </cacheField>
    <cacheField name="Término final15" numFmtId="0">
      <sharedItems containsDate="1" containsBlank="1" containsMixedTypes="1" minDate="2016-06-24T00:00:00" maxDate="2019-01-31T00:00:00"/>
    </cacheField>
    <cacheField name="Duração prevista16" numFmtId="0">
      <sharedItems containsBlank="1" containsMixedTypes="1" containsNumber="1" containsInteger="1" minValue="180" maxValue="579"/>
    </cacheField>
    <cacheField name="Duração final17" numFmtId="0">
      <sharedItems containsBlank="1" containsMixedTypes="1" containsNumber="1" containsInteger="1" minValue="180" maxValue="1469"/>
    </cacheField>
    <cacheField name="Valor inicial18" numFmtId="0">
      <sharedItems containsBlank="1" containsMixedTypes="1" containsNumber="1" minValue="267064.31" maxValue="7600215.0899999999"/>
    </cacheField>
    <cacheField name="Valor final19" numFmtId="0">
      <sharedItems containsBlank="1" containsMixedTypes="1" containsNumber="1" minValue="515992.26" maxValue="7600215.0899999999"/>
    </cacheField>
    <cacheField name="Empresa20" numFmtId="0">
      <sharedItems containsBlank="1"/>
    </cacheField>
    <cacheField name="Início21" numFmtId="0">
      <sharedItems containsNonDate="0" containsDate="1" containsString="0" containsBlank="1" minDate="2017-06-20T00:00:00" maxDate="2018-04-18T00:00:00"/>
    </cacheField>
    <cacheField name="Término inicial22" numFmtId="0">
      <sharedItems containsNonDate="0" containsDate="1" containsString="0" containsBlank="1" minDate="2017-12-20T00:00:00" maxDate="2019-05-17T00:00:00"/>
    </cacheField>
    <cacheField name="Término final23" numFmtId="0">
      <sharedItems containsNonDate="0" containsDate="1" containsString="0" containsBlank="1" minDate="2018-06-19T00:00:00" maxDate="2019-05-17T00:00:00"/>
    </cacheField>
    <cacheField name="Duração prevista24" numFmtId="0">
      <sharedItems containsString="0" containsBlank="1" containsNumber="1" containsInteger="1" minValue="180" maxValue="457"/>
    </cacheField>
    <cacheField name="Duração final25" numFmtId="0">
      <sharedItems containsString="0" containsBlank="1" containsNumber="1" containsInteger="1" minValue="271" maxValue="457"/>
    </cacheField>
    <cacheField name="Valor inicial26" numFmtId="0">
      <sharedItems containsString="0" containsBlank="1" containsNumber="1" minValue="124657.25" maxValue="2859382.62"/>
    </cacheField>
    <cacheField name="Valor final27" numFmtId="0">
      <sharedItems containsString="0" containsBlank="1" containsNumber="1" minValue="434652.95" maxValue="2859382.62"/>
    </cacheField>
    <cacheField name="Valor final28" numFmtId="0">
      <sharedItems containsNonDate="0" containsString="0" containsBlank="1"/>
    </cacheField>
    <cacheField name="Valor final29" numFmtId="0">
      <sharedItems containsNonDate="0" containsString="0" containsBlank="1"/>
    </cacheField>
    <cacheField name="Valor final30" numFmtId="0">
      <sharedItems containsNonDate="0" containsString="0" containsBlank="1"/>
    </cacheField>
    <cacheField name="Valor final31" numFmtId="0">
      <sharedItems containsNonDate="0" containsString="0" containsBlank="1"/>
    </cacheField>
    <cacheField name="Valor final32" numFmtId="0">
      <sharedItems containsNonDate="0" containsString="0" containsBlank="1"/>
    </cacheField>
    <cacheField name="Valor final33" numFmtId="0">
      <sharedItems containsNonDate="0" containsString="0" containsBlank="1"/>
    </cacheField>
    <cacheField name="Valor final34" numFmtId="0">
      <sharedItems containsNonDate="0" containsString="0" containsBlank="1"/>
    </cacheField>
    <cacheField name="Valor final3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n v="25351"/>
    <s v="PAC 2 - CRECHE/PRÉ-ESCOLA 002"/>
    <s v="Araucária"/>
    <s v="PR"/>
    <s v="Em andamento"/>
    <x v="0"/>
    <n v="133353.57999999999"/>
  </r>
  <r>
    <n v="25352"/>
    <s v="PAC 2 - CRECHE/PRÉ-ESCOLA 001"/>
    <s v="Araucária"/>
    <s v="PR"/>
    <s v="Não iniciada"/>
    <x v="1"/>
    <n v="289979.11"/>
  </r>
  <r>
    <n v="25353"/>
    <s v="PAC 2 - CRECHE/PRÉ-ESCOLA 006"/>
    <s v="Araucária"/>
    <s v="PR"/>
    <s v="Paralisada"/>
    <x v="2"/>
    <n v="289979.11"/>
  </r>
  <r>
    <n v="33214"/>
    <s v="PAC 2 - CRECHE/PRÉ-ESCOLA 005"/>
    <s v="Araucária"/>
    <s v="PR"/>
    <s v="Não iniciada"/>
    <x v="1"/>
    <n v="374180.39"/>
  </r>
  <r>
    <n v="33215"/>
    <s v="PAC 2 - CRECHE/PRÉ-ESCOLA 004"/>
    <s v="Araucária"/>
    <s v="PR"/>
    <s v="Não iniciada"/>
    <x v="1"/>
    <n v="373444.64"/>
  </r>
  <r>
    <n v="1003823"/>
    <s v="PAC 2 - CRECHE/PRÉ-ESCOLA 003"/>
    <s v="Araucária"/>
    <s v="PR"/>
    <s v="Em andamento"/>
    <x v="0"/>
    <n v="374180.39"/>
  </r>
  <r>
    <n v="1012813"/>
    <s v="Jd. Dona Rosa"/>
    <s v="Araucária"/>
    <s v="PR"/>
    <s v="Não iniciada"/>
    <x v="0"/>
    <n v="0"/>
  </r>
  <r>
    <n v="1017726"/>
    <s v="CAPELA VELHA"/>
    <s v="Araucária"/>
    <s v="PR"/>
    <s v="Não iniciada"/>
    <x v="1"/>
    <n v="710508.76"/>
  </r>
  <r>
    <n v="19887"/>
    <s v="Terreno Alto Bonito"/>
    <s v="Caçador"/>
    <s v="SC"/>
    <s v="Concluída"/>
    <x v="3"/>
    <n v="1134108.97"/>
  </r>
  <r>
    <n v="25121"/>
    <s v="Terreno Nossa Senhora Salete"/>
    <s v="Caçador"/>
    <s v="SC"/>
    <s v="Paralisada"/>
    <x v="0"/>
    <n v="1395835.54"/>
  </r>
  <r>
    <n v="1006363"/>
    <s v="Terreno Rancho Fundo"/>
    <s v="Caçador"/>
    <s v="SC"/>
    <s v="Não iniciada"/>
    <x v="1"/>
    <n v="372049.64"/>
  </r>
  <r>
    <n v="1004300"/>
    <s v="CMEI Conj. Habit. Moradias Avelino Piacentini"/>
    <s v="Campo Mourão"/>
    <s v="PR"/>
    <s v="Em andamento"/>
    <x v="0"/>
    <n v="719579.88"/>
  </r>
  <r>
    <n v="1004301"/>
    <s v="CMEI Jardim Flora"/>
    <s v="Campo Mourão"/>
    <s v="PR"/>
    <s v="Em andamento"/>
    <x v="0"/>
    <n v="819392.35"/>
  </r>
  <r>
    <n v="1010390"/>
    <s v="AVELINO PIACENTINI"/>
    <s v="Campo Mourão"/>
    <s v="PR"/>
    <s v="Em andamento"/>
    <x v="0"/>
    <n v="888782.78"/>
  </r>
  <r>
    <n v="1004230"/>
    <s v="SEDE ALVORADA"/>
    <s v="Cascavel"/>
    <s v="PR"/>
    <s v="Paralisada"/>
    <x v="2"/>
    <n v="519271.48"/>
  </r>
  <r>
    <n v="1005696"/>
    <s v="OSCAR NIEMEYER"/>
    <s v="Cascavel"/>
    <s v="PR"/>
    <s v="Não iniciada"/>
    <x v="1"/>
    <n v="375680.39"/>
  </r>
  <r>
    <n v="1006985"/>
    <s v="MUNIQUE/TERRA NOVA"/>
    <s v="Cascavel"/>
    <s v="PR"/>
    <s v="Não iniciada"/>
    <x v="1"/>
    <n v="373585"/>
  </r>
  <r>
    <n v="1016714"/>
    <s v="Escola Zumbi dos Palmares"/>
    <s v="Cascavel"/>
    <s v="PR"/>
    <s v="Em andamento"/>
    <x v="3"/>
    <n v="998599"/>
  </r>
  <r>
    <n v="1006367"/>
    <s v="CEIM NEW VILLAS"/>
    <s v="Chapecó"/>
    <s v="SC"/>
    <s v="Em andamento"/>
    <x v="0"/>
    <n v="755325.53"/>
  </r>
  <r>
    <n v="1009202"/>
    <s v="JARDIM NITEROI/JD. SÃO ROQUE"/>
    <s v="Foz do Iguaçu"/>
    <s v="PR"/>
    <s v="Não iniciada"/>
    <x v="0"/>
    <n v="370547.14"/>
  </r>
  <r>
    <n v="1009203"/>
    <s v="Cidade Nova II / Vila Solidária"/>
    <s v="Foz do Iguaçu"/>
    <s v="PR"/>
    <s v="Não iniciada"/>
    <x v="0"/>
    <n v="372799.64"/>
  </r>
  <r>
    <n v="1009204"/>
    <s v="Eloi Lohmann"/>
    <s v="Foz do Iguaçu"/>
    <s v="PR"/>
    <s v="Não iniciada"/>
    <x v="0"/>
    <n v="370547.14"/>
  </r>
  <r>
    <n v="1009205"/>
    <s v="JARDIM CATARATAS - PAC 2 - CRECHE/PRÉ-ESCOLA 007"/>
    <s v="Foz do Iguaçu"/>
    <s v="PR"/>
    <s v="Não iniciada"/>
    <x v="1"/>
    <n v="370549.25"/>
  </r>
  <r>
    <n v="1011101"/>
    <s v="Campos Do Iguaçu CONJUNTO LIBRA"/>
    <s v="Foz do Iguaçu"/>
    <s v="PR"/>
    <s v="Não iniciada"/>
    <x v="1"/>
    <n v="0"/>
  </r>
  <r>
    <n v="1012814"/>
    <s v="JARDIM ALMADA - PAC 2 - CRECHE/PRÉ-ESCOLA 006"/>
    <s v="Foz do Iguaçu"/>
    <s v="PR"/>
    <s v="Não iniciada"/>
    <x v="1"/>
    <n v="0"/>
  </r>
  <r>
    <n v="1012815"/>
    <s v="CMEI GLEBA GUARANI"/>
    <s v="Foz do Iguaçu"/>
    <s v="PR"/>
    <s v="Não iniciada"/>
    <x v="1"/>
    <n v="0"/>
  </r>
  <r>
    <n v="1012816"/>
    <s v="JD MONACO"/>
    <s v="Foz do Iguaçu"/>
    <s v="PR"/>
    <s v="Não iniciada"/>
    <x v="1"/>
    <n v="0"/>
  </r>
  <r>
    <n v="1006081"/>
    <s v="Unidade Proinfancia Jardim das Américas"/>
    <s v="Goioerê"/>
    <s v="PR"/>
    <s v="Em andamento"/>
    <x v="2"/>
    <n v="372424.64"/>
  </r>
  <r>
    <n v="1010867"/>
    <s v="Escola Integral Conjunto Águas Claras"/>
    <s v="Goioerê"/>
    <s v="PR"/>
    <s v="Em andamento"/>
    <x v="0"/>
    <n v="3109485.46"/>
  </r>
  <r>
    <n v="13408"/>
    <s v="703277 - Esc. Educ. Infantil - Tipo B - Proinfância - Construção"/>
    <s v="Gravataí"/>
    <s v="RS"/>
    <s v="Não iniciada"/>
    <x v="1"/>
    <n v="0"/>
  </r>
  <r>
    <n v="19651"/>
    <s v="EMEI Morada do Vale II"/>
    <s v="Gravataí"/>
    <s v="RS"/>
    <s v="Em andamento"/>
    <x v="0"/>
    <n v="1346381.53"/>
  </r>
  <r>
    <n v="19874"/>
    <s v="EMEI Princesas"/>
    <s v="Gravataí"/>
    <s v="RS"/>
    <s v="Paralisada"/>
    <x v="2"/>
    <n v="389635.12"/>
  </r>
  <r>
    <n v="24614"/>
    <s v="EMEI PORTO SEGURO"/>
    <s v="Gravataí"/>
    <s v="RS"/>
    <s v="Em andamento"/>
    <x v="0"/>
    <n v="481997.87"/>
  </r>
  <r>
    <n v="24615"/>
    <s v="EMEI MORADA DO VALE III"/>
    <s v="Gravataí"/>
    <s v="RS"/>
    <s v="Paralisada"/>
    <x v="2"/>
    <n v="135918.87"/>
  </r>
  <r>
    <n v="24616"/>
    <s v="EMEI RINCÃO DA MADALENA"/>
    <s v="Gravataí"/>
    <s v="RS"/>
    <s v="Paralisada"/>
    <x v="2"/>
    <n v="581997.87"/>
  </r>
  <r>
    <n v="24617"/>
    <s v="EMEI IBIZA"/>
    <s v="Gravataí"/>
    <s v="RS"/>
    <s v="Não iniciada"/>
    <x v="1"/>
    <n v="290998.93"/>
  </r>
  <r>
    <n v="24618"/>
    <s v="EMEI PARQUE DOS EUCALIPTOS"/>
    <s v="Gravataí"/>
    <s v="RS"/>
    <s v="Em andamento"/>
    <x v="0"/>
    <n v="1359030.13"/>
  </r>
  <r>
    <n v="1010678"/>
    <s v="E.M.E.I. COHAB C"/>
    <s v="Gravataí"/>
    <s v="RS"/>
    <s v="Não iniciada"/>
    <x v="0"/>
    <n v="701582.3"/>
  </r>
  <r>
    <n v="1010679"/>
    <s v="E.M.E.I. RAIO DE SOL"/>
    <s v="Gravataí"/>
    <s v="RS"/>
    <s v="Em andamento"/>
    <x v="2"/>
    <n v="373185.1"/>
  </r>
  <r>
    <n v="1010680"/>
    <s v="E.M.E.I. PARQUE FLORIDO"/>
    <s v="Gravataí"/>
    <s v="RS"/>
    <s v="Não iniciada"/>
    <x v="4"/>
    <n v="374458.93"/>
  </r>
  <r>
    <n v="1010681"/>
    <s v="E.M.E.I. BEM ME QUER"/>
    <s v="Gravataí"/>
    <s v="RS"/>
    <s v="Em andamento"/>
    <x v="0"/>
    <n v="859163.32"/>
  </r>
  <r>
    <n v="1010682"/>
    <s v="E.M.E.I. ALTAVILLE"/>
    <s v="Gravataí"/>
    <s v="RS"/>
    <s v="Não iniciada"/>
    <x v="1"/>
    <n v="373913.85"/>
  </r>
  <r>
    <n v="1011012"/>
    <s v="E.M.E.I. COSTA DO IPIRANGA"/>
    <s v="Gravataí"/>
    <s v="RS"/>
    <s v="Em andamento"/>
    <x v="0"/>
    <n v="275257.42"/>
  </r>
  <r>
    <n v="1011013"/>
    <s v="E.M.E.I. FAVO DE MEL"/>
    <s v="Gravataí"/>
    <s v="RS"/>
    <s v="Em andamento"/>
    <x v="2"/>
    <n v="162222.64000000001"/>
  </r>
  <r>
    <n v="25284"/>
    <s v="PAC 2 - CRECHE/PRÉ-ESCOLA 009"/>
    <s v="Guarapuava"/>
    <s v="PR"/>
    <s v="Concluída"/>
    <x v="3"/>
    <n v="1368907.75"/>
  </r>
  <r>
    <n v="25286"/>
    <s v="PAC 2 - CRECHE/PRÉ-ESCOLA 008"/>
    <s v="Guarapuava"/>
    <s v="PR"/>
    <s v="Concluída"/>
    <x v="3"/>
    <n v="1332840.94"/>
  </r>
  <r>
    <n v="1005588"/>
    <s v="Creche Vila Colibri"/>
    <s v="Guarapuava"/>
    <s v="PR"/>
    <s v="Em andamento"/>
    <x v="0"/>
    <n v="1060278.96"/>
  </r>
  <r>
    <n v="25130"/>
    <s v="PAC 2 - CRECHE/PRÉ-ESCOLA 001"/>
    <s v="Imbituba"/>
    <s v="SC"/>
    <s v="Paralisada"/>
    <x v="2"/>
    <n v="1086475.28"/>
  </r>
  <r>
    <n v="1006532"/>
    <s v="CENTRO DE EDUCAÇÃO INFANTIL DO BAIRRO CAMPESTRE"/>
    <s v="Imbituba"/>
    <s v="SC"/>
    <s v="Não iniciada"/>
    <x v="1"/>
    <n v="371770.9"/>
  </r>
  <r>
    <n v="1001606"/>
    <s v="EMEI Conventos"/>
    <s v="Lajeado"/>
    <s v="RS"/>
    <s v="Em andamento"/>
    <x v="0"/>
    <n v="1135607.6000000001"/>
  </r>
  <r>
    <n v="1017501"/>
    <s v="EMEI BOM PASTOR"/>
    <s v="Lajeado"/>
    <s v="RS"/>
    <s v="Não iniciada"/>
    <x v="1"/>
    <n v="0"/>
  </r>
  <r>
    <n v="24448"/>
    <s v="PAC 2 - CRECHE/PRÉ-ESCOLA 002"/>
    <s v="Limeira"/>
    <s v="SP"/>
    <s v="Não iniciada"/>
    <x v="1"/>
    <n v="361950.07"/>
  </r>
  <r>
    <n v="24449"/>
    <s v="PAC 2 - CRECHE/PRÉ-ESCOLA 004"/>
    <s v="Limeira"/>
    <s v="SP"/>
    <s v="Paralisada"/>
    <x v="2"/>
    <n v="955917.1"/>
  </r>
  <r>
    <n v="24450"/>
    <s v="PAC 2 - CRECHE/PRÉ-ESCOLA 001"/>
    <s v="Limeira"/>
    <s v="SP"/>
    <s v="Não iniciada"/>
    <x v="4"/>
    <n v="728896.29"/>
  </r>
  <r>
    <n v="24451"/>
    <s v="PAC 2 - CRECHE/PRÉ-ESCOLA 006"/>
    <s v="Limeira"/>
    <s v="SP"/>
    <s v="Não iniciada"/>
    <x v="4"/>
    <n v="0"/>
  </r>
  <r>
    <n v="1014625"/>
    <s v="Creche Res. Alto dos Laranjais"/>
    <s v="Limeira"/>
    <s v="SP"/>
    <s v="Não iniciada"/>
    <x v="1"/>
    <n v="379084.64"/>
  </r>
  <r>
    <n v="17386"/>
    <s v="700068/11 - Escola de Educação Infantil"/>
    <s v="Palhoça"/>
    <s v="SC"/>
    <s v="Paralisada"/>
    <x v="2"/>
    <n v="0"/>
  </r>
  <r>
    <n v="25132"/>
    <s v="Creche Jardim Coqueiros"/>
    <s v="Palhoça"/>
    <s v="SC"/>
    <s v="Paralisada"/>
    <x v="3"/>
    <n v="313371.39"/>
  </r>
  <r>
    <n v="25133"/>
    <s v="Creche Alaor Silveira"/>
    <s v="Palhoça"/>
    <s v="SC"/>
    <s v="Paralisada"/>
    <x v="3"/>
    <n v="438719.94"/>
  </r>
  <r>
    <n v="25134"/>
    <s v="Creche Loteamento Mirian II"/>
    <s v="Palhoça"/>
    <s v="SC"/>
    <s v="Paralisada"/>
    <x v="3"/>
    <n v="313371.39"/>
  </r>
  <r>
    <n v="25135"/>
    <s v="Creche Caminho Novo"/>
    <s v="Palhoça"/>
    <s v="SC"/>
    <s v="Não iniciada"/>
    <x v="1"/>
    <n v="286645.45"/>
  </r>
  <r>
    <n v="1006536"/>
    <s v="Área Institucional Loteamento Igaraty"/>
    <s v="Palhoça"/>
    <s v="SC"/>
    <s v="Não iniciada"/>
    <x v="1"/>
    <n v="201702.1"/>
  </r>
  <r>
    <n v="19337"/>
    <s v="JARDIM IGUAÇU"/>
    <s v="Paranaguá"/>
    <s v="PR"/>
    <s v="Em andamento"/>
    <x v="3"/>
    <n v="961251.39"/>
  </r>
  <r>
    <n v="25356"/>
    <s v="LOCALIDADE CAIC"/>
    <s v="Paranaguá"/>
    <s v="PR"/>
    <s v="Não iniciada"/>
    <x v="1"/>
    <n v="289956.44"/>
  </r>
  <r>
    <n v="25357"/>
    <s v="Labra"/>
    <s v="Paranaguá"/>
    <s v="PR"/>
    <s v="Não iniciada"/>
    <x v="1"/>
    <n v="289978.53999999998"/>
  </r>
  <r>
    <n v="25358"/>
    <s v="Jardim Esperança"/>
    <s v="Paranaguá"/>
    <s v="PR"/>
    <s v="Não iniciada"/>
    <x v="1"/>
    <n v="289740.40000000002"/>
  </r>
  <r>
    <n v="25359"/>
    <s v="Alexandra"/>
    <s v="Paranaguá"/>
    <s v="PR"/>
    <s v="Não iniciada"/>
    <x v="1"/>
    <n v="289984.52"/>
  </r>
  <r>
    <n v="25360"/>
    <s v="Porto dos Padres"/>
    <s v="Paranaguá"/>
    <s v="PR"/>
    <s v="Não iniciada"/>
    <x v="1"/>
    <n v="289980.53000000003"/>
  </r>
  <r>
    <n v="1005814"/>
    <s v="DIVINÉIA"/>
    <s v="Paranaguá"/>
    <s v="PR"/>
    <s v="Não iniciada"/>
    <x v="1"/>
    <n v="202443.14"/>
  </r>
  <r>
    <n v="1009214"/>
    <s v="Beira Rio"/>
    <s v="Paranaguá"/>
    <s v="PR"/>
    <s v="Não iniciada"/>
    <x v="1"/>
    <n v="202155.89"/>
  </r>
  <r>
    <n v="18129"/>
    <s v="EMEI SANGA FUNDA"/>
    <s v="Pelotas"/>
    <s v="RS"/>
    <s v="Em andamento"/>
    <x v="2"/>
    <n v="171901.53"/>
  </r>
  <r>
    <n v="19600"/>
    <s v="LOTEAMENTO EUCALIPTO"/>
    <s v="Pelotas"/>
    <s v="RS"/>
    <s v="Em andamento"/>
    <x v="2"/>
    <n v="183869.24"/>
  </r>
  <r>
    <n v="20024"/>
    <s v="EMEI MONTE BONITO"/>
    <s v="Pelotas"/>
    <s v="RS"/>
    <s v="Não iniciada"/>
    <x v="2"/>
    <n v="122786.81"/>
  </r>
  <r>
    <n v="20029"/>
    <s v="EMEI SÍTIO FLORESTA"/>
    <s v="Pelotas"/>
    <s v="RS"/>
    <s v="Em andamento"/>
    <x v="2"/>
    <n v="183869.24"/>
  </r>
  <r>
    <n v="20033"/>
    <s v="LOTEAMENTO DUNAS"/>
    <s v="Pelotas"/>
    <s v="RS"/>
    <s v="Em andamento"/>
    <x v="2"/>
    <n v="183869.24"/>
  </r>
  <r>
    <n v="20061"/>
    <s v="EMEI Z3"/>
    <s v="Pelotas"/>
    <s v="RS"/>
    <s v="Não iniciada"/>
    <x v="2"/>
    <n v="122786.81"/>
  </r>
  <r>
    <n v="20179"/>
    <s v="VILA PRINCESA"/>
    <s v="Pelotas"/>
    <s v="RS"/>
    <s v="Em andamento"/>
    <x v="2"/>
    <n v="183869.26"/>
  </r>
  <r>
    <n v="24619"/>
    <s v="EMEI Getulio Vargas"/>
    <s v="Pelotas"/>
    <s v="RS"/>
    <s v="Paralisada"/>
    <x v="2"/>
    <n v="676367.26"/>
  </r>
  <r>
    <n v="24620"/>
    <s v="EMEI Governaço"/>
    <s v="Pelotas"/>
    <s v="RS"/>
    <s v="Não iniciada"/>
    <x v="1"/>
    <n v="415377.33"/>
  </r>
  <r>
    <n v="24621"/>
    <s v="EMEI Navegantes"/>
    <s v="Pelotas"/>
    <s v="RS"/>
    <s v="Em andamento"/>
    <x v="0"/>
    <n v="405341.22"/>
  </r>
  <r>
    <n v="24622"/>
    <s v="EMEI Farroupilha"/>
    <s v="Pelotas"/>
    <s v="RS"/>
    <s v="Não iniciada"/>
    <x v="2"/>
    <n v="415490.76"/>
  </r>
  <r>
    <n v="24623"/>
    <s v="EMEI Loteamento Eldorado"/>
    <s v="Pelotas"/>
    <s v="RS"/>
    <s v="Paralisada"/>
    <x v="2"/>
    <n v="685148.3"/>
  </r>
  <r>
    <n v="1009321"/>
    <s v="Vasco Pires"/>
    <s v="Pelotas"/>
    <s v="RS"/>
    <s v="Não iniciada"/>
    <x v="0"/>
    <n v="0"/>
  </r>
  <r>
    <n v="1009322"/>
    <s v="Laranjal"/>
    <s v="Pelotas"/>
    <s v="RS"/>
    <s v="Não iniciada"/>
    <x v="0"/>
    <n v="0"/>
  </r>
  <r>
    <n v="17717"/>
    <s v="700195/11 - EE Infantil - Vila Romana"/>
    <s v="Ponta Grossa"/>
    <s v="PR"/>
    <s v="Não iniciada"/>
    <x v="1"/>
    <n v="0"/>
  </r>
  <r>
    <n v="17718"/>
    <s v="700195/11 - EE Infantil - Vila Cristina"/>
    <s v="Ponta Grossa"/>
    <s v="PR"/>
    <s v="Não iniciada"/>
    <x v="1"/>
    <n v="0"/>
  </r>
  <r>
    <n v="17720"/>
    <s v="700195/11 - EE Infantil - 31 de Março"/>
    <s v="Ponta Grossa"/>
    <s v="PR"/>
    <s v="Em andamento"/>
    <x v="3"/>
    <n v="0"/>
  </r>
  <r>
    <n v="19529"/>
    <s v="CMEI DO JARDIM PANAMÁ"/>
    <s v="Ponta Grossa"/>
    <s v="PR"/>
    <s v="Não iniciada"/>
    <x v="1"/>
    <n v="879291.23"/>
  </r>
  <r>
    <n v="19531"/>
    <s v="CMEI DA VILA CRISTINA"/>
    <s v="Ponta Grossa"/>
    <s v="PR"/>
    <s v="Não iniciada"/>
    <x v="1"/>
    <n v="308250.07"/>
  </r>
  <r>
    <n v="19536"/>
    <s v="CMEI DO PARQUE TAROBA"/>
    <s v="Ponta Grossa"/>
    <s v="PR"/>
    <s v="Não iniciada"/>
    <x v="1"/>
    <n v="308250.12"/>
  </r>
  <r>
    <n v="25309"/>
    <s v="PAC 2 - CRECHE/PRÉ-ESCOLA MCMV 001"/>
    <s v="Ponta Grossa"/>
    <s v="PR"/>
    <s v="Não iniciada"/>
    <x v="1"/>
    <n v="727500"/>
  </r>
  <r>
    <n v="25311"/>
    <s v="CMEI JARDIM DOS MANACÁS"/>
    <s v="Ponta Grossa"/>
    <s v="PR"/>
    <s v="Não iniciada"/>
    <x v="1"/>
    <n v="727500"/>
  </r>
  <r>
    <n v="25312"/>
    <s v="CMEI VILA ELISEU CAMPOS MELLO"/>
    <s v="Ponta Grossa"/>
    <s v="PR"/>
    <s v="Não iniciada"/>
    <x v="1"/>
    <n v="340000"/>
  </r>
  <r>
    <n v="8969"/>
    <s v="657111 - Esc. Educ. Infantil - Tipo B"/>
    <s v="Santa Maria"/>
    <s v="RS"/>
    <s v="-"/>
    <x v="5"/>
    <n v="0"/>
  </r>
  <r>
    <n v="13418"/>
    <s v="704173 - Esc. Educ. Infantil - Tipo C - Proinfância - Construção"/>
    <s v="Santa Maria"/>
    <s v="RS"/>
    <s v="-"/>
    <x v="5"/>
    <n v="0"/>
  </r>
  <r>
    <n v="19778"/>
    <s v="Estação dos Ventos"/>
    <s v="Santa Maria"/>
    <s v="RS"/>
    <s v="Não iniciada"/>
    <x v="1"/>
    <n v="261014.06"/>
  </r>
  <r>
    <n v="19910"/>
    <s v="Vila São João Batista"/>
    <s v="Santa Maria"/>
    <s v="RS"/>
    <s v="Não iniciada"/>
    <x v="1"/>
    <n v="261014.06"/>
  </r>
  <r>
    <n v="19965"/>
    <s v="Diácono Luiz Pozzobom"/>
    <s v="Santa Maria"/>
    <s v="RS"/>
    <s v="Paralisada"/>
    <x v="2"/>
    <n v="755736.57"/>
  </r>
  <r>
    <n v="20098"/>
    <s v="Vila Jardim"/>
    <s v="Santa Maria"/>
    <s v="RS"/>
    <s v="Não iniciada"/>
    <x v="1"/>
    <n v="261014.06"/>
  </r>
  <r>
    <n v="24531"/>
    <s v="PAC 2 - CRECHE/PRÉ-ESCOLA MCMV 001"/>
    <s v="Santa Maria"/>
    <s v="RS"/>
    <s v="Não iniciada"/>
    <x v="4"/>
    <n v="135996.32999999999"/>
  </r>
  <r>
    <n v="24532"/>
    <s v="Residencial Lopes"/>
    <s v="Santa Maria"/>
    <s v="RS"/>
    <s v="Paralisada"/>
    <x v="2"/>
    <n v="769930.21"/>
  </r>
  <r>
    <n v="24533"/>
    <s v="PAC_ DOM LUIZ VICTOR SARTORI"/>
    <s v="Santa Maria"/>
    <s v="RS"/>
    <s v="Não iniciada"/>
    <x v="4"/>
    <n v="135740.14000000001"/>
  </r>
  <r>
    <n v="24534"/>
    <s v="PAC 2 - CRECHE Municipal Bairro Nossa Senhora da Medianeira"/>
    <s v="Santa Maria"/>
    <s v="RS"/>
    <s v="Paralisada"/>
    <x v="2"/>
    <n v="765493.72"/>
  </r>
  <r>
    <n v="24535"/>
    <s v="PAC 2 - CRECHE SANTA MARTA"/>
    <s v="Santa Maria"/>
    <s v="RS"/>
    <s v="Paralisada"/>
    <x v="2"/>
    <n v="765780.1"/>
  </r>
  <r>
    <n v="24536"/>
    <s v="PAC 2 - CRECHE/PRÉ-ESCOLA 002 LOTEAMENTO MONTE BELO-CAMOBI"/>
    <s v="Santa Maria"/>
    <s v="RS"/>
    <s v="Paralisada"/>
    <x v="2"/>
    <n v="766345.25"/>
  </r>
  <r>
    <n v="25206"/>
    <s v="CEI Majorca"/>
    <s v="São Francisco do Sul"/>
    <s v="SC"/>
    <s v="Paralisada"/>
    <x v="2"/>
    <n v="288886.01"/>
  </r>
  <r>
    <n v="1014175"/>
    <s v="Iperoba"/>
    <s v="São Francisco do Sul"/>
    <s v="SC"/>
    <s v="Paralisada"/>
    <x v="0"/>
    <n v="1350836.17"/>
  </r>
  <r>
    <n v="24484"/>
    <s v="PAC 2 - CRECHE/PRÉ-ESCOLA 005"/>
    <s v="São José dos Campos"/>
    <s v="SP"/>
    <s v="Em andamento"/>
    <x v="3"/>
    <n v="6841286.29"/>
  </r>
  <r>
    <n v="1010716"/>
    <s v="PAC 2 - CRECHE/PRÉ-ESCOLA 002"/>
    <s v="São José dos Campos"/>
    <s v="SP"/>
    <s v="Em andamento"/>
    <x v="3"/>
    <n v="6100066.4299999997"/>
  </r>
  <r>
    <n v="1010717"/>
    <s v="PAC 2 - CRECHE/PRÉ-ESCOLA 003 TIPO I"/>
    <s v="São José dos Campos"/>
    <s v="SP"/>
    <s v="Em andamento"/>
    <x v="3"/>
    <n v="1979860.84"/>
  </r>
  <r>
    <s v="1067788 (1001904)"/>
    <s v="Creche Municipal JARDIM OÁSIS"/>
    <s v="Taubaté"/>
    <s v="SP"/>
    <s v="Paralisada"/>
    <x v="0"/>
    <n v="1306128.32"/>
  </r>
  <r>
    <n v="1006108"/>
    <s v="Creche Municipal HÍPICA PINHEIRO"/>
    <s v="Taubaté"/>
    <s v="SP"/>
    <s v="Em andamento"/>
    <x v="0"/>
    <n v="1385921.67"/>
  </r>
  <r>
    <n v="1006109"/>
    <s v="Creche Municipal PORTAL DA MANTIQUEIRA"/>
    <s v="Taubaté"/>
    <s v="SP"/>
    <s v="Em andamento"/>
    <x v="0"/>
    <n v="1623526.33"/>
  </r>
  <r>
    <n v="1006110"/>
    <s v="Creche Municipal FAZENDINHA"/>
    <s v="Taubaté"/>
    <s v="SP"/>
    <s v="Em andamento"/>
    <x v="0"/>
    <n v="1385825.4"/>
  </r>
  <r>
    <n v="4443"/>
    <s v="700302 - EE Infantil - Canaã II"/>
    <s v="Uberlândia"/>
    <s v="MG"/>
    <s v="Paralisada"/>
    <x v="0"/>
    <n v="0"/>
  </r>
  <r>
    <n v="7895"/>
    <s v="710390 - E Educ Infantil C- Jd. Palmeiras II"/>
    <s v="Uberlândia"/>
    <s v="MG"/>
    <s v="Não iniciada"/>
    <x v="1"/>
    <n v="0"/>
  </r>
  <r>
    <n v="8235"/>
    <s v="710390 - E Educ Infantil Tipo C - Jd. Europa"/>
    <s v="Uberlândia"/>
    <s v="MG"/>
    <s v="Não iniciada"/>
    <x v="1"/>
    <n v="0"/>
  </r>
  <r>
    <n v="8236"/>
    <s v="710390 - E Educ Infantil Tipo B - Mansour"/>
    <s v="Uberlândia"/>
    <s v="MG"/>
    <s v="Não iniciada"/>
    <x v="1"/>
    <n v="0"/>
  </r>
  <r>
    <n v="8237"/>
    <s v="710390 - E Educ Infantil B - Jardim Botânico"/>
    <s v="Uberlândia"/>
    <s v="MG"/>
    <s v="Não iniciada"/>
    <x v="1"/>
    <n v="0"/>
  </r>
  <r>
    <n v="8238"/>
    <s v="710390 - E Educ Infantil Tipo C - Pacaembu"/>
    <s v="Uberlândia"/>
    <s v="MG"/>
    <s v="Não iniciada"/>
    <x v="1"/>
    <n v="0"/>
  </r>
  <r>
    <n v="8239"/>
    <s v="710390 - E Educ Infantil C - Jd. Sucupira"/>
    <s v="Uberlândia"/>
    <s v="MG"/>
    <s v="Não iniciada"/>
    <x v="1"/>
    <n v="0"/>
  </r>
  <r>
    <n v="8240"/>
    <s v="710390 - E Educ Infantil Tipo B - Planalto"/>
    <s v="Uberlândia"/>
    <s v="MG"/>
    <s v="Não iniciada"/>
    <x v="1"/>
    <n v="0"/>
  </r>
  <r>
    <n v="8241"/>
    <s v="710390 - E Educ Infantil Tipo C - Morumbi"/>
    <s v="Uberlândia"/>
    <s v="MG"/>
    <s v="Não iniciada"/>
    <x v="1"/>
    <n v="0"/>
  </r>
  <r>
    <n v="1001247"/>
    <s v="PAC 2 - CRECHE/PRÉ-ESCOLA 005"/>
    <s v="Uberlândia"/>
    <s v="MG"/>
    <s v="Não iniciada"/>
    <x v="1"/>
    <n v="393925.58"/>
  </r>
  <r>
    <n v="1001248"/>
    <s v="PAC 2 - CRECHE/PRÉ-ESCOLA 001"/>
    <s v="Uberlândia"/>
    <s v="MG"/>
    <s v="Não iniciada"/>
    <x v="1"/>
    <n v="393925.57"/>
  </r>
  <r>
    <n v="1002357"/>
    <s v="PAC 2 - CRECHE/PRÉ-ESCOLA MCMV 006"/>
    <s v="Uberlândia"/>
    <s v="MG"/>
    <s v="Não iniciada"/>
    <x v="1"/>
    <n v="393727.89"/>
  </r>
  <r>
    <n v="1002358"/>
    <s v="PAC 2 - CRECHE/PRÉ-ESCOLA MCMV 005"/>
    <s v="Uberlândia"/>
    <s v="MG"/>
    <s v="Não iniciada"/>
    <x v="1"/>
    <n v="394800.01"/>
  </r>
  <r>
    <n v="1002359"/>
    <s v="PAC 2 - CRECHE/PRÉ-ESCOLA MCMV 004"/>
    <s v="Uberlândia"/>
    <s v="MG"/>
    <s v="Não iniciada"/>
    <x v="1"/>
    <n v="391270.01"/>
  </r>
  <r>
    <n v="1002360"/>
    <s v="PAC 2 - CRECHE/PRÉ-ESCOLA 003"/>
    <s v="Uberlândia"/>
    <s v="MG"/>
    <s v="Não iniciada"/>
    <x v="1"/>
    <n v="397982.51"/>
  </r>
  <r>
    <n v="1002361"/>
    <s v="PAC 2 - CRECHE/PRÉ-ESCOLA MCMV 003"/>
    <s v="Uberlândia"/>
    <s v="MG"/>
    <s v="Não iniciada"/>
    <x v="1"/>
    <n v="394706.64"/>
  </r>
  <r>
    <n v="1002362"/>
    <s v="PAC 2 - CRECHE/PRÉ-ESCOLA MCMV 002"/>
    <s v="Uberlândia"/>
    <s v="MG"/>
    <s v="Não iniciada"/>
    <x v="1"/>
    <n v="395766.26"/>
  </r>
  <r>
    <n v="1002363"/>
    <s v="PAC 2 - CRECHE/PRÉ-ESCOLA 006"/>
    <s v="Uberlândia"/>
    <s v="MG"/>
    <s v="Não iniciada"/>
    <x v="1"/>
    <n v="397895.01"/>
  </r>
  <r>
    <n v="1002364"/>
    <s v="PAC 2 - CRECHE/PRÉ-ESCOLA MCMV 001"/>
    <s v="Uberlândia"/>
    <s v="MG"/>
    <s v="Não iniciada"/>
    <x v="1"/>
    <n v="395433.76"/>
  </r>
  <r>
    <n v="1002365"/>
    <s v="PAC 2 - CRECHE/PRÉ-ESCOLA 002"/>
    <s v="Uberlândia"/>
    <s v="MG"/>
    <s v="Não iniciada"/>
    <x v="1"/>
    <n v="394652.89"/>
  </r>
  <r>
    <n v="1004081"/>
    <s v="EMENDA PARLAMENTAR 27680005"/>
    <s v="Uberlândia"/>
    <s v="MG"/>
    <s v="Não iniciada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s v="Araucária"/>
    <s v="PR"/>
    <s v="Sim"/>
    <n v="25351"/>
    <s v="PAC 2 - CRECHE/PRÉ-ESCOLA 002"/>
    <s v="Fazenda Velha"/>
    <s v="2013"/>
    <s v="Não iniciada"/>
    <n v="0"/>
    <s v="-"/>
    <s v="Em andamento"/>
    <n v="15"/>
    <d v="2017-12-03T00:00:00"/>
    <n v="0"/>
    <n v="1"/>
    <s v="Em andamento"/>
    <n v="0.35060000000000002"/>
    <d v="2018-07-02T00:00:00"/>
    <n v="0"/>
    <m/>
    <s v="Não iniciada"/>
    <s v="0.00"/>
    <s v="-"/>
    <n v="1"/>
    <m/>
    <n v="1"/>
    <s v="Cancelada"/>
    <s v="0.00"/>
    <n v="0"/>
    <x v="0"/>
    <s v="TC reformulado em 2016"/>
    <s v="Inex 19/2014. CP 182016"/>
    <s v="Contrato anterior: 51/2014. SIMEC desatualizado, consta homologação da licitação, porém não os dados de contrato. Contrato 05/2017."/>
    <s v="Sim"/>
    <s v="Sim"/>
    <s v="Sim"/>
    <n v="133353.57999999999"/>
    <n v="576713.35"/>
    <n v="1"/>
    <n v="3"/>
    <n v="192237.78333333333"/>
    <n v="181924"/>
    <n v="181924"/>
    <x v="0"/>
    <x v="0"/>
    <n v="2017"/>
    <s v="-"/>
    <m/>
    <n v="0"/>
    <s v="Sim"/>
    <s v="(77578623000170) CASAALTA CONSTRUCOES LTDA"/>
    <d v="2014-04-15T00:00:00"/>
    <d v="2015-04-15T00:00:00"/>
    <d v="2015-04-15T00:00:00"/>
    <n v="365"/>
    <n v="365"/>
    <n v="822235.28"/>
    <n v="822235.28"/>
    <s v="(12.953.704/0001-68) MARCO ANTÔNIO FERRARI RAMOS E CIA LTDA"/>
    <d v="2017-01-20T00:00:00"/>
    <d v="2017-11-24T00:00:00"/>
    <d v="2018-11-24T00:00:00"/>
    <n v="300"/>
    <n v="365"/>
    <n v="1362576.72"/>
    <n v="1410215.18"/>
    <m/>
    <m/>
    <m/>
    <m/>
    <m/>
    <m/>
    <m/>
    <m/>
    <m/>
    <m/>
    <m/>
    <m/>
    <m/>
    <m/>
    <m/>
    <m/>
  </r>
  <r>
    <s v="Araucária"/>
    <s v="PR"/>
    <s v="Sim"/>
    <n v="25352"/>
    <s v="PAC 2 - CRECHE/PRÉ-ESCOLA 001"/>
    <s v="Campina da Barra - Jardineira"/>
    <s v="2013"/>
    <s v="Não iniciada"/>
    <n v="0"/>
    <s v="-"/>
    <s v="Não iniciada"/>
    <m/>
    <m/>
    <n v="1"/>
    <n v="0"/>
    <s v="Não iniciada"/>
    <n v="0"/>
    <m/>
    <n v="1"/>
    <n v="5"/>
    <s v="Não iniciada"/>
    <s v="0.00"/>
    <s v="-"/>
    <n v="0"/>
    <n v="1"/>
    <n v="1"/>
    <s v="Cancelada"/>
    <s v="0.00"/>
    <n v="0"/>
    <x v="1"/>
    <s v="TC reformulado em 2016"/>
    <s v="Inex 21/2014. CP 182016"/>
    <s v="Contrato anterior 53/2014. SIMEC desatualizado, consta homologação da licitação, porém não os dados de contrato. Contrato 03/2017. Problemas com a posse do terreno."/>
    <s v="Sim"/>
    <s v="Sim"/>
    <s v="Sim"/>
    <n v="289979.11"/>
    <n v="576713.35"/>
    <n v="0"/>
    <n v="3"/>
    <n v="192237.78333333333"/>
    <n v="395596"/>
    <n v="395596"/>
    <x v="0"/>
    <x v="0"/>
    <s v="-"/>
    <s v="-"/>
    <m/>
    <n v="0"/>
    <s v="Sim"/>
    <s v="(77578623000170) CASAALTA CONSTRUCOES LTDA"/>
    <d v="2014-04-15T00:00:00"/>
    <d v="2015-04-15T00:00:00"/>
    <d v="2015-04-15T00:00:00"/>
    <n v="365"/>
    <n v="365"/>
    <n v="1482198.54"/>
    <n v="1482198.54"/>
    <s v="(12.953.704/0001-68) MARCO ANTÔNIO FERRARI RAMOS E CIA LTDA"/>
    <d v="2017-01-24T00:00:00"/>
    <d v="2018-01-24T00:00:00"/>
    <d v="2019-01-24T00:00:00"/>
    <n v="360"/>
    <n v="665"/>
    <n v="1865631.56"/>
    <n v="1865631.56"/>
    <m/>
    <m/>
    <m/>
    <m/>
    <m/>
    <m/>
    <m/>
    <m/>
    <m/>
    <m/>
    <m/>
    <m/>
    <m/>
    <m/>
    <m/>
    <m/>
  </r>
  <r>
    <s v="Araucária"/>
    <s v="PR"/>
    <s v="Sim"/>
    <n v="25353"/>
    <s v="PAC 2 - CRECHE/PRÉ-ESCOLA 006"/>
    <s v="Capela Velha - Jardim Marcelino"/>
    <s v="2013"/>
    <s v="Paralisada"/>
    <n v="2.0299999999999998"/>
    <d v="2015-11-05T00:00:00"/>
    <s v="Paralisada"/>
    <n v="10"/>
    <d v="2017-09-15T00:00:00"/>
    <n v="0"/>
    <n v="0"/>
    <s v="Paralisada"/>
    <n v="0.1555"/>
    <m/>
    <n v="0"/>
    <m/>
    <s v="Paralisada"/>
    <s v="02.03"/>
    <d v="2015-05-11T00:00:00"/>
    <n v="0"/>
    <m/>
    <n v="1"/>
    <s v="Paralisada"/>
    <s v="02.03"/>
    <d v="2015-05-11T00:00:00"/>
    <x v="0"/>
    <s v="TC reformulado em 2016"/>
    <s v="Inex 20/2014. CP 112016. CP 182017 - suspensa."/>
    <s v="Contratos anteriores: 52/2014; 104/2016, rescindido em jun/2017. Nova licitação já concluída, porém suspensa pelo TCU em jun/2018. SIMEC desatualizado, consta homologação da licitação, porém não os dados de contrato."/>
    <s v="Sim"/>
    <s v="Sim"/>
    <s v="Sim"/>
    <n v="289979.11"/>
    <n v="576713.35"/>
    <n v="0"/>
    <n v="3"/>
    <n v="192237.78333333333"/>
    <n v="395596"/>
    <n v="395596"/>
    <x v="0"/>
    <x v="1"/>
    <n v="2015"/>
    <s v="-"/>
    <m/>
    <n v="0"/>
    <s v="Sim"/>
    <s v="(77578623000170) CASAALTA CONSTRUCOES LTDA"/>
    <d v="2014-04-15T00:00:00"/>
    <d v="2015-04-15T00:00:00"/>
    <d v="2015-04-15T00:00:00"/>
    <n v="365"/>
    <n v="365"/>
    <n v="1483626.54"/>
    <n v="1483626.54"/>
    <s v="(14.574.771/0001-05) ÁREA SUL_x000a_CONSTRUÇÃO CIVIL LTDA. EPP"/>
    <d v="2016-07-15T00:00:00"/>
    <d v="2017-10-15T00:00:00"/>
    <d v="2017-10-15T00:00:00"/>
    <n v="450"/>
    <n v="450"/>
    <n v="1975000"/>
    <n v="1975000"/>
    <s v="(27599963000100) LHC CONSTRUCOES EIRELI - ME"/>
    <d v="2018-04-17T00:00:00"/>
    <d v="2019-05-16T00:00:00"/>
    <d v="2019-05-16T00:00:00"/>
    <n v="457"/>
    <n v="457"/>
    <n v="2217599.42"/>
    <n v="2217599.42"/>
    <m/>
    <m/>
    <m/>
    <m/>
    <m/>
    <m/>
    <m/>
    <m/>
  </r>
  <r>
    <s v="Araucária"/>
    <s v="PR"/>
    <s v="Sim"/>
    <n v="33214"/>
    <s v="PAC 2 - CRECHE/PRÉ-ESCOLA 005"/>
    <s v="Capela Velha - Jardim Itaipu"/>
    <s v="2013"/>
    <s v="Não iniciada"/>
    <n v="0"/>
    <s v="-"/>
    <s v="Não iniciada"/>
    <m/>
    <m/>
    <n v="1"/>
    <n v="0"/>
    <s v="Não iniciada"/>
    <n v="0"/>
    <m/>
    <n v="1"/>
    <n v="5"/>
    <s v="Não iniciada"/>
    <s v="0.00"/>
    <s v="-"/>
    <n v="0"/>
    <m/>
    <n v="1"/>
    <s v="Cancelada"/>
    <s v="0.00"/>
    <n v="0"/>
    <x v="2"/>
    <s v="TC reformulado em 2016"/>
    <s v="Inex 55/2014. CP 112016. CP 162017 - suspensa."/>
    <s v="Contratos anteriores: 109/2014; 106/2016, rescindido em jun/2017. Nova licitação já concluída, porém suspensa pelo TCU em jun/2018. SIMEC desatualizado."/>
    <s v="Não"/>
    <s v="Sim"/>
    <s v="Sim"/>
    <n v="374180.39"/>
    <n v="0"/>
    <n v="1"/>
    <n v="25"/>
    <n v="0"/>
    <n v="466078"/>
    <n v="466078"/>
    <x v="1"/>
    <x v="1"/>
    <s v="-"/>
    <s v="-"/>
    <m/>
    <n v="0"/>
    <s v="Sim"/>
    <s v="(77578623000170) CASAALTA CONSTRUCOES LTDA"/>
    <d v="2014-06-25T00:00:00"/>
    <d v="2015-06-25T00:00:00"/>
    <d v="2015-06-25T00:00:00"/>
    <n v="365"/>
    <n v="365"/>
    <n v="1493778.54"/>
    <n v="1493778.54"/>
    <s v="(11793154000102) ENGEAG ENGENHARIA LTDA EPP"/>
    <d v="2016-07-19T00:00:00"/>
    <d v="2017-10-18T00:00:00"/>
    <d v="2017-10-18T00:00:00"/>
    <n v="365"/>
    <n v="365"/>
    <n v="2031250"/>
    <n v="2031250"/>
    <s v="(27599963000100) LHC CONSTRUCOES EIRELI - ME"/>
    <d v="2018-04-17T00:00:00"/>
    <d v="2019-05-16T00:00:00"/>
    <d v="2019-05-16T00:00:00"/>
    <n v="456"/>
    <n v="456"/>
    <n v="2859382.62"/>
    <n v="2859382.62"/>
    <m/>
    <m/>
    <m/>
    <m/>
    <m/>
    <m/>
    <m/>
    <m/>
  </r>
  <r>
    <s v="Araucária"/>
    <s v="PR"/>
    <s v="Sim"/>
    <n v="33215"/>
    <s v="PAC 2 - CRECHE/PRÉ-ESCOLA 004"/>
    <s v="Porto das Laranjeiras - Moteleski"/>
    <s v="2013"/>
    <s v="Não iniciada"/>
    <n v="0"/>
    <s v="-"/>
    <s v="Não iniciada"/>
    <m/>
    <m/>
    <n v="1"/>
    <n v="0"/>
    <s v="Não iniciada"/>
    <n v="0"/>
    <m/>
    <n v="1"/>
    <n v="5"/>
    <s v="Não iniciada"/>
    <s v="0.00"/>
    <s v="-"/>
    <n v="0"/>
    <m/>
    <n v="1"/>
    <s v="Cancelada"/>
    <s v="0.00"/>
    <n v="0"/>
    <x v="2"/>
    <s v="TC reformulado em 2016"/>
    <s v="Inex 56/2014. CP 112016. CP 172017 - suspensa."/>
    <s v="Contratos anteriores: 110/2014; 107/2016. Nova licitação já concluída, porém suspensa pelo TCU em jun/2018. SIMEC desatualizado, tem dados da primeira licitação, porém sem dados de contratação."/>
    <s v="Não"/>
    <s v="Sim"/>
    <s v="Sim"/>
    <n v="373444.64"/>
    <n v="0"/>
    <n v="0"/>
    <n v="25"/>
    <n v="0"/>
    <n v="465162"/>
    <n v="465162"/>
    <x v="1"/>
    <x v="1"/>
    <s v="-"/>
    <s v="-"/>
    <m/>
    <n v="0"/>
    <s v="Sim"/>
    <s v="(77578623000170) CASAALTA CONSTRUCOES LTDA"/>
    <d v="2014-06-25T00:00:00"/>
    <d v="2015-06-25T00:00:00"/>
    <d v="2015-06-25T00:00:00"/>
    <n v="365"/>
    <n v="365"/>
    <n v="1496721.54"/>
    <n v="1496721.54"/>
    <s v="(11793154000102) ENGEAG ENGENHARIA LTDA EPP"/>
    <d v="2016-07-19T00:00:00"/>
    <d v="2017-10-18T00:00:00"/>
    <d v="2017-10-18T00:00:00"/>
    <n v="365"/>
    <n v="365"/>
    <n v="2090326.08"/>
    <n v="2090326.08"/>
    <s v="(27599963000100) LHC CONSTRUCOES EIRELI - ME"/>
    <d v="2018-04-17T00:00:00"/>
    <d v="2019-05-16T00:00:00"/>
    <d v="2019-05-16T00:00:00"/>
    <n v="456"/>
    <n v="456"/>
    <n v="2711420.74"/>
    <n v="2711420.74"/>
    <m/>
    <m/>
    <m/>
    <m/>
    <m/>
    <m/>
    <m/>
    <m/>
  </r>
  <r>
    <s v="Araucária"/>
    <s v="PR"/>
    <s v="Sim"/>
    <n v="1003823"/>
    <s v="PAC 2 - CRECHE/PRÉ-ESCOLA 003"/>
    <s v="Costeira - Jd. Esperança"/>
    <s v="2013"/>
    <s v="Não iniciada"/>
    <n v="0"/>
    <s v="-"/>
    <s v="Em andamento"/>
    <n v="60"/>
    <d v="2017-09-19T00:00:00"/>
    <n v="0"/>
    <n v="1"/>
    <s v="Em andamento"/>
    <n v="0.32429999999999998"/>
    <d v="2018-05-21T00:00:00"/>
    <n v="0"/>
    <m/>
    <s v="Não iniciada"/>
    <s v="0.00"/>
    <s v="-"/>
    <n v="1"/>
    <m/>
    <n v="1"/>
    <s v="Cancelada"/>
    <s v="0.00"/>
    <n v="0"/>
    <x v="0"/>
    <s v="TC reformulado em 2016"/>
    <s v="Inex 57/2014. CP 112016."/>
    <s v="Contrato anterior 111/2014. SIMEC desatualizado, consta homologação da licitação, porém não os dados de contrato. Contrato 105/2016."/>
    <s v="Sim"/>
    <s v="Sim"/>
    <s v="Sim"/>
    <n v="374180.39"/>
    <n v="7753.68"/>
    <n v="1"/>
    <n v="1"/>
    <n v="7753.68"/>
    <n v="466078"/>
    <n v="466078"/>
    <x v="2"/>
    <x v="1"/>
    <n v="2016"/>
    <s v="-"/>
    <m/>
    <n v="0"/>
    <s v="Sim"/>
    <s v="(77578623000170) CASAALTA CONSTRUCOES LTDA"/>
    <d v="2014-06-25T00:00:00"/>
    <d v="2015-06-25T00:00:00"/>
    <d v="2015-06-25T00:00:00"/>
    <n v="365"/>
    <n v="365"/>
    <n v="1496721.54"/>
    <n v="1496721.54"/>
    <s v="(12.953.704/0001-68) MARCO ANTÔNIO FERRARI RAMOS E CIA LTDA"/>
    <d v="2016-07-15T00:00:00"/>
    <d v="2017-10-18T00:00:00"/>
    <d v="2016-07-19T00:00:00"/>
    <n v="450"/>
    <n v="755"/>
    <n v="2086754.45"/>
    <n v="2218334.0099999998"/>
    <m/>
    <m/>
    <m/>
    <m/>
    <m/>
    <m/>
    <m/>
    <m/>
    <m/>
    <m/>
    <m/>
    <m/>
    <m/>
    <m/>
    <m/>
    <m/>
  </r>
  <r>
    <s v="Araucária"/>
    <s v="PR"/>
    <s v="Sim"/>
    <n v="1012813"/>
    <s v="Jd. Dona Rosa"/>
    <s v="Iguaçu"/>
    <s v="2014"/>
    <s v="Não iniciada"/>
    <n v="0"/>
    <s v="-"/>
    <s v="Não iniciada"/>
    <m/>
    <m/>
    <n v="1"/>
    <n v="0"/>
    <s v="Em andamento"/>
    <n v="0.15"/>
    <d v="2018-02-27T00:00:00"/>
    <n v="0"/>
    <m/>
    <s v="Não iniciada"/>
    <s v="0.00"/>
    <s v="-"/>
    <n v="1"/>
    <m/>
    <m/>
    <s v="Cancelada"/>
    <s v="0.00"/>
    <n v="0"/>
    <x v="0"/>
    <s v="TC reformulado em 2016"/>
    <s v="CP 182016"/>
    <s v="Obra não recebeu repasse, havia um bloqueio pelo FNDE, porém foi iniciada. SIMEC desatualizado, consta homologação da licitação, porém não os dados de contrato. Contrato 04/2017."/>
    <s v="Sim"/>
    <s v="Sim"/>
    <s v="Não"/>
    <n v="0"/>
    <n v="0"/>
    <n v="0"/>
    <n v="25"/>
    <n v="0"/>
    <s v="-"/>
    <s v="-"/>
    <x v="3"/>
    <x v="2"/>
    <n v="2018"/>
    <s v="-"/>
    <m/>
    <n v="305"/>
    <s v="Não"/>
    <s v="(12.953.704/0001-68) MARCO ANTÔNIO FERRARI RAMOS E CIA LTDA"/>
    <d v="2017-01-24T00:00:00"/>
    <d v="2018-01-24T00:00:00"/>
    <d v="2019-01-24T00:00:00"/>
    <n v="360"/>
    <n v="665"/>
    <n v="1979345.99"/>
    <n v="2069127.7"/>
    <m/>
    <m/>
    <m/>
    <m/>
    <m/>
    <m/>
    <m/>
    <m/>
    <m/>
    <m/>
    <m/>
    <m/>
    <m/>
    <m/>
    <m/>
    <m/>
    <m/>
    <m/>
    <m/>
    <m/>
    <m/>
    <m/>
    <m/>
    <m/>
  </r>
  <r>
    <s v="Araucária"/>
    <s v="PR"/>
    <s v="Sim"/>
    <n v="1017726"/>
    <s v="CAPELA VELHA - Araucária - PR"/>
    <s v="Capela Velha"/>
    <s v="2014"/>
    <s v="Não iniciada"/>
    <n v="0"/>
    <s v="-"/>
    <s v="Não iniciada"/>
    <m/>
    <m/>
    <n v="1"/>
    <n v="0"/>
    <s v="Não iniciada"/>
    <n v="0"/>
    <m/>
    <n v="1"/>
    <n v="4"/>
    <s v="Não iniciada"/>
    <s v="0.00"/>
    <s v="-"/>
    <n v="0"/>
    <n v="1"/>
    <m/>
    <s v="Não iniciada"/>
    <s v="0.00"/>
    <n v="0"/>
    <x v="1"/>
    <s v="TC reformulado em 2016"/>
    <s v="-"/>
    <s v="Aparentemente terreno muito pequeno, foi adquirido um maior. Simec (15.09) indica 1 repasse em 2014, recursos permanecem na conta sem retirada."/>
    <s v="Não"/>
    <s v="Não"/>
    <s v="Sim"/>
    <n v="710508.76"/>
    <n v="932385.96"/>
    <n v="1"/>
    <n v="1"/>
    <n v="932385.96"/>
    <n v="846775"/>
    <n v="846775"/>
    <x v="4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çador"/>
    <s v="SC"/>
    <s v="Sim"/>
    <n v="19887"/>
    <s v="Terreno Alto Bonito"/>
    <m/>
    <s v="2011"/>
    <s v="Paralisada"/>
    <n v="76.12"/>
    <d v="2016-10-24T00:00:00"/>
    <s v="Concluída"/>
    <m/>
    <m/>
    <n v="0"/>
    <n v="1"/>
    <s v="Concluída"/>
    <m/>
    <m/>
    <n v="0"/>
    <m/>
    <s v="Paralisada"/>
    <s v="76.12"/>
    <d v="2016-10-24T00:00:00"/>
    <n v="1"/>
    <m/>
    <n v="0"/>
    <s v="Concluída"/>
    <s v="97.92"/>
    <d v="2018-06-12T00:00:00"/>
    <x v="3"/>
    <m/>
    <s v="CP 032011, CP 562015, TP 052017"/>
    <s v="SIMEC desatualizado. Contrato anterior 147/2011, 1º pagamento à empresa em abr/2012, até jul/2014. Escola já está em funcionamento desde final de julho/2017, serviços adicionais (cercamento etc.) licitados em junho/2017."/>
    <s v="Não"/>
    <s v="Sim"/>
    <s v="Sim"/>
    <n v="1134108.97"/>
    <n v="112305.58"/>
    <n v="1"/>
    <n v="1"/>
    <n v="112305.58"/>
    <n v="1498023"/>
    <n v="1498023"/>
    <x v="5"/>
    <x v="3"/>
    <n v="2012"/>
    <n v="2017"/>
    <n v="5"/>
    <m/>
    <s v="Sim"/>
    <s v="(11069491000143) ATUALBRASIL ASSESSORIA HABITACIONAL LTDA; (03637604000131) ENGEMO CONSTRUCOES LTDA - EPP"/>
    <s v="-"/>
    <s v="-"/>
    <s v="-"/>
    <s v="-"/>
    <s v="-"/>
    <n v="1381840"/>
    <s v="-"/>
    <s v="(03637604000131) ENGEMO CONSTRUCOES LTDA - EPP"/>
    <d v="2015-07-23T00:00:00"/>
    <d v="2016-03-19T00:00:00"/>
    <d v="2016-06-24T00:00:00"/>
    <n v="240"/>
    <n v="337"/>
    <n v="848488.79"/>
    <n v="848488.79"/>
    <s v="(18345650000134) ENGEGRAU CONSTRUCOES LTDA - EPP"/>
    <m/>
    <m/>
    <m/>
    <m/>
    <m/>
    <n v="124657.25"/>
    <m/>
    <m/>
    <m/>
    <m/>
    <m/>
    <m/>
    <m/>
    <m/>
    <m/>
  </r>
  <r>
    <s v="Caçador"/>
    <s v="SC"/>
    <s v="Sim"/>
    <n v="25121"/>
    <s v="Terreno Nossa Senhora Salete"/>
    <m/>
    <s v="2012"/>
    <s v="Em andamento"/>
    <n v="89.29"/>
    <d v="2016-09-29T00:00:00"/>
    <s v="Paralisada"/>
    <m/>
    <m/>
    <n v="0"/>
    <n v="1"/>
    <s v="Em andamento"/>
    <m/>
    <m/>
    <n v="0"/>
    <m/>
    <s v="Em andamento"/>
    <s v="97.66"/>
    <d v="2018-05-01T00:00:00"/>
    <n v="0"/>
    <m/>
    <n v="0"/>
    <s v="Concluída"/>
    <s v="99.50"/>
    <d v="2018-09-24T00:00:00"/>
    <x v="3"/>
    <m/>
    <s v="CP 1162012, TP 17/2016, CP 022017"/>
    <s v="Obra entregue e inaugurada sem estar concluída. SIMEC: % executado das medições não correspondem ao total. Contratação em 2017 para muro e outra para conclusão."/>
    <s v="Sim"/>
    <s v="Sim"/>
    <s v="Sim"/>
    <n v="1395835.54"/>
    <n v="46313.43"/>
    <n v="1"/>
    <n v="1"/>
    <n v="46313.43"/>
    <n v="1659473"/>
    <n v="1659473"/>
    <x v="6"/>
    <x v="4"/>
    <n v="2012"/>
    <s v="-"/>
    <m/>
    <n v="1160"/>
    <s v="Sim"/>
    <s v="(81601171000178) NL CONSTRUCOES LTDA"/>
    <d v="2012-10-30T00:00:00"/>
    <d v="2013-07-27T00:00:00"/>
    <d v="2016-09-29T00:00:00"/>
    <n v="270"/>
    <n v="1430"/>
    <n v="1368341.59"/>
    <n v="1904640.85"/>
    <s v="(03637604000131) ENGEMO CONSTRUCOES LTDA - EPP"/>
    <s v="-"/>
    <s v="-"/>
    <s v="-"/>
    <s v="-"/>
    <s v="-"/>
    <n v="267064.31"/>
    <s v="-"/>
    <s v="(18345650000134) ENGEGRAU CONSTRUCOES LTDA - EPP"/>
    <d v="2017-10-03T00:00:00"/>
    <d v="2018-04-01T00:00:00"/>
    <d v="2018-07-01T00:00:00"/>
    <n v="180"/>
    <n v="271"/>
    <n v="434652.95"/>
    <n v="434652.95"/>
    <m/>
    <m/>
    <m/>
    <m/>
    <m/>
    <m/>
    <m/>
    <m/>
  </r>
  <r>
    <s v="Caçador"/>
    <s v="SC"/>
    <s v="Sim"/>
    <n v="1006363"/>
    <s v="Terreno Rancho Fundo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n v="1"/>
    <m/>
    <s v="Cancelada"/>
    <s v="0.00"/>
    <n v="0"/>
    <x v="1"/>
    <s v="TC reformulado em 2015"/>
    <s v="CP 06/2016"/>
    <s v="SIMEC desatualizado, não inclui dados de licitação ou contratação. Contrato anterior 79/2016. Empresa nao executou, terreno inadequado requerendo terraplanagem e custo alto adicional. Procurando alternativa para outro projeto. Recursos permanecem em conta. Notícia de que terraplanagem foi iniciada em 14.09.17 e que haverá outra licitação para que obra seja entregue em 2018."/>
    <s v="Não"/>
    <s v="Sim"/>
    <s v="Sim"/>
    <n v="372049.64"/>
    <n v="500438.36"/>
    <n v="1"/>
    <n v="1"/>
    <n v="500438.36"/>
    <n v="457231"/>
    <n v="457231"/>
    <x v="7"/>
    <x v="1"/>
    <s v="-"/>
    <s v="-"/>
    <m/>
    <e v="#VALUE!"/>
    <s v="Sim"/>
    <s v="(03637604000131) ENGEMO CONSTRUCOES LTDA - EPP"/>
    <s v="-"/>
    <s v="-"/>
    <s v="-"/>
    <s v="-"/>
    <s v="-"/>
    <n v="2668822.5699999998"/>
    <s v="-"/>
    <s v="-"/>
    <s v="-"/>
    <s v="-"/>
    <s v="-"/>
    <s v="-"/>
    <s v="-"/>
    <s v="-"/>
    <s v="-"/>
    <m/>
    <m/>
    <m/>
    <m/>
    <m/>
    <m/>
    <m/>
    <m/>
    <m/>
    <m/>
    <m/>
    <m/>
    <m/>
    <m/>
    <m/>
    <m/>
  </r>
  <r>
    <s v="Campo Mourão"/>
    <s v="PR"/>
    <s v="Sim"/>
    <n v="1004300"/>
    <s v="CMEI Conj. Habit. Moradias Avelino Piacentini"/>
    <m/>
    <s v="2013"/>
    <s v="Não iniciada"/>
    <n v="0"/>
    <s v="-"/>
    <s v="Em andamento"/>
    <n v="34.76"/>
    <d v="2017-10-11T00:00:00"/>
    <n v="0"/>
    <n v="1"/>
    <s v="Em andamento"/>
    <n v="0.3836"/>
    <d v="2018-05-19T00:00:00"/>
    <n v="0"/>
    <m/>
    <s v="Em andamento"/>
    <s v="44.70"/>
    <d v="2019-02-08T00:00:00"/>
    <n v="0"/>
    <m/>
    <m/>
    <s v="Em andamento"/>
    <s v="56.40"/>
    <d v="2019-02-08T00:00:00"/>
    <x v="4"/>
    <s v="TC reformulado em 2015"/>
    <s v="Concorrência 042015"/>
    <s v="SIMEC: última medição de dez/2016, inconsistente com % executado."/>
    <s v="Sim"/>
    <s v="Sim"/>
    <s v="Sim"/>
    <n v="719579.88"/>
    <n v="12229.64"/>
    <n v="1"/>
    <n v="2"/>
    <n v="6114.82"/>
    <n v="1081213"/>
    <n v="1081213"/>
    <x v="8"/>
    <x v="1"/>
    <n v="2016"/>
    <s v="-"/>
    <m/>
    <n v="785"/>
    <s v="Não"/>
    <s v="(04875155000122) CONENG - CONSTRUTORA DE OBRAS LTDA"/>
    <d v="2016-05-18T00:00:00"/>
    <d v="2017-03-14T00:00:00"/>
    <d v="2019-05-08T00:00:00"/>
    <n v="300"/>
    <n v="1085"/>
    <n v="1869470.51"/>
    <n v="1869470.51"/>
    <s v="-"/>
    <s v="-"/>
    <s v="-"/>
    <s v="-"/>
    <s v="-"/>
    <s v="-"/>
    <s v="-"/>
    <s v="-"/>
    <m/>
    <m/>
    <m/>
    <m/>
    <m/>
    <m/>
    <m/>
    <m/>
    <m/>
    <m/>
    <m/>
    <m/>
    <m/>
    <m/>
    <m/>
    <m/>
  </r>
  <r>
    <s v="Campo Mourão"/>
    <s v="PR"/>
    <s v="Sim"/>
    <n v="1004301"/>
    <s v="CMEI Jardim Flora"/>
    <m/>
    <s v="2013"/>
    <s v="Não iniciada"/>
    <n v="0"/>
    <s v="-"/>
    <s v="Em andamento"/>
    <n v="23.2"/>
    <d v="2017-03-04T00:00:00"/>
    <n v="0"/>
    <n v="1"/>
    <s v="Em andamento"/>
    <n v="0.36059999999999998"/>
    <d v="2018-10-03T00:00:00"/>
    <n v="0"/>
    <m/>
    <s v="Em andamento"/>
    <s v="44.29"/>
    <d v="2018-10-03T00:00:00"/>
    <n v="0"/>
    <m/>
    <m/>
    <s v="Em andamento"/>
    <s v="50.01"/>
    <d v="2019-04-03T00:00:00"/>
    <x v="4"/>
    <s v="TC reformulado em 2015"/>
    <s v="CP 052015"/>
    <s v="SIMEC: Desatualizado, sem aditivos de valor. Última medição indica 41% (pouca discrepância, apenas faltando última atualização). Contrato 422/2016."/>
    <s v="Não"/>
    <s v="Sim"/>
    <s v="Sim"/>
    <n v="819392.35"/>
    <n v="12229.64"/>
    <n v="0"/>
    <n v="2"/>
    <n v="6114.82"/>
    <n v="1121614"/>
    <n v="1121614"/>
    <x v="8"/>
    <x v="1"/>
    <n v="2016"/>
    <s v="-"/>
    <m/>
    <n v="390"/>
    <s v="Não"/>
    <s v="(04255148000128) ENGEMAC CONSTRUCOES LTDA"/>
    <d v="2016-09-28T00:00:00"/>
    <d v="2017-09-08T00:00:00"/>
    <d v="2018-10-03T00:00:00"/>
    <n v="345"/>
    <n v="735"/>
    <s v=" 1.806.106,94"/>
    <n v="2019717.62"/>
    <s v="-"/>
    <s v="-"/>
    <s v="-"/>
    <s v="-"/>
    <s v="-"/>
    <s v="-"/>
    <s v="-"/>
    <s v="-"/>
    <m/>
    <m/>
    <m/>
    <m/>
    <m/>
    <m/>
    <m/>
    <m/>
    <m/>
    <m/>
    <m/>
    <m/>
    <m/>
    <m/>
    <m/>
    <m/>
  </r>
  <r>
    <s v="Campo Mourão"/>
    <s v="PR"/>
    <s v="Sim"/>
    <n v="1010390"/>
    <s v="AVELINO PIACENTINI - Campo Mourão - PR"/>
    <m/>
    <s v="2014"/>
    <s v="Paralisada"/>
    <n v="36.94"/>
    <s v="-"/>
    <s v="Em andamento"/>
    <n v="36.96"/>
    <d v="2017-12-31T00:00:00"/>
    <n v="0"/>
    <n v="1"/>
    <s v="Em andamento"/>
    <n v="0.63170000000000004"/>
    <d v="2018-06-16T00:00:00"/>
    <n v="0"/>
    <m/>
    <s v="Em andamento"/>
    <s v="91.06"/>
    <d v="2018-07-16T00:00:00"/>
    <n v="0"/>
    <m/>
    <n v="0"/>
    <s v="Concluída"/>
    <s v="99.99"/>
    <d v="2018-09-07T00:00:00"/>
    <x v="3"/>
    <m/>
    <s v="TP 072015, TP 012017"/>
    <s v="SIMEC: Somente uma medição, de set/2017. Contrato anterior: 8815/2015, rescindido em jul/2016. Contrato atual: 562/2017, ou 50/2017."/>
    <s v="Sim"/>
    <s v="Sim"/>
    <s v="Sim"/>
    <n v="888782.78"/>
    <n v="279.20999999999998"/>
    <n v="1"/>
    <n v="1"/>
    <n v="279.20999999999998"/>
    <n v="993746"/>
    <n v="993746"/>
    <x v="9"/>
    <x v="2"/>
    <n v="2015"/>
    <s v="-"/>
    <m/>
    <n v="150"/>
    <s v="Sim"/>
    <s v="(18590718000140) CONSTRUTORA ENGENARQ LTDA - ME"/>
    <d v="2015-05-05T00:00:00"/>
    <d v="2016-02-05T00:00:00"/>
    <d v="2016-07-04T00:00:00"/>
    <n v="276"/>
    <n v="426"/>
    <n v="1020354.39"/>
    <n v="1020354.39"/>
    <s v="(04255148000128) ENGEMAC CONSTRUCOES LTDA"/>
    <d v="2017-07-17T00:00:00"/>
    <d v="2018-03-14T00:00:00"/>
    <d v="2018-12-14T00:00:00"/>
    <n v="240"/>
    <n v="515"/>
    <n v="688408.94"/>
    <n v="771351.78"/>
    <m/>
    <m/>
    <m/>
    <m/>
    <m/>
    <m/>
    <m/>
    <m/>
    <m/>
    <m/>
    <m/>
    <m/>
    <m/>
    <m/>
    <m/>
    <m/>
  </r>
  <r>
    <s v="Cascavel"/>
    <s v="PR"/>
    <s v="Sim"/>
    <n v="1004230"/>
    <s v="SEDE ALVORADA - Cascavel - PR"/>
    <m/>
    <s v="2014"/>
    <s v="Em andamento"/>
    <n v="65.180000000000007"/>
    <d v="2017-10-07T00:00:00"/>
    <s v="Paralisada"/>
    <n v="65.489999999999995"/>
    <n v="2018"/>
    <n v="0"/>
    <n v="1"/>
    <s v="Paralisada"/>
    <m/>
    <m/>
    <n v="0"/>
    <m/>
    <s v="Em andamento"/>
    <s v="67.38"/>
    <d v="2018-10-15T00:00:00"/>
    <n v="1"/>
    <m/>
    <n v="0"/>
    <s v="Em andamento"/>
    <s v="81.43"/>
    <d v="2018-12-14T00:00:00"/>
    <x v="4"/>
    <m/>
    <s v="TP 222014, CP 202017"/>
    <s v="Contrato anterior rescindido. Último pagamento significativo à empresa em 2016."/>
    <s v="Não"/>
    <s v="Sim"/>
    <s v="Sim"/>
    <n v="519271.48"/>
    <n v="40667.49"/>
    <n v="1"/>
    <n v="1"/>
    <n v="40667.49"/>
    <n v="781396"/>
    <n v="781396"/>
    <x v="10"/>
    <x v="2"/>
    <n v="2015"/>
    <s v="-"/>
    <m/>
    <n v="487"/>
    <s v="Sim"/>
    <s v="(04516630000174) CERON &amp; VASCONCELOS LTDA (outro nome: Lessio Engenharia)"/>
    <d v="2015-01-15T00:00:00"/>
    <d v="2016-03-10T00:00:00"/>
    <d v="2017-07-10T00:00:00"/>
    <n v="420"/>
    <n v="907"/>
    <n v="1173869.3"/>
    <n v="1269649.76"/>
    <s v="(03096398000108) RECREACAO INFANTIL LUA DE CRISTAL S/C LTDA"/>
    <d v="2018-04-18T00:00:00"/>
    <d v="2018-10-15T00:00:00"/>
    <d v="2018-10-15T00:00:00"/>
    <n v="180"/>
    <n v="180"/>
    <n v="771271.52"/>
    <n v="771271.52"/>
    <m/>
    <m/>
    <m/>
    <m/>
    <m/>
    <m/>
    <m/>
    <m/>
    <m/>
    <m/>
    <m/>
    <m/>
    <m/>
    <m/>
    <m/>
    <m/>
  </r>
  <r>
    <s v="Cascavel"/>
    <s v="PR"/>
    <s v="Sim"/>
    <n v="1005696"/>
    <s v="OSCAR NIEMEYER"/>
    <m/>
    <s v="2013"/>
    <s v="Não iniciada"/>
    <n v="0"/>
    <s v="-"/>
    <s v="Não iniciada"/>
    <s v="-"/>
    <n v="2018"/>
    <n v="1"/>
    <n v="0"/>
    <s v="Não iniciada"/>
    <m/>
    <m/>
    <n v="1"/>
    <n v="5"/>
    <s v="Não iniciada"/>
    <s v="0.00"/>
    <s v="-"/>
    <n v="0"/>
    <m/>
    <m/>
    <s v="Cancelada"/>
    <s v="0.00"/>
    <n v="0"/>
    <x v="4"/>
    <s v="TC reformulado em 2015"/>
    <s v="-"/>
    <m/>
    <s v="Não"/>
    <s v="Não"/>
    <s v="Sim"/>
    <n v="375680.39"/>
    <n v="511417.93"/>
    <n v="1"/>
    <n v="1"/>
    <n v="511417.93"/>
    <n v="461693"/>
    <n v="461693"/>
    <x v="11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cavel"/>
    <s v="PR"/>
    <s v="Sim"/>
    <n v="1006985"/>
    <s v="MUNIQUE/TERRA NOVA"/>
    <m/>
    <s v="2013"/>
    <s v="Não iniciada"/>
    <n v="0"/>
    <s v="-"/>
    <s v="Não iniciada"/>
    <s v="-"/>
    <n v="2018"/>
    <n v="1"/>
    <n v="0"/>
    <s v="Não iniciada"/>
    <m/>
    <m/>
    <n v="1"/>
    <n v="5"/>
    <s v="Não iniciada"/>
    <s v="0.00"/>
    <s v="-"/>
    <n v="0"/>
    <m/>
    <m/>
    <s v="Cancelada"/>
    <s v="0.00"/>
    <n v="0"/>
    <x v="2"/>
    <s v="TC reformulado em 2015"/>
    <s v="-"/>
    <m/>
    <s v="Não"/>
    <s v="Não"/>
    <s v="Sim"/>
    <n v="373585"/>
    <n v="500982.52"/>
    <n v="1"/>
    <n v="1"/>
    <n v="500982.52"/>
    <n v="454293"/>
    <n v="454293"/>
    <x v="12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scavel"/>
    <s v="PR"/>
    <s v="Sim"/>
    <n v="1016714"/>
    <s v="Escola Zumbi dos Palmares - Cascavel - PR"/>
    <m/>
    <s v="2014"/>
    <s v="Em andamento"/>
    <n v="76.91"/>
    <d v="2017-06-18T00:00:00"/>
    <s v="Em andamento"/>
    <n v="86.3"/>
    <m/>
    <n v="0"/>
    <n v="0"/>
    <s v="Concluída"/>
    <n v="100"/>
    <m/>
    <n v="0"/>
    <m/>
    <s v="Concluída"/>
    <s v="100.00"/>
    <d v="2017-08-17T00:00:00"/>
    <n v="0"/>
    <m/>
    <n v="0"/>
    <s v="Concluída"/>
    <s v="100.00"/>
    <d v="2017-08-17T00:00:00"/>
    <x v="3"/>
    <m/>
    <s v="TP 352014"/>
    <s v="Vários aditivos contratuais, justificativas acusando atrasos nos repasses do FNDE e nos pagamentos, além da contratação de serviços adicionais. SIMEC: data prevista de conclusão não foi atualizada de acordo com aditivos, inconsistências nos percentuais das medições incluídas."/>
    <s v="Sim"/>
    <s v="Sim"/>
    <s v="Sim"/>
    <n v="998599"/>
    <n v="163714.99"/>
    <n v="1"/>
    <n v="1"/>
    <n v="163714.99"/>
    <n v="1052710"/>
    <n v="1052710"/>
    <x v="13"/>
    <x v="2"/>
    <n v="2015"/>
    <n v="2017"/>
    <n v="2"/>
    <n v="675"/>
    <s v="Não"/>
    <s v="(12066060000196) WZK CONSTRUCOES LTDA - EPP"/>
    <d v="2014-12-16T00:00:00"/>
    <d v="2016-02-09T00:00:00"/>
    <d v="2017-12-15T00:00:00"/>
    <n v="420"/>
    <n v="1095"/>
    <n v="1120651.57"/>
    <n v="1186692.6599999999"/>
    <m/>
    <m/>
    <m/>
    <m/>
    <m/>
    <m/>
    <m/>
    <m/>
    <m/>
    <m/>
    <m/>
    <m/>
    <m/>
    <m/>
    <m/>
    <m/>
    <m/>
    <m/>
    <m/>
    <m/>
    <m/>
    <m/>
    <m/>
    <m/>
  </r>
  <r>
    <s v="Chapecó"/>
    <s v="SC"/>
    <s v="Sim"/>
    <n v="1006367"/>
    <s v="CEIM NEW VILLAS"/>
    <m/>
    <s v="2013"/>
    <s v="Não iniciada"/>
    <n v="0"/>
    <s v="-"/>
    <s v="Em andamento"/>
    <m/>
    <m/>
    <n v="0"/>
    <n v="1"/>
    <s v="Em andamento"/>
    <n v="15.32"/>
    <d v="2018-06-24T00:00:00"/>
    <n v="0"/>
    <m/>
    <s v="Em andamento"/>
    <s v="40.20"/>
    <d v="2018-12-31T00:00:00"/>
    <n v="0"/>
    <m/>
    <m/>
    <s v="Em andamento"/>
    <s v="43.40"/>
    <d v="2018-07-31T00:00:00"/>
    <x v="4"/>
    <s v="TC reformulado em 2016"/>
    <s v="Concorrência 1942016"/>
    <s v="SIMEC: 1ª medição de ago/2017 apenas; última medição de abr/2018 indica 20%; data prevista de conclusão 31/12/2018, não há dados de aditivo compatíveis."/>
    <s v="Sim"/>
    <s v="Sim"/>
    <s v="Sim"/>
    <n v="755325.53"/>
    <n v="0"/>
    <n v="0"/>
    <n v="25"/>
    <n v="0"/>
    <n v="1223204"/>
    <n v="1223204"/>
    <x v="14"/>
    <x v="1"/>
    <n v="2017"/>
    <s v="-"/>
    <m/>
    <n v="300"/>
    <s v="Não"/>
    <s v="(01614299000137) L S W SERVICOS LTDA"/>
    <d v="2016-11-01T00:00:00"/>
    <d v="2017-08-28T00:00:00"/>
    <d v="2018-06-24T00:00:00"/>
    <n v="300"/>
    <n v="600"/>
    <n v="1732003.61"/>
    <n v="1732003.61"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09202"/>
    <s v="JARDIM NITEROI/JD. SÃO ROQUE"/>
    <m/>
    <s v="2013"/>
    <s v="Não iniciada"/>
    <n v="0"/>
    <s v="-"/>
    <s v="Não iniciada"/>
    <m/>
    <m/>
    <n v="1"/>
    <n v="0"/>
    <s v="Em andamento"/>
    <n v="25.76"/>
    <d v="2018-09-26T00:00:00"/>
    <n v="0"/>
    <m/>
    <s v="Em andamento"/>
    <s v="50.49"/>
    <d v="2018-09-26T00:00:00"/>
    <n v="0"/>
    <m/>
    <m/>
    <s v="Em andamento"/>
    <s v="56.94"/>
    <d v="2018-12-25T00:00:00"/>
    <x v="4"/>
    <s v="TC 2a reformulação de 2016"/>
    <s v="Concorrência 03 2017"/>
    <s v="SIMEC: última medição de mai/2018 (pouca discrepância)."/>
    <s v="Não"/>
    <s v="Não"/>
    <m/>
    <n v="370547.14"/>
    <n v="8685.5400000000009"/>
    <n v="1"/>
    <n v="4"/>
    <n v="2171.3850000000002"/>
    <n v="1033686"/>
    <n v="1033686"/>
    <x v="15"/>
    <x v="1"/>
    <n v="2017"/>
    <s v="-"/>
    <m/>
    <n v="0"/>
    <s v="Não"/>
    <s v="(12066060000196) WZK CONSTRUCOES LTDA - EPP"/>
    <d v="2017-09-26T00:00:00"/>
    <d v="2018-09-26T00:00:00"/>
    <d v="2018-09-26T00:00:00"/>
    <n v="365"/>
    <n v="365"/>
    <n v="1598448.03"/>
    <n v="1598448.03"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09203"/>
    <s v="Cidade Nova II / Vila Solidária"/>
    <m/>
    <s v="2013"/>
    <s v="Não iniciada"/>
    <n v="0"/>
    <s v="-"/>
    <s v="Não iniciada"/>
    <m/>
    <m/>
    <n v="1"/>
    <n v="0"/>
    <s v="Em andamento"/>
    <n v="41.92"/>
    <d v="2018-12-26T00:00:00"/>
    <n v="0"/>
    <m/>
    <s v="Em andamento"/>
    <s v="79.47"/>
    <d v="2018-12-26T00:00:00"/>
    <n v="0"/>
    <m/>
    <m/>
    <s v="Em andamento"/>
    <s v="93.61"/>
    <d v="2018-12-26T00:00:00"/>
    <x v="4"/>
    <s v="TC 2a reformulação de 2016"/>
    <s v="Concorrência 03 2017"/>
    <s v="SIMEC: última medição de mar/2018, com 42%"/>
    <s v="Sim"/>
    <s v="Sim"/>
    <m/>
    <n v="372799.64"/>
    <n v="8685.5400000000009"/>
    <n v="0"/>
    <n v="4"/>
    <n v="2171.3850000000002"/>
    <n v="453338"/>
    <n v="453338"/>
    <x v="15"/>
    <x v="1"/>
    <n v="2017"/>
    <s v="-"/>
    <m/>
    <n v="0"/>
    <s v="Não"/>
    <s v="(84989722000100) COMERCIO DE GENEROS ALIMENTICIOS POR DO SOL LTDA (outro nome: JCM Construtora de Obras)"/>
    <d v="2017-09-26T00:00:00"/>
    <d v="2018-12-26T00:00:00"/>
    <d v="2018-12-26T00:00:00"/>
    <n v="456"/>
    <n v="456"/>
    <n v="2392547.15"/>
    <n v="2612464.09"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09204"/>
    <s v="Eloi Lohmann"/>
    <m/>
    <s v="2013"/>
    <s v="Não iniciada"/>
    <n v="0"/>
    <s v="-"/>
    <s v="Não iniciada"/>
    <m/>
    <m/>
    <n v="1"/>
    <n v="0"/>
    <s v="Em andamento"/>
    <n v="16.010000000000002"/>
    <d v="2018-12-26T00:00:00"/>
    <n v="0"/>
    <m/>
    <s v="Em andamento"/>
    <s v="55.63"/>
    <d v="2018-12-26T00:00:00"/>
    <n v="0"/>
    <m/>
    <m/>
    <s v="Em andamento"/>
    <s v="86.76"/>
    <d v="2018-12-26T00:00:00"/>
    <x v="4"/>
    <s v="TC 2a reformulação de 2016"/>
    <s v="Concorrência 03 2017"/>
    <s v="SIMEC: última medição de mar/2018, com 29%"/>
    <s v="Sim"/>
    <s v="Sim"/>
    <m/>
    <n v="370547.14"/>
    <n v="8685.5400000000009"/>
    <n v="0"/>
    <n v="4"/>
    <n v="2171.3850000000002"/>
    <n v="450598"/>
    <n v="450598"/>
    <x v="15"/>
    <x v="1"/>
    <n v="2017"/>
    <s v="-"/>
    <m/>
    <n v="0"/>
    <s v="Não"/>
    <s v="(09372579000198) MPB - COMERCIO DE MATERIAIS DE CONSTRUCAO LTDA"/>
    <d v="2017-09-26T00:00:00"/>
    <d v="2018-12-26T00:00:00"/>
    <d v="2018-12-26T00:00:00"/>
    <n v="456"/>
    <n v="456"/>
    <s v=" 2.342.118,21"/>
    <s v=" 2.342.118,21"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09205"/>
    <s v="JARDIM CATARATAS - PAC 2 - CRECHE/PRÉ-ESCOLA 007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m/>
    <s v="Cancelada"/>
    <s v="0.00"/>
    <n v="0"/>
    <x v="1"/>
    <s v="TC 2a reformulação de 2016"/>
    <s v="-"/>
    <m/>
    <s v="Não"/>
    <s v="Não"/>
    <s v="Sim"/>
    <n v="370549.25"/>
    <n v="8685.5400000000009"/>
    <n v="0"/>
    <n v="4"/>
    <n v="2171.3850000000002"/>
    <n v="450601"/>
    <n v="450601"/>
    <x v="15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11101"/>
    <s v="Campos Do Iguaçu CONJUNTO LIBRA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m/>
    <m/>
    <s v="Cancelada"/>
    <s v="0.00"/>
    <n v="0"/>
    <x v="1"/>
    <s v="TC reformulado em 2016"/>
    <s v="-"/>
    <m/>
    <s v="Não"/>
    <s v="Não"/>
    <s v="Não"/>
    <n v="0"/>
    <n v="0"/>
    <n v="0"/>
    <n v="25"/>
    <n v="0"/>
    <s v="-"/>
    <s v="-"/>
    <x v="16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12814"/>
    <s v="JARDIM ALMADA - PAC 2 - CRECHE/PRÉ-ESCOLA 006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2"/>
    <m/>
    <s v="-"/>
    <m/>
    <s v="Não"/>
    <s v="Não"/>
    <s v="Não"/>
    <n v="0"/>
    <n v="0"/>
    <n v="0"/>
    <n v="25"/>
    <n v="0"/>
    <s v="-"/>
    <s v="-"/>
    <x v="17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12815"/>
    <s v="CMEI GLEBA GUARANI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1"/>
    <m/>
    <s v="-"/>
    <m/>
    <s v="Não"/>
    <s v="Não"/>
    <s v="Não"/>
    <n v="0"/>
    <n v="0"/>
    <n v="0"/>
    <n v="25"/>
    <n v="0"/>
    <s v="-"/>
    <s v="-"/>
    <x v="17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z do Iguaçu"/>
    <s v="PR"/>
    <s v="Sim"/>
    <n v="1012816"/>
    <s v="JD MONACO - Foz do Iguaçu - PR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1"/>
    <m/>
    <s v="-"/>
    <m/>
    <s v="Não"/>
    <s v="Não"/>
    <s v="Não"/>
    <n v="0"/>
    <n v="0"/>
    <n v="0"/>
    <n v="25"/>
    <n v="0"/>
    <s v="-"/>
    <s v="-"/>
    <x v="17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ioerê"/>
    <s v="PR"/>
    <s v="Sim"/>
    <n v="1006081"/>
    <s v="Unidade Proinfancia Jardim das Américas"/>
    <m/>
    <s v="2013"/>
    <s v="Em andamento"/>
    <n v="7.96"/>
    <d v="2017-09-24T00:00:00"/>
    <s v="Em andamento"/>
    <m/>
    <n v="2018"/>
    <n v="0"/>
    <n v="0"/>
    <s v="Paralisada"/>
    <n v="29.11"/>
    <m/>
    <n v="0"/>
    <m/>
    <s v="Paralisada"/>
    <s v="30.74"/>
    <d v="2018-05-11T00:00:00"/>
    <n v="0"/>
    <m/>
    <m/>
    <s v="Em andamento"/>
    <s v="44.44"/>
    <d v="2019-07-29T00:00:00"/>
    <x v="4"/>
    <s v="TC reformulado em 2015"/>
    <s v="Concorrência: 04/2016 - Contrato: 161/2016"/>
    <s v="Contrato rescindido em abr/2018. SIMEC não contém mais os dados da contratação original, somente como contrato anterior."/>
    <s v="Não"/>
    <s v="Não"/>
    <m/>
    <n v="372424.64"/>
    <n v="176.73"/>
    <n v="1"/>
    <n v="1"/>
    <n v="176.73"/>
    <n v="457691"/>
    <n v="457691"/>
    <x v="18"/>
    <x v="1"/>
    <n v="2016"/>
    <s v="-"/>
    <m/>
    <n v="468"/>
    <s v="Sim"/>
    <s v="(13557544000109) S.V. VENDRAMIN &amp; CIA LTDA - ME"/>
    <d v="2016-10-25T00:00:00"/>
    <d v="2017-07-12T00:00:00"/>
    <d v="2018-10-23T00:00:00"/>
    <n v="260"/>
    <n v="728"/>
    <n v="1792394.35"/>
    <n v="1846890.3"/>
    <m/>
    <m/>
    <m/>
    <m/>
    <m/>
    <m/>
    <m/>
    <m/>
    <m/>
    <m/>
    <m/>
    <m/>
    <m/>
    <m/>
    <m/>
    <m/>
    <m/>
    <m/>
    <m/>
    <m/>
    <m/>
    <m/>
    <m/>
    <m/>
  </r>
  <r>
    <s v="Goioerê"/>
    <s v="PR"/>
    <s v="Sim"/>
    <n v="1010867"/>
    <s v="Escola Integral Conjunto Águas Claras - Goioerê - PR"/>
    <m/>
    <s v="2014"/>
    <s v="Em andamento"/>
    <n v="57.16"/>
    <d v="2017-06-20T00:00:00"/>
    <s v="Em andamento"/>
    <m/>
    <n v="2018"/>
    <n v="0"/>
    <n v="0"/>
    <s v="Em andamento"/>
    <n v="93"/>
    <m/>
    <n v="0"/>
    <m/>
    <s v="Em andamento"/>
    <s v="92.64"/>
    <d v="2018-09-18T00:00:00"/>
    <n v="0"/>
    <m/>
    <n v="0"/>
    <s v="Em andamento"/>
    <s v="?"/>
    <d v="2019-07-28T00:00:00"/>
    <x v="4"/>
    <m/>
    <s v="Concorrência: 02/2015 - Contrato: 135/2015"/>
    <s v="Aditivo alegando atraso na entrega do terreno e finalização da terraplanagem, além da contratação de muro de arrimo por outra empresa. SIMEC: Última medição de nov/2017, com 76%."/>
    <s v="Sim"/>
    <s v="Sim"/>
    <m/>
    <n v="3109485.46"/>
    <n v="262500.46000000002"/>
    <n v="1"/>
    <n v="1"/>
    <n v="262500.46000000002"/>
    <n v="3187606"/>
    <n v="3187606"/>
    <x v="19"/>
    <x v="2"/>
    <n v="2016"/>
    <s v="-"/>
    <m/>
    <n v="660"/>
    <s v="Não"/>
    <s v="(04379027000198) TALLENTO CONSTRUTORA DE OBRAS LTDA"/>
    <d v="2015-11-19T00:00:00"/>
    <d v="2016-11-18T00:00:00"/>
    <d v="2018-09-09T00:00:00"/>
    <n v="365"/>
    <n v="1025"/>
    <n v="3344840.24"/>
    <n v="3344840.24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3408"/>
    <s v="703277 - Esc. Educ. Infantil - Tipo B - Proinfância - Construção - GRAVATAÍ/RS"/>
    <s v="Auxiliadora"/>
    <s v="2010"/>
    <s v="Não iniciada"/>
    <n v="0"/>
    <s v="-"/>
    <s v="Não iniciada"/>
    <n v="0"/>
    <m/>
    <n v="1"/>
    <n v="0"/>
    <s v="Não iniciada"/>
    <m/>
    <m/>
    <n v="1"/>
    <n v="8"/>
    <s v="Não iniciada"/>
    <s v="0.00"/>
    <s v="-"/>
    <n v="0"/>
    <m/>
    <n v="0"/>
    <s v="Não iniciada"/>
    <s v="0.00"/>
    <n v="0"/>
    <x v="1"/>
    <m/>
    <s v="-"/>
    <s v="Repasse não encontrado no SIGEF. SIMEC sem endereço."/>
    <s v="Não"/>
    <s v="Não"/>
    <s v="?"/>
    <n v="0"/>
    <n v="1066276.3799999999"/>
    <n v="1"/>
    <n v="1"/>
    <n v="1066276.3799999999"/>
    <n v="860403"/>
    <n v="860403"/>
    <x v="20"/>
    <x v="5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9651"/>
    <s v="EMEI Morada do Vale II"/>
    <m/>
    <s v="2013"/>
    <s v="Paralisada"/>
    <n v="25.74"/>
    <d v="2017-06-30T00:00:00"/>
    <s v="Em andamento"/>
    <n v="74.66"/>
    <d v="2017-09-06T00:00:00"/>
    <n v="0"/>
    <n v="1"/>
    <s v="Em andamento"/>
    <n v="90.15"/>
    <d v="2018-04-05T00:00:00"/>
    <n v="0"/>
    <m/>
    <s v="Em andamento"/>
    <s v="94.62"/>
    <d v="2018-10-02T00:00:00"/>
    <n v="0"/>
    <m/>
    <n v="1"/>
    <s v="Em andamento"/>
    <s v="96.01"/>
    <d v="2019-10-02T00:00:00"/>
    <x v="4"/>
    <m/>
    <s v="Dispensa 34/2017"/>
    <s v="SIMEC: Última medição de nov/2017, com 57%. Segundo SIGEF, primeiros pagamentos para a MVC em 2014. Último pagamento para a Cont em ago/2017, repasse seguinte do FNDE apenas em abr/2018, evidenciando atrasos."/>
    <s v="Sim"/>
    <s v="Sim"/>
    <m/>
    <n v="1346381.53"/>
    <n v="548791.78"/>
    <n v="1"/>
    <n v="1"/>
    <n v="548791.78"/>
    <n v="1568209"/>
    <n v="1568209"/>
    <x v="21"/>
    <x v="1"/>
    <n v="2014"/>
    <s v="-"/>
    <m/>
    <n v="0"/>
    <s v="Sim"/>
    <s v="MVC COMPONENTES PLASTICOS LTDA"/>
    <m/>
    <m/>
    <m/>
    <m/>
    <m/>
    <m/>
    <m/>
    <s v="(12934896000165) CONT CONSTRUCOES LTDA - EPP"/>
    <d v="2017-02-24T00:00:00"/>
    <d v="2017-08-23T00:00:00"/>
    <d v="2018-10-02T00:00:00"/>
    <n v="180"/>
    <n v="585"/>
    <n v="1766357.1"/>
    <n v="1766357.1"/>
    <m/>
    <m/>
    <m/>
    <m/>
    <m/>
    <m/>
    <m/>
    <m/>
    <m/>
    <m/>
    <m/>
    <m/>
    <m/>
    <m/>
    <m/>
    <m/>
  </r>
  <r>
    <s v="Gravataí"/>
    <s v="RS"/>
    <s v="Sim"/>
    <n v="19874"/>
    <s v="EMEI Princesas"/>
    <m/>
    <s v="2013"/>
    <s v="Paralisada"/>
    <n v="35.799999999999997"/>
    <d v="2017-12-31T00:00:00"/>
    <s v="Paralisada"/>
    <n v="10.89"/>
    <m/>
    <n v="0"/>
    <n v="0"/>
    <s v="Paralisada"/>
    <n v="10.89"/>
    <m/>
    <n v="0"/>
    <m/>
    <s v="Paralisada"/>
    <s v="10.89"/>
    <d v="2016-03-31T00:00:00"/>
    <n v="0"/>
    <m/>
    <n v="1"/>
    <s v="Paralisada"/>
    <s v="10.89"/>
    <d v="2016-03-31T00:00:00"/>
    <x v="0"/>
    <m/>
    <m/>
    <s v="SIMEC: ausência de dados da licitação; medições de 2014 sem indicação de % executado, início da execução indicado como 2015."/>
    <s v="Sim"/>
    <s v="Sim"/>
    <m/>
    <n v="389635.12"/>
    <n v="235218.85"/>
    <n v="1"/>
    <n v="1"/>
    <n v="235218.85"/>
    <n v="512428"/>
    <n v="512428"/>
    <x v="22"/>
    <x v="1"/>
    <n v="2014"/>
    <s v="-"/>
    <m/>
    <n v="559"/>
    <s v="Sim"/>
    <s v="MVC COMPONENTES PLASTICOS LTDA"/>
    <d v="2013-09-19T00:00:00"/>
    <d v="2014-09-19T00:00:00"/>
    <d v="2016-03-31T00:00:00"/>
    <n v="365"/>
    <n v="924"/>
    <n v="786913.29"/>
    <n v="786913.29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24614"/>
    <s v="EMEI PORTO SEGURO"/>
    <m/>
    <s v="2013"/>
    <s v="Paralisada"/>
    <n v="25.63"/>
    <d v="2017-06-30T00:00:00"/>
    <s v="Em andamento"/>
    <n v="39.19"/>
    <d v="2017-10-06T00:00:00"/>
    <n v="0"/>
    <n v="1"/>
    <s v="Em andamento"/>
    <n v="39.19"/>
    <d v="2018-04-05T00:00:00"/>
    <n v="0"/>
    <m/>
    <s v="Em andamento"/>
    <s v="39.19"/>
    <d v="2018-10-02T00:00:00"/>
    <n v="0"/>
    <m/>
    <n v="1"/>
    <s v="Em andamento"/>
    <s v="53.47"/>
    <d v="2019-10-02T00:00:00"/>
    <x v="4"/>
    <m/>
    <s v="Dispensa 34/2017"/>
    <s v="SIMEC: Última medição de ago/2017, com 18%. Segundo SIGEF, primeiros pagamentos para a MVC em 2014. Último pagamento para a Cont em ago/2017, repasse seguinte do FNDE apenas em abr/2018, evidenciando atrasos."/>
    <s v="Sim"/>
    <s v="Sim"/>
    <m/>
    <n v="481997.87"/>
    <n v="943014.31"/>
    <n v="1"/>
    <n v="5"/>
    <n v="188602.86200000002"/>
    <n v="625815"/>
    <n v="625815"/>
    <x v="23"/>
    <x v="1"/>
    <n v="2014"/>
    <s v="-"/>
    <m/>
    <n v="0"/>
    <s v="Sim"/>
    <s v="MVC COMPONENTES PLASTICOS LTDA"/>
    <m/>
    <m/>
    <m/>
    <m/>
    <m/>
    <m/>
    <m/>
    <s v="(12934896000165) CONT CONSTRUCOES LTDA - EPP"/>
    <d v="2017-02-24T00:00:00"/>
    <d v="2017-08-23T00:00:00"/>
    <d v="2018-10-02T00:00:00"/>
    <n v="180"/>
    <n v="585"/>
    <n v="1817363.96"/>
    <n v="1817363.96"/>
    <m/>
    <m/>
    <m/>
    <m/>
    <m/>
    <m/>
    <m/>
    <m/>
    <m/>
    <m/>
    <m/>
    <m/>
    <m/>
    <m/>
    <m/>
    <m/>
  </r>
  <r>
    <s v="Gravataí"/>
    <s v="RS"/>
    <s v="Sim"/>
    <n v="24615"/>
    <s v="EMEI MORADA DO VALE III"/>
    <m/>
    <s v="2013"/>
    <s v="Paralisada"/>
    <n v="28.62"/>
    <d v="2017-12-31T00:00:00"/>
    <s v="Paralisada"/>
    <n v="28.62"/>
    <m/>
    <n v="0"/>
    <n v="0"/>
    <s v="Paralisada"/>
    <n v="28.62"/>
    <m/>
    <n v="0"/>
    <m/>
    <s v="Paralisada"/>
    <s v="28.62"/>
    <d v="2016-03-31T00:00:00"/>
    <n v="0"/>
    <m/>
    <n v="1"/>
    <s v="Em andamento"/>
    <s v="52.42"/>
    <d v="2019-04-04T00:00:00"/>
    <x v="4"/>
    <m/>
    <s v="Dispensa 87/2018"/>
    <s v="SIMEC: consta nova licitação, porém sem dados de contratação, nem mudança na situação da obra; apenas duas medições sem % executado de 2015. Segundo SIGEF, primeiros pagamentos para a MVC em 2014."/>
    <s v="Sim"/>
    <s v="Sim"/>
    <m/>
    <n v="135918.87"/>
    <n v="943014.31"/>
    <n v="0"/>
    <n v="5"/>
    <n v="188602.86200000002"/>
    <n v="185312"/>
    <n v="185312"/>
    <x v="23"/>
    <x v="1"/>
    <n v="2014"/>
    <s v="-"/>
    <m/>
    <n v="516"/>
    <s v="Sim"/>
    <s v="MVC COMPONENTES PLASTICOS LTDA"/>
    <d v="2013-11-01T00:00:00"/>
    <d v="2014-11-01T00:00:00"/>
    <d v="2016-03-31T00:00:00"/>
    <n v="365"/>
    <n v="881"/>
    <n v="788965.49"/>
    <n v="788965.49"/>
    <s v="(12934896000165) CONT CONSTRUCOES LTDA - EPP"/>
    <m/>
    <m/>
    <m/>
    <m/>
    <m/>
    <n v="1384373.57"/>
    <m/>
    <m/>
    <m/>
    <m/>
    <m/>
    <m/>
    <m/>
    <m/>
    <m/>
    <m/>
    <m/>
    <m/>
    <m/>
    <m/>
    <m/>
    <m/>
    <m/>
  </r>
  <r>
    <s v="Gravataí"/>
    <s v="RS"/>
    <s v="Sim"/>
    <n v="24616"/>
    <s v="EMEI RINCÃO DA MADALENA"/>
    <m/>
    <s v="2013"/>
    <s v="Paralisada"/>
    <n v="7.06"/>
    <d v="2017-12-31T00:00:00"/>
    <s v="Paralisada"/>
    <n v="7.06"/>
    <m/>
    <n v="0"/>
    <n v="0"/>
    <s v="Paralisada"/>
    <n v="7.06"/>
    <m/>
    <n v="0"/>
    <m/>
    <s v="Paralisada"/>
    <s v="07.06"/>
    <d v="2016-12-31T00:00:00"/>
    <n v="0"/>
    <m/>
    <n v="1"/>
    <s v="Paralisada"/>
    <s v="07.06"/>
    <d v="2016-03-31T00:00:00"/>
    <x v="0"/>
    <m/>
    <m/>
    <s v="SIMEC: ausência de dados da licitação; medições somente de 2014 sem indicação de % executado. Segundo SIGEF, primeiros pagamentos para a MVC em 2014."/>
    <s v="Sim"/>
    <s v="Sim"/>
    <m/>
    <n v="581997.87"/>
    <n v="943014.31"/>
    <n v="0"/>
    <n v="5"/>
    <n v="188602.86200000002"/>
    <n v="745746"/>
    <n v="745746"/>
    <x v="23"/>
    <x v="1"/>
    <n v="2014"/>
    <s v="-"/>
    <m/>
    <n v="516"/>
    <s v="Sim"/>
    <s v="MVC COMPONENTES PLASTICOS LTDA"/>
    <d v="2013-11-01T00:00:00"/>
    <d v="2014-11-01T00:00:00"/>
    <d v="2016-03-31T00:00:00"/>
    <n v="365"/>
    <n v="881"/>
    <n v="1492750.71"/>
    <n v="1492750.71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24617"/>
    <s v="EMEI IBIZA"/>
    <m/>
    <s v="2013"/>
    <s v="Não iniciada"/>
    <n v="0"/>
    <s v="-"/>
    <s v="Não iniciada"/>
    <n v="0"/>
    <m/>
    <n v="1"/>
    <n v="0"/>
    <s v="Não iniciada"/>
    <m/>
    <m/>
    <n v="1"/>
    <n v="5"/>
    <s v="Não iniciada"/>
    <s v="0.00"/>
    <s v="-"/>
    <n v="0"/>
    <n v="1"/>
    <n v="1"/>
    <s v="Cancelada"/>
    <s v="0.00"/>
    <n v="0"/>
    <x v="1"/>
    <m/>
    <m/>
    <m/>
    <s v="Não"/>
    <s v="Não"/>
    <s v="Sim"/>
    <n v="290998.93"/>
    <n v="943014.31"/>
    <n v="0"/>
    <n v="5"/>
    <n v="188602.86200000002"/>
    <n v="396749"/>
    <n v="396749"/>
    <x v="2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24618"/>
    <s v="EMEI PARQUE DOS EUCALIPTOS"/>
    <m/>
    <s v="2013"/>
    <s v="Paralisada"/>
    <n v="74.540000000000006"/>
    <d v="2017-06-30T00:00:00"/>
    <s v="Em andamento"/>
    <n v="93.08"/>
    <d v="2017-10-06T00:00:00"/>
    <n v="0"/>
    <n v="1"/>
    <s v="Em andamento"/>
    <n v="98.54"/>
    <d v="2018-04-05T00:00:00"/>
    <n v="0"/>
    <m/>
    <s v="Em andamento"/>
    <s v="98.54"/>
    <d v="2018-10-02T00:00:00"/>
    <n v="0"/>
    <m/>
    <n v="1"/>
    <s v="Em andamento"/>
    <s v="99.43"/>
    <d v="2019-10-02T00:00:00"/>
    <x v="4"/>
    <m/>
    <s v="Dispensa 34/2017"/>
    <s v="SIMEC: Última medição de out/2017, com 83%. Visita à obra em 30/11, estava próxima da conclusão, pouco avanço. Segundo SIGEF, primeiros pagamentos para a MVC em 2014. Último pagamento para a Cont em ago/2017, repasse seguinte do FNDE apenas em abr/2018, evidenciando atrasos."/>
    <s v="Sim"/>
    <s v="Sim"/>
    <m/>
    <n v="1359030.13"/>
    <n v="943014.31"/>
    <n v="0"/>
    <n v="5"/>
    <n v="188602.86200000002"/>
    <n v="1580532"/>
    <n v="1580532"/>
    <x v="23"/>
    <x v="1"/>
    <n v="2014"/>
    <s v="-"/>
    <m/>
    <n v="0"/>
    <s v="Sim"/>
    <s v="MVC COMPONENTES PLASTICOS LTDA"/>
    <m/>
    <m/>
    <m/>
    <m/>
    <m/>
    <m/>
    <m/>
    <s v="(12934896000165) CONT CONSTRUCOES LTDA - EPP"/>
    <d v="2017-02-24T00:00:00"/>
    <d v="2017-08-23T00:00:00"/>
    <d v="2018-10-02T00:00:00"/>
    <n v="180"/>
    <n v="585"/>
    <n v="1020531.45"/>
    <n v="1020531.45"/>
    <m/>
    <m/>
    <m/>
    <m/>
    <m/>
    <m/>
    <m/>
    <m/>
    <m/>
    <m/>
    <m/>
    <m/>
    <m/>
    <m/>
    <m/>
    <m/>
  </r>
  <r>
    <s v="Gravataí"/>
    <s v="RS"/>
    <s v="Sim"/>
    <n v="1010678"/>
    <s v="E.M.E.I. COHAB C - Gravataí - RS"/>
    <m/>
    <s v="2014"/>
    <s v="Não iniciada"/>
    <n v="0"/>
    <s v="-"/>
    <s v="Não iniciada"/>
    <n v="0"/>
    <m/>
    <n v="1"/>
    <n v="0"/>
    <s v="Em andamento"/>
    <n v="36.14"/>
    <d v="2018-11-24T00:00:00"/>
    <n v="0"/>
    <m/>
    <s v="Em andamento"/>
    <s v="41.30"/>
    <d v="2018-11-03T00:00:00"/>
    <n v="0"/>
    <m/>
    <m/>
    <s v="Em andamento"/>
    <s v="47.63"/>
    <d v="2018-12-04T00:00:00"/>
    <x v="4"/>
    <s v="TC reformulado em 2018"/>
    <s v="Concorrência 152016"/>
    <s v="SIMEC: Última medição de dez/2017, com 28%."/>
    <s v="Sim"/>
    <s v="Sim"/>
    <m/>
    <n v="701582.3"/>
    <n v="956174.31"/>
    <n v="1"/>
    <n v="3"/>
    <n v="318724.77"/>
    <n v="544245"/>
    <n v="544245"/>
    <x v="24"/>
    <x v="2"/>
    <n v="2017"/>
    <s v="-"/>
    <m/>
    <n v="244"/>
    <s v="Não"/>
    <s v="(19769871000100) SECONTER SERVICOS DE CONSTRUCOES E TERRAPLANAGEM LTDA - EPP"/>
    <d v="2016-10-17T00:00:00"/>
    <d v="2018-04-04T00:00:00"/>
    <d v="2018-12-04T00:00:00"/>
    <n v="534"/>
    <n v="778"/>
    <n v="1788609.48"/>
    <n v="1852022.22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010679"/>
    <s v="E.M.E.I. RAIO DE SOL"/>
    <m/>
    <s v="2014"/>
    <s v="Em andamento"/>
    <n v="16.93"/>
    <d v="2018-11-02T00:00:00"/>
    <s v="Em andamento"/>
    <n v="24.26"/>
    <d v="2018-02-03T00:00:00"/>
    <n v="0"/>
    <n v="0"/>
    <s v="Paralisada"/>
    <n v="24.26"/>
    <m/>
    <n v="0"/>
    <m/>
    <s v="Paralisada"/>
    <s v="24.26"/>
    <d v="2018-02-03T00:00:00"/>
    <n v="0"/>
    <m/>
    <m/>
    <s v="Paralisada"/>
    <s v="24.26"/>
    <n v="0"/>
    <x v="0"/>
    <s v="TC reformulado em 2018"/>
    <s v="Concorrência 062016"/>
    <m/>
    <s v="Não"/>
    <s v="Sim"/>
    <m/>
    <n v="373185.1"/>
    <n v="956174.31"/>
    <n v="0"/>
    <n v="3"/>
    <n v="318724.77"/>
    <n v="458626"/>
    <n v="458626"/>
    <x v="24"/>
    <x v="2"/>
    <n v="2016"/>
    <s v="-"/>
    <m/>
    <n v="324"/>
    <s v="Sim"/>
    <s v="(11552977000138) MOTA &amp; MORAES LTDA"/>
    <d v="2016-05-16T00:00:00"/>
    <d v="2017-03-16T00:00:00"/>
    <d v="2018-02-03T00:00:00"/>
    <n v="304"/>
    <n v="628"/>
    <n v="1907668.21"/>
    <n v="2005168.08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010680"/>
    <s v="E.M.E.I. PARQUE FLORIDO - Gravataí - RS"/>
    <m/>
    <s v="2014"/>
    <s v="Não iniciada"/>
    <n v="0"/>
    <s v="-"/>
    <s v="Não iniciada"/>
    <n v="0"/>
    <m/>
    <n v="1"/>
    <n v="0"/>
    <s v="Cancelada"/>
    <m/>
    <m/>
    <n v="0"/>
    <m/>
    <s v="Não iniciada"/>
    <s v="0.00"/>
    <s v="-"/>
    <n v="1"/>
    <m/>
    <m/>
    <s v="Cancelada"/>
    <s v="0.00"/>
    <n v="0"/>
    <x v="5"/>
    <s v="TC reformulado em 2018"/>
    <m/>
    <s v="Obra Cancelada"/>
    <s v="Não"/>
    <s v="Sim"/>
    <s v="Sim"/>
    <n v="374458.93"/>
    <n v="956174.31"/>
    <n v="0"/>
    <n v="3"/>
    <n v="318724.77"/>
    <n v="460192"/>
    <n v="460192"/>
    <x v="24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010681"/>
    <s v="E.M.E.I. BEM ME QUER"/>
    <m/>
    <s v="2013"/>
    <s v="Em andamento"/>
    <n v="16.28"/>
    <d v="2017-10-26T00:00:00"/>
    <s v="Em andamento"/>
    <n v="46.04"/>
    <d v="2017-10-26T00:00:00"/>
    <n v="0"/>
    <n v="0"/>
    <s v="Em andamento"/>
    <n v="59.73"/>
    <d v="2018-11-24T00:00:00"/>
    <n v="0"/>
    <m/>
    <s v="Em andamento"/>
    <s v="58.48"/>
    <d v="2018-11-25T00:00:00"/>
    <n v="0"/>
    <m/>
    <n v="1"/>
    <s v="Em andamento"/>
    <s v="75.74"/>
    <d v="2019-04-27T00:00:00"/>
    <x v="4"/>
    <m/>
    <s v="Concorrência 152016"/>
    <s v="SIMEC: Não constam medições de 2018; % reconhecido do FNDE abaixo das medições da prefeitura."/>
    <s v="Sim"/>
    <s v="Sim"/>
    <m/>
    <n v="859163.32"/>
    <n v="279636.86"/>
    <n v="1"/>
    <n v="2"/>
    <n v="139818.43"/>
    <n v="953549"/>
    <n v="953549"/>
    <x v="25"/>
    <x v="1"/>
    <n v="2017"/>
    <s v="-"/>
    <m/>
    <n v="395"/>
    <s v="Não"/>
    <s v="(19769871000100) SECONTER SERVICOS DE CONSTRUCOES E TERRAPLANAGEM LTDA - EPP"/>
    <d v="2016-10-17T00:00:00"/>
    <d v="2017-10-26T00:00:00"/>
    <d v="2018-11-25T00:00:00"/>
    <n v="374"/>
    <n v="769"/>
    <n v="1773665.11"/>
    <n v="2217081.33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010682"/>
    <s v="E.M.E.I. ALTAVILLE - Gravataí - RS"/>
    <m/>
    <s v="2013"/>
    <s v="Não iniciada"/>
    <n v="0"/>
    <s v="-"/>
    <s v="Não iniciada"/>
    <n v="0"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m/>
    <s v="Não"/>
    <s v="Não"/>
    <s v="Sim"/>
    <n v="373913.85"/>
    <n v="279636.86"/>
    <n v="0"/>
    <n v="2"/>
    <n v="139818.43"/>
    <n v="459522"/>
    <n v="459522"/>
    <x v="25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011012"/>
    <s v="E.M.E.I. COSTA DO IPIRANGA"/>
    <m/>
    <s v="2014"/>
    <s v="Em andamento"/>
    <n v="7.9"/>
    <d v="2017-10-26T00:00:00"/>
    <s v="Em andamento"/>
    <n v="20.96"/>
    <m/>
    <n v="0"/>
    <n v="0"/>
    <s v="Em andamento"/>
    <n v="20.96"/>
    <d v="2018-11-24T00:00:00"/>
    <n v="0"/>
    <m/>
    <s v="Em andamento"/>
    <s v="23.59"/>
    <d v="2018-11-25T00:00:00"/>
    <n v="0"/>
    <m/>
    <m/>
    <s v="Em andamento"/>
    <s v="30.66"/>
    <d v="2019-04-27T00:00:00"/>
    <x v="4"/>
    <s v="TC reformulado em 2016"/>
    <s v="Concorrência 152016"/>
    <s v="SIMEC: Última medição de ago/2017, com 22%, apenas 1% de avanço até vistoria do FNDE em junho/2018."/>
    <s v="Não"/>
    <s v="Sim"/>
    <m/>
    <n v="275257.42"/>
    <n v="36740.74"/>
    <n v="1"/>
    <n v="2"/>
    <n v="18370.37"/>
    <n v="278826"/>
    <n v="278826"/>
    <x v="26"/>
    <x v="2"/>
    <n v="2017"/>
    <s v="-"/>
    <m/>
    <n v="395"/>
    <s v="Não"/>
    <s v="(19769871000100) SECONTER SERVICOS DE CONSTRUCOES E TERRAPLANAGEM LTDA - EPP"/>
    <d v="2016-10-17T00:00:00"/>
    <d v="2017-10-26T00:00:00"/>
    <d v="2018-11-25T00:00:00"/>
    <n v="374"/>
    <n v="769"/>
    <n v="1228851.31"/>
    <n v="1442804.03"/>
    <m/>
    <m/>
    <m/>
    <m/>
    <m/>
    <m/>
    <m/>
    <m/>
    <m/>
    <m/>
    <m/>
    <m/>
    <m/>
    <m/>
    <m/>
    <m/>
    <m/>
    <m/>
    <m/>
    <m/>
    <m/>
    <m/>
    <m/>
    <m/>
  </r>
  <r>
    <s v="Gravataí"/>
    <s v="RS"/>
    <s v="Sim"/>
    <n v="1011013"/>
    <s v="E.M.E.I. FAVO DE MEL"/>
    <m/>
    <s v="2014"/>
    <s v="Em andamento"/>
    <n v="9.65"/>
    <d v="2017-11-04T00:00:00"/>
    <s v="Em andamento"/>
    <n v="9.65"/>
    <d v="2018-02-03T00:00:00"/>
    <n v="0"/>
    <n v="0"/>
    <s v="Paralisada"/>
    <n v="9.65"/>
    <m/>
    <n v="0"/>
    <m/>
    <s v="Paralisada"/>
    <s v="09.65"/>
    <d v="2018-02-03T00:00:00"/>
    <n v="0"/>
    <m/>
    <m/>
    <s v="Paralisada"/>
    <s v="09.65"/>
    <n v="0"/>
    <x v="0"/>
    <s v="TC reformulado em 2016"/>
    <s v="Concorrência 062016"/>
    <s v="SIMEC: Consta apenas uma medição de Jul/2017."/>
    <s v="Sim"/>
    <s v="Sim"/>
    <m/>
    <n v="162222.64000000001"/>
    <n v="36740.74"/>
    <n v="0"/>
    <n v="2"/>
    <n v="18370.37"/>
    <n v="164132"/>
    <n v="164132"/>
    <x v="26"/>
    <x v="2"/>
    <n v="2016"/>
    <s v="-"/>
    <m/>
    <n v="305"/>
    <s v="Sim"/>
    <s v="(11552977000138) MOTA &amp; MORAES LTDA"/>
    <d v="2016-05-16T00:00:00"/>
    <d v="2017-04-04T00:00:00"/>
    <d v="2018-02-03T00:00:00"/>
    <n v="323"/>
    <n v="628"/>
    <n v="1960836.04"/>
    <s v="-"/>
    <m/>
    <m/>
    <m/>
    <m/>
    <m/>
    <m/>
    <m/>
    <m/>
    <m/>
    <m/>
    <m/>
    <m/>
    <m/>
    <m/>
    <m/>
    <m/>
    <m/>
    <m/>
    <m/>
    <m/>
    <m/>
    <m/>
    <m/>
    <m/>
  </r>
  <r>
    <s v="Guarapuava"/>
    <s v="PR"/>
    <s v="Sim"/>
    <n v="25284"/>
    <s v="PAC 2 - CRECHE/PRÉ-ESCOLA 009"/>
    <s v="Morro Alto"/>
    <s v="2012"/>
    <s v="Em andamento"/>
    <n v="94.12"/>
    <d v="2017-03-31T00:00:00"/>
    <s v="Concluída"/>
    <m/>
    <m/>
    <n v="0"/>
    <n v="1"/>
    <s v="Concluída"/>
    <m/>
    <m/>
    <n v="0"/>
    <m/>
    <s v="Concluída"/>
    <s v="100.00"/>
    <d v="2017-07-24T00:00:00"/>
    <n v="0"/>
    <m/>
    <n v="0"/>
    <s v="Concluída"/>
    <s v="100.00"/>
    <d v="2017-07-24T00:00:00"/>
    <x v="3"/>
    <m/>
    <s v="CP 0412, TP 082015"/>
    <s v="Contrato anterior 562/2012. SIMEC: Medições ausentes. Segundo dados do SIGEF, últimos pagamentos para a empresa ALOM foram em 2016."/>
    <s v="Sim"/>
    <s v="Sim"/>
    <m/>
    <n v="1368907.75"/>
    <n v="1179945.1299999999"/>
    <n v="1"/>
    <n v="2"/>
    <n v="589972.56499999994"/>
    <n v="1563303"/>
    <n v="1563303"/>
    <x v="27"/>
    <x v="4"/>
    <n v="2012"/>
    <n v="2017"/>
    <n v="5"/>
    <n v="411"/>
    <s v="Sim"/>
    <s v="(12622000000102) TERCEIRO PLANALTO CONSTRUTORA DE OBRAS LTDA EPP - outro nome: GTA"/>
    <d v="2012-08-28T00:00:00"/>
    <d v="2013-08-28T00:00:00"/>
    <m/>
    <n v="365"/>
    <m/>
    <n v="2584692.63"/>
    <m/>
    <s v="(12406332000150) A.L.O.M TOSSIN SERVICOS EIRELI - EPP"/>
    <d v="2015-08-12T00:00:00"/>
    <d v="2016-08-12T00:00:00"/>
    <d v="2017-09-27T00:00:00"/>
    <n v="366"/>
    <n v="777"/>
    <n v="515992.26"/>
    <n v="515992.26"/>
    <m/>
    <m/>
    <m/>
    <m/>
    <m/>
    <m/>
    <m/>
    <m/>
    <m/>
    <m/>
    <m/>
    <m/>
    <m/>
    <m/>
    <m/>
    <m/>
  </r>
  <r>
    <s v="Guarapuava"/>
    <s v="PR"/>
    <s v="Sim"/>
    <n v="25286"/>
    <s v="PAC 2 - CRECHE/PRÉ-ESCOLA 008"/>
    <s v="Residencial 2000"/>
    <s v="2012"/>
    <s v="Em andamento"/>
    <n v="86.76"/>
    <d v="2017-08-04T00:00:00"/>
    <s v="Concluída"/>
    <m/>
    <m/>
    <n v="0"/>
    <n v="1"/>
    <s v="Concluída"/>
    <m/>
    <m/>
    <n v="0"/>
    <m/>
    <s v="Concluída"/>
    <s v="100.00"/>
    <d v="2016-12-12T00:00:00"/>
    <n v="0"/>
    <m/>
    <n v="0"/>
    <s v="Concluída"/>
    <s v="100.00"/>
    <d v="2016-12-12T00:00:00"/>
    <x v="3"/>
    <m/>
    <s v="Concorrência 0412"/>
    <s v="Aparentemente, atraso na entrega do terreno e na realização da terraplenagem fez com que início efetivo se desse somente em 2014 (1ª medição em Nov/2014). SIMEC: Medições desatualizadas, até Mai/2015, data de entrega e dados dos contratos desatulizados, pois a obra foi concluída somente em 2017)."/>
    <s v="Sim"/>
    <s v="Sim"/>
    <m/>
    <n v="1332840.94"/>
    <n v="1179945.1299999999"/>
    <n v="0"/>
    <n v="2"/>
    <n v="589972.56499999994"/>
    <n v="1601359"/>
    <n v="1601359"/>
    <x v="27"/>
    <x v="4"/>
    <n v="2012"/>
    <n v="2017"/>
    <n v="5"/>
    <n v="1278"/>
    <s v="Não"/>
    <s v="(07475058000130) M.I. CONSTRUTORA DE OBRAS LTDA"/>
    <d v="2012-08-28T00:00:00"/>
    <d v="2013-06-24T00:00:00"/>
    <d v="2016-12-23T00:00:00"/>
    <n v="300"/>
    <n v="1578"/>
    <n v="1222050.67"/>
    <n v="1222050.67"/>
    <m/>
    <m/>
    <m/>
    <m/>
    <m/>
    <m/>
    <m/>
    <m/>
    <m/>
    <m/>
    <m/>
    <m/>
    <m/>
    <m/>
    <m/>
    <m/>
    <m/>
    <m/>
    <m/>
    <m/>
    <m/>
    <m/>
    <m/>
    <m/>
  </r>
  <r>
    <s v="Guarapuava"/>
    <s v="PR"/>
    <s v="Sim"/>
    <n v="1005588"/>
    <s v="Creche Vila Colibri"/>
    <s v="Alto Cascavel"/>
    <s v="2013"/>
    <s v="Não iniciada"/>
    <n v="0"/>
    <s v="-"/>
    <s v="Em andamento"/>
    <m/>
    <m/>
    <n v="0"/>
    <n v="1"/>
    <s v="Em andamento"/>
    <m/>
    <m/>
    <n v="0"/>
    <m/>
    <s v="Em andamento"/>
    <s v="59.73"/>
    <d v="2018-07-19T00:00:00"/>
    <n v="0"/>
    <m/>
    <m/>
    <s v="Concluída"/>
    <s v="99.99"/>
    <d v="2018-09-26T00:00:00"/>
    <x v="3"/>
    <s v="TC reformulado em 2015"/>
    <s v="Concorrência 102016"/>
    <s v="SIMEC: Última medição de jan/2018 com 27%."/>
    <s v="Sim"/>
    <s v="Sim"/>
    <m/>
    <n v="1060278.96"/>
    <n v="45457.27"/>
    <n v="1"/>
    <n v="1"/>
    <n v="45457.27"/>
    <n v="787605"/>
    <n v="787605"/>
    <x v="28"/>
    <x v="1"/>
    <n v="2017"/>
    <s v="-"/>
    <m/>
    <n v="96"/>
    <s v="Não"/>
    <s v="(23878066000184) TORRES NOVAS CONSTRUTORA EIRELI - EPP"/>
    <d v="2017-01-25T00:00:00"/>
    <d v="2018-07-25T00:00:00"/>
    <d v="2018-10-23T00:00:00"/>
    <n v="636"/>
    <n v="732"/>
    <n v="1696474.96"/>
    <n v="1869901.23"/>
    <m/>
    <m/>
    <m/>
    <m/>
    <m/>
    <m/>
    <m/>
    <m/>
    <m/>
    <m/>
    <m/>
    <m/>
    <m/>
    <m/>
    <m/>
    <m/>
    <m/>
    <m/>
    <m/>
    <m/>
    <m/>
    <m/>
    <m/>
    <m/>
  </r>
  <r>
    <s v="Imbituba"/>
    <s v="SC"/>
    <s v="Sim"/>
    <n v="25130"/>
    <s v="PAC 2 - CRECHE/PRÉ-ESCOLA 001"/>
    <m/>
    <s v="2012"/>
    <s v="Em andamento"/>
    <n v="80.739999999999995"/>
    <d v="2017-03-28T00:00:00"/>
    <s v="Paralisada"/>
    <m/>
    <m/>
    <n v="0"/>
    <n v="1"/>
    <s v="Paralisada"/>
    <m/>
    <m/>
    <n v="0"/>
    <m/>
    <s v="Em andamento"/>
    <s v="80.74"/>
    <d v="2017-11-30T00:00:00"/>
    <n v="1"/>
    <m/>
    <n v="0"/>
    <s v="Em andamento"/>
    <s v="80.65"/>
    <d v="2019-02-28T00:00:00"/>
    <x v="4"/>
    <s v="TC reformulado em 2016"/>
    <s v="Concorrência 042012"/>
    <s v="Paralisada desde 2015. SIMEC desatualizado, última medição de mai/2015, vistoria do FNDE de jul/2017 não identificou paralisação, medições sem % executado."/>
    <s v="Sim"/>
    <s v="Sim"/>
    <m/>
    <n v="1086475.28"/>
    <n v="3324.84"/>
    <n v="1"/>
    <n v="1"/>
    <n v="3324.84"/>
    <n v="1357041"/>
    <n v="1357041"/>
    <x v="29"/>
    <x v="4"/>
    <n v="2013"/>
    <s v="-"/>
    <m/>
    <n v="1468"/>
    <s v="Sim"/>
    <s v="(01375841000146) CONSTRUTORA FORMIGONI LTDA"/>
    <d v="2013-02-26T00:00:00"/>
    <d v="2013-11-23T00:00:00"/>
    <d v="2017-11-30T00:00:00"/>
    <n v="270"/>
    <n v="1738"/>
    <n v="1560503.51"/>
    <n v="1560503.51"/>
    <m/>
    <m/>
    <m/>
    <m/>
    <m/>
    <m/>
    <m/>
    <m/>
    <m/>
    <m/>
    <m/>
    <m/>
    <m/>
    <m/>
    <m/>
    <m/>
    <m/>
    <m/>
    <m/>
    <m/>
    <m/>
    <m/>
    <m/>
    <m/>
  </r>
  <r>
    <s v="Imbituba"/>
    <s v="SC"/>
    <s v="Sim"/>
    <n v="1006532"/>
    <s v="CENTRO DE EDUCAÇÃO INFANTIL DO BAIRRO CAMPESTRE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m/>
    <s v="Cancelada"/>
    <s v="0.00"/>
    <n v="0"/>
    <x v="1"/>
    <s v="TC reformulado em 2015"/>
    <m/>
    <m/>
    <s v="Não"/>
    <s v="Não"/>
    <s v="Sim"/>
    <n v="371770.9"/>
    <n v="371862.16"/>
    <n v="1"/>
    <n v="1"/>
    <n v="371862.16"/>
    <n v="452087"/>
    <n v="452087"/>
    <x v="30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jeado"/>
    <s v="RS"/>
    <s v="Sim"/>
    <n v="1001606"/>
    <s v="EMEI Conventos"/>
    <m/>
    <s v="2013"/>
    <s v="Não iniciada"/>
    <n v="0"/>
    <s v="-"/>
    <s v="Em andamento"/>
    <n v="40"/>
    <d v="2018-02-24T00:00:00"/>
    <n v="0"/>
    <n v="1"/>
    <s v="Em andamento"/>
    <n v="54.97"/>
    <d v="2018-09-28T00:00:00"/>
    <n v="0"/>
    <m/>
    <s v="Em andamento"/>
    <s v="64.21"/>
    <d v="2018-09-28T00:00:00"/>
    <n v="0"/>
    <m/>
    <m/>
    <s v="Em andamento"/>
    <s v="97.29"/>
    <d v="2018-12-04T00:00:00"/>
    <x v="4"/>
    <s v="TC reformulado em 2015"/>
    <s v="Concorrência nº 11-03/2015"/>
    <s v="SIMEC: Última medição de dez/2017, com 43%."/>
    <s v="Sim"/>
    <s v="Sim"/>
    <m/>
    <n v="1135607.6000000001"/>
    <n v="0"/>
    <n v="0"/>
    <n v="25"/>
    <n v="0"/>
    <n v="1349132"/>
    <n v="1349132"/>
    <x v="31"/>
    <x v="1"/>
    <n v="2016"/>
    <s v="-"/>
    <m/>
    <n v="499"/>
    <s v="Não"/>
    <s v="(00084457000121) PELLEGRINI &amp; PELLEGRINI LTDA"/>
    <d v="2016-02-24T00:00:00"/>
    <d v="2017-05-24T00:00:00"/>
    <d v="2018-10-05T00:00:00"/>
    <n v="455"/>
    <n v="954"/>
    <n v="1832050.07"/>
    <n v="1832050.07"/>
    <m/>
    <m/>
    <m/>
    <m/>
    <m/>
    <m/>
    <m/>
    <m/>
    <m/>
    <m/>
    <m/>
    <m/>
    <m/>
    <m/>
    <m/>
    <m/>
    <m/>
    <m/>
    <m/>
    <m/>
    <m/>
    <m/>
    <m/>
    <m/>
  </r>
  <r>
    <s v="Lajeado"/>
    <s v="RS"/>
    <s v="Sim"/>
    <n v="1017501"/>
    <s v="EMEI BOM PASTOR - Lajeado - RS"/>
    <m/>
    <s v="2014"/>
    <s v="Não iniciada"/>
    <n v="0"/>
    <s v="-"/>
    <s v="Não iniciada"/>
    <n v="0"/>
    <m/>
    <n v="1"/>
    <n v="0"/>
    <s v="Não iniciada"/>
    <m/>
    <m/>
    <n v="1"/>
    <n v="4"/>
    <s v="Não iniciada"/>
    <s v="0.00"/>
    <s v="-"/>
    <n v="0"/>
    <m/>
    <n v="0"/>
    <s v="Em andamento"/>
    <n v="7.52"/>
    <d v="2019-05-31T00:00:00"/>
    <x v="4"/>
    <m/>
    <s v="CP 02/2018"/>
    <s v="(novo contrato firmado em 11/07/18)"/>
    <s v="Não"/>
    <s v="Não"/>
    <m/>
    <n v="0"/>
    <n v="0"/>
    <n v="0"/>
    <n v="25"/>
    <n v="0"/>
    <s v="-"/>
    <s v="-"/>
    <x v="32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meira"/>
    <s v="SP"/>
    <s v="Sim"/>
    <n v="24448"/>
    <s v="PAC 2 - CRECHE/PRÉ-ESCOLA 002"/>
    <s v="Bairro Geada"/>
    <s v="2013"/>
    <s v="Não iniciada"/>
    <n v="0"/>
    <s v="-"/>
    <s v="Não iniciada"/>
    <m/>
    <m/>
    <n v="1"/>
    <n v="0"/>
    <s v="Não iniciada"/>
    <n v="0"/>
    <s v="-"/>
    <n v="1"/>
    <n v="5"/>
    <s v="Não iniciada"/>
    <s v="0.00"/>
    <s v="-"/>
    <n v="0"/>
    <m/>
    <m/>
    <s v="Cancelada"/>
    <s v="0.00"/>
    <n v="0"/>
    <x v="1"/>
    <s v="TC reformulado em 2018"/>
    <m/>
    <s v="Contrato anterior 163/2013"/>
    <s v="Não"/>
    <s v="Sim"/>
    <s v="Sim"/>
    <n v="361950.07"/>
    <n v="1209533.3700000001"/>
    <n v="1"/>
    <n v="4"/>
    <n v="302383.34250000003"/>
    <n v="481279"/>
    <n v="481279"/>
    <x v="33"/>
    <x v="1"/>
    <s v="-"/>
    <s v="-"/>
    <m/>
    <n v="365"/>
    <s v="Sim"/>
    <s v="(77578623000170) CASAALTA CONSTRUCOES LTDA"/>
    <d v="2013-12-06T00:00:00"/>
    <d v="2014-12-05T00:00:00"/>
    <d v="2015-12-05T00:00:00"/>
    <n v="364"/>
    <n v="729"/>
    <m/>
    <m/>
    <m/>
    <m/>
    <m/>
    <m/>
    <m/>
    <m/>
    <m/>
    <m/>
    <m/>
    <m/>
    <m/>
    <m/>
    <m/>
    <m/>
    <m/>
    <m/>
    <m/>
    <m/>
    <m/>
    <m/>
    <m/>
    <m/>
    <m/>
    <m/>
  </r>
  <r>
    <s v="Limeira"/>
    <s v="SP"/>
    <s v="Sim"/>
    <n v="24449"/>
    <s v="PAC 2 - CRECHE/PRÉ-ESCOLA 004"/>
    <s v="Residencial Village"/>
    <s v="2013"/>
    <s v="Paralisada"/>
    <n v="83.65"/>
    <d v="2017-01-24T00:00:00"/>
    <s v="Paralisada"/>
    <m/>
    <m/>
    <n v="0"/>
    <n v="0"/>
    <s v="Paralisada"/>
    <n v="83.65"/>
    <s v="-"/>
    <n v="0"/>
    <m/>
    <s v="Paralisada"/>
    <s v="83.65"/>
    <s v="-"/>
    <n v="0"/>
    <m/>
    <n v="1"/>
    <s v="Em andamento"/>
    <s v="93.04"/>
    <d v="2019-01-12T00:00:00"/>
    <x v="4"/>
    <s v="TC reformulado em 2018"/>
    <s v="TP 04/2018"/>
    <s v="Contrato anterior 161/2013"/>
    <s v="Não"/>
    <s v="Sim"/>
    <m/>
    <n v="955917.1"/>
    <n v="1209533.3700000001"/>
    <n v="0"/>
    <n v="4"/>
    <n v="302383.34250000003"/>
    <n v="1145442"/>
    <n v="1145442"/>
    <x v="33"/>
    <x v="1"/>
    <n v="2013"/>
    <s v="-"/>
    <m/>
    <n v="780"/>
    <s v="Sim"/>
    <s v="(77578623000170) CASAALTA CONSTRUCOES LTDA"/>
    <d v="2013-12-06T00:00:00"/>
    <d v="2014-12-06T00:00:00"/>
    <d v="2017-01-24T00:00:00"/>
    <n v="365"/>
    <n v="1145"/>
    <m/>
    <m/>
    <m/>
    <m/>
    <m/>
    <m/>
    <m/>
    <m/>
    <m/>
    <m/>
    <m/>
    <m/>
    <m/>
    <m/>
    <m/>
    <m/>
    <m/>
    <m/>
    <m/>
    <m/>
    <m/>
    <m/>
    <m/>
    <m/>
    <m/>
    <m/>
  </r>
  <r>
    <s v="Limeira"/>
    <s v="SP"/>
    <s v="Sim"/>
    <n v="24450"/>
    <s v="PAC 2 - CRECHE/PRÉ-ESCOLA 001"/>
    <s v="Parque Residencial Aeroporto                                                                        "/>
    <s v="2013"/>
    <s v="Não iniciada"/>
    <n v="0"/>
    <s v="-"/>
    <s v="Não iniciada"/>
    <m/>
    <m/>
    <n v="1"/>
    <n v="0"/>
    <s v="Cancelada"/>
    <m/>
    <m/>
    <n v="0"/>
    <m/>
    <s v="Não iniciada"/>
    <s v="0.00"/>
    <s v="-"/>
    <n v="1"/>
    <m/>
    <m/>
    <s v="Cancelada"/>
    <s v="0.00"/>
    <n v="0"/>
    <x v="5"/>
    <s v="TC reformulado em 2018"/>
    <m/>
    <s v="Há os contratos 162 e 164/2013, que podem ser relacionados a essa obra, porém a identificação do local não bate. Obra cancelada."/>
    <s v="Não"/>
    <s v="Sim"/>
    <s v="Sim"/>
    <n v="728896.29"/>
    <n v="1209533.3700000001"/>
    <n v="0"/>
    <n v="4"/>
    <n v="302383.34250000003"/>
    <n v="968507"/>
    <n v="968507"/>
    <x v="3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meira"/>
    <s v="SP"/>
    <s v="Sim"/>
    <n v="24451"/>
    <s v="PAC 2 - CRECHE/PRÉ-ESCOLA 006"/>
    <s v="Parque Residencial Belinha Ometto                 Abílio Pedro"/>
    <s v="2013"/>
    <s v="Não iniciada"/>
    <n v="0"/>
    <s v="-"/>
    <s v="Não iniciada"/>
    <m/>
    <m/>
    <n v="1"/>
    <n v="0"/>
    <s v="Cancelada"/>
    <m/>
    <m/>
    <n v="0"/>
    <m/>
    <s v="Não iniciada"/>
    <s v="0.00"/>
    <s v="-"/>
    <n v="1"/>
    <m/>
    <m/>
    <s v="Cancelada"/>
    <s v="0.00"/>
    <n v="0"/>
    <x v="5"/>
    <s v="TC reformulado em 2018"/>
    <m/>
    <s v="Contrato anterior 160/2013. Obra Cancelada."/>
    <s v="Não"/>
    <s v="Sim"/>
    <s v="Sim"/>
    <n v="0"/>
    <n v="1209533.3700000001"/>
    <n v="0"/>
    <n v="4"/>
    <n v="302383.34250000003"/>
    <s v="-"/>
    <s v="-"/>
    <x v="33"/>
    <x v="1"/>
    <s v="-"/>
    <s v="-"/>
    <m/>
    <n v="364"/>
    <s v="Sim"/>
    <s v="(77578623000170) CASAALTA CONSTRUCOES LTDA"/>
    <d v="2013-12-06T00:00:00"/>
    <d v="2014-12-06T00:00:00"/>
    <d v="2015-12-05T00:00:00"/>
    <n v="365"/>
    <n v="729"/>
    <m/>
    <m/>
    <m/>
    <m/>
    <m/>
    <m/>
    <m/>
    <m/>
    <m/>
    <m/>
    <m/>
    <m/>
    <m/>
    <m/>
    <m/>
    <m/>
    <m/>
    <m/>
    <m/>
    <m/>
    <m/>
    <m/>
    <m/>
    <m/>
    <m/>
    <m/>
  </r>
  <r>
    <s v="Limeira"/>
    <s v="SP"/>
    <s v="Sim"/>
    <n v="1014625"/>
    <s v="Creche Res. Alto dos Laranjais - Limeira - SP"/>
    <s v="Jardim Residencial e Comercial Alto dos Laranjais"/>
    <s v="2014"/>
    <s v="Não iniciada"/>
    <n v="0"/>
    <s v="-"/>
    <s v="Não iniciada"/>
    <m/>
    <m/>
    <n v="1"/>
    <n v="0"/>
    <s v="Não iniciada"/>
    <n v="0"/>
    <s v="-"/>
    <n v="1"/>
    <n v="4"/>
    <s v="Não iniciada"/>
    <s v="0.00"/>
    <s v="-"/>
    <n v="0"/>
    <m/>
    <n v="1"/>
    <s v="Cancelada"/>
    <s v="0.00"/>
    <n v="0"/>
    <x v="1"/>
    <m/>
    <m/>
    <s v="Há os contratos 162 e 164/2013, que podem ser relacionados a essa obra, porém a identificação do local não bate."/>
    <s v="Não"/>
    <s v="Não"/>
    <s v="Sim"/>
    <n v="379084.64"/>
    <n v="479994.02"/>
    <n v="1"/>
    <n v="1"/>
    <n v="479994.02"/>
    <n v="441276"/>
    <n v="441276"/>
    <x v="34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lhoça"/>
    <s v="SC"/>
    <s v="Sim"/>
    <n v="17386"/>
    <s v="700068/11 - Escola de Educação Infantil - Palhoça/SC"/>
    <m/>
    <s v="2011"/>
    <s v="Em andamento"/>
    <n v="94.42"/>
    <d v="2016-12-31T00:00:00"/>
    <s v="Paralisada"/>
    <m/>
    <m/>
    <n v="0"/>
    <n v="1"/>
    <s v="Paralisada"/>
    <m/>
    <m/>
    <n v="0"/>
    <m/>
    <s v="Paralisada"/>
    <s v="94.55"/>
    <d v="2018-12-31T00:00:00"/>
    <n v="0"/>
    <m/>
    <n v="0"/>
    <s v="Paralisada"/>
    <s v="94.55"/>
    <d v="2018-12-31T00:00:00"/>
    <x v="0"/>
    <m/>
    <s v="TP 1462012"/>
    <s v="SIMEC: Obra indicada como paralisada, porém consta como 31/12/18 a data prevista de conclusão. Apenas há dados de contratação anterior. Última medição de dez/2013, e medições não indicam % executado."/>
    <s v="Sim"/>
    <s v="Sim"/>
    <m/>
    <n v="0"/>
    <n v="14464.23"/>
    <n v="1"/>
    <n v="1"/>
    <n v="14464.23"/>
    <n v="359463"/>
    <n v="359463"/>
    <x v="35"/>
    <x v="3"/>
    <n v="2012"/>
    <s v="-"/>
    <m/>
    <n v="180"/>
    <s v="Sim"/>
    <s v="(09007458000147) WA COMERCIO DE MATERIAIS DE CONSTRUCAO LTDA ME"/>
    <d v="2012-10-23T00:00:00"/>
    <d v="2014-05-31T00:00:00"/>
    <d v="2014-11-27T00:00:00"/>
    <n v="585"/>
    <n v="765"/>
    <n v="542811.52"/>
    <n v="667445.68000000005"/>
    <m/>
    <m/>
    <m/>
    <m/>
    <m/>
    <m/>
    <m/>
    <m/>
    <m/>
    <m/>
    <m/>
    <m/>
    <m/>
    <m/>
    <m/>
    <m/>
    <m/>
    <m/>
    <m/>
    <m/>
    <m/>
    <m/>
    <m/>
    <m/>
  </r>
  <r>
    <s v="Palhoça"/>
    <s v="SC"/>
    <s v="Sim"/>
    <n v="25132"/>
    <s v="Creche Jardim Coqueiros"/>
    <m/>
    <s v="2012"/>
    <s v="Em andamento"/>
    <n v="47.39"/>
    <d v="2016-12-31T00:00:00"/>
    <s v="Paralisada"/>
    <m/>
    <m/>
    <n v="0"/>
    <n v="1"/>
    <s v="Concluída"/>
    <m/>
    <m/>
    <n v="0"/>
    <m/>
    <s v="Concluída"/>
    <s v="100.00"/>
    <d v="2018-04-13T00:00:00"/>
    <n v="0"/>
    <m/>
    <n v="0"/>
    <s v="Concluída"/>
    <s v="100.00"/>
    <d v="2018-04-13T00:00:00"/>
    <x v="3"/>
    <m/>
    <s v="Concorrência 1502013"/>
    <s v="Acordo de cooperação com construtora MRV para conclusão das obras, fechado em 2017. SIMEC: obra consta como concluída, porém não há nenhuma menção ao acordo com a MRV, apenas dados da contratação antiga."/>
    <s v="Sim"/>
    <s v="Não"/>
    <m/>
    <n v="313371.39"/>
    <n v="3337.18"/>
    <n v="1"/>
    <n v="4"/>
    <n v="834.29499999999996"/>
    <n v="395004"/>
    <n v="395004"/>
    <x v="36"/>
    <x v="4"/>
    <n v="2014"/>
    <n v="2018"/>
    <n v="4"/>
    <n v="540"/>
    <s v="Sim"/>
    <s v="(14249022000102) VINICIUS GOEDERT - ME"/>
    <d v="2014-01-02T00:00:00"/>
    <d v="2014-08-15T00:00:00"/>
    <d v="2016-02-06T00:00:00"/>
    <n v="225"/>
    <n v="765"/>
    <n v="608411.02"/>
    <n v="608411.02"/>
    <m/>
    <m/>
    <m/>
    <m/>
    <m/>
    <m/>
    <m/>
    <m/>
    <m/>
    <m/>
    <m/>
    <m/>
    <m/>
    <m/>
    <m/>
    <m/>
    <m/>
    <m/>
    <m/>
    <m/>
    <m/>
    <m/>
    <m/>
    <m/>
  </r>
  <r>
    <s v="Palhoça"/>
    <s v="SC"/>
    <s v="Sim"/>
    <n v="25133"/>
    <s v="Creche Alaor Silveira"/>
    <m/>
    <s v="2012"/>
    <s v="Em andamento"/>
    <n v="48.14"/>
    <d v="2016-12-31T00:00:00"/>
    <s v="Paralisada"/>
    <m/>
    <m/>
    <n v="0"/>
    <n v="1"/>
    <s v="Concluída"/>
    <m/>
    <m/>
    <n v="0"/>
    <m/>
    <s v="Concluída"/>
    <s v="100.00"/>
    <d v="2018-04-13T00:00:00"/>
    <n v="0"/>
    <m/>
    <n v="0"/>
    <s v="Concluída"/>
    <s v="100.00"/>
    <d v="2018-04-13T00:00:00"/>
    <x v="3"/>
    <m/>
    <s v="Concorrência 1502013"/>
    <s v="Acordo de cooperação com construtora MRV para conclusão das obras, fechado em 2017. SIMEC: obra consta como concluída, porém não há nenhuma menção ao acordo com a MRV, apenas dados da contratação antiga."/>
    <s v="Sim"/>
    <s v="Não"/>
    <m/>
    <n v="438719.94"/>
    <n v="3337.18"/>
    <n v="0"/>
    <n v="4"/>
    <n v="834.29499999999996"/>
    <n v="544229"/>
    <n v="544229"/>
    <x v="36"/>
    <x v="4"/>
    <n v="2014"/>
    <n v="2018"/>
    <n v="4"/>
    <n v="540"/>
    <s v="Sim"/>
    <s v="(14249022000102) VINICIUS GOEDERT - ME"/>
    <d v="2014-01-02T00:00:00"/>
    <d v="2014-08-15T00:00:00"/>
    <d v="2016-02-06T00:00:00"/>
    <n v="225"/>
    <n v="765"/>
    <n v="608411.02"/>
    <n v="608411.02"/>
    <m/>
    <m/>
    <m/>
    <m/>
    <m/>
    <m/>
    <m/>
    <m/>
    <m/>
    <m/>
    <m/>
    <m/>
    <m/>
    <m/>
    <m/>
    <m/>
    <m/>
    <m/>
    <m/>
    <m/>
    <m/>
    <m/>
    <m/>
    <m/>
  </r>
  <r>
    <s v="Palhoça"/>
    <s v="SC"/>
    <s v="Sim"/>
    <n v="25134"/>
    <s v="Creche Loteamento Mirian II"/>
    <m/>
    <s v="2012"/>
    <s v="Em andamento"/>
    <n v="66.959999999999994"/>
    <d v="2016-12-31T00:00:00"/>
    <s v="Paralisada"/>
    <m/>
    <m/>
    <n v="0"/>
    <n v="1"/>
    <s v="Concluída"/>
    <m/>
    <m/>
    <n v="0"/>
    <m/>
    <s v="Concluída"/>
    <s v="100.00"/>
    <d v="2018-04-13T00:00:00"/>
    <n v="0"/>
    <m/>
    <n v="0"/>
    <s v="Concluída"/>
    <s v="100.00"/>
    <d v="2018-04-13T00:00:00"/>
    <x v="3"/>
    <m/>
    <s v="Concorrência 1502013"/>
    <s v="Acordo de cooperação com construtora MRV para conclusão das obras, fechado em 2017. SIMEC: obra consta como concluída, porém não há nenhuma menção ao acordo com a MRV, apenas dados da contratação antiga."/>
    <s v="Sim"/>
    <s v="Não"/>
    <m/>
    <n v="313371.39"/>
    <n v="3337.18"/>
    <n v="0"/>
    <n v="4"/>
    <n v="834.29499999999996"/>
    <n v="395004"/>
    <n v="395004"/>
    <x v="36"/>
    <x v="4"/>
    <n v="2014"/>
    <n v="2018"/>
    <n v="4"/>
    <n v="540"/>
    <s v="Sim"/>
    <s v="(14249022000102) VINICIUS GOEDERT - ME"/>
    <d v="2014-01-02T00:00:00"/>
    <d v="2014-08-15T00:00:00"/>
    <d v="2016-02-06T00:00:00"/>
    <n v="225"/>
    <n v="765"/>
    <n v="608411.02"/>
    <n v="608411.02"/>
    <m/>
    <m/>
    <m/>
    <m/>
    <m/>
    <m/>
    <m/>
    <m/>
    <m/>
    <m/>
    <m/>
    <m/>
    <m/>
    <m/>
    <m/>
    <m/>
    <m/>
    <m/>
    <m/>
    <m/>
    <m/>
    <m/>
    <m/>
    <m/>
  </r>
  <r>
    <s v="Palhoça"/>
    <s v="SC"/>
    <s v="Sim"/>
    <n v="25135"/>
    <s v="Creche Caminho Novo"/>
    <m/>
    <s v="2012"/>
    <s v="Não iniciada"/>
    <n v="0"/>
    <s v="-"/>
    <s v="Não iniciada"/>
    <m/>
    <m/>
    <n v="1"/>
    <n v="0"/>
    <s v="Não iniciada"/>
    <m/>
    <m/>
    <n v="1"/>
    <n v="6"/>
    <s v="Não iniciada"/>
    <s v="0.00"/>
    <s v="-"/>
    <n v="0"/>
    <m/>
    <n v="0"/>
    <s v="Cancelada"/>
    <s v="0.00"/>
    <n v="0"/>
    <x v="1"/>
    <m/>
    <m/>
    <s v="SIMEC: Obra não iniciada, porém não há mais recursos na conta do convênio."/>
    <s v="Não"/>
    <s v="Não"/>
    <m/>
    <n v="286645.45"/>
    <n v="3337.18"/>
    <n v="0"/>
    <n v="4"/>
    <n v="834.29499999999996"/>
    <n v="391048"/>
    <n v="391048"/>
    <x v="36"/>
    <x v="4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lhoça"/>
    <s v="SC"/>
    <s v="Sim"/>
    <n v="1006536"/>
    <s v="Área Institucional Loteamento Igaraty - Palhoça - SC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Obra não iniciada, porém constam pagamentos à empresa Vinícius Goedert ME de maio a novembro de 2016 na conta do convênio. Não foram encontrados registros de contratos com a empresa referentes a essa obra no site do TCE-SC."/>
    <s v="Sim"/>
    <s v="Não"/>
    <m/>
    <n v="201702.1"/>
    <n v="7818.32"/>
    <n v="1"/>
    <n v="1"/>
    <n v="7818.32"/>
    <n v="247882"/>
    <n v="247882"/>
    <x v="37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19337"/>
    <s v="JARDIM IGUAÇU"/>
    <m/>
    <s v="2011"/>
    <s v="Paralisada"/>
    <n v="80.94"/>
    <s v="-"/>
    <s v="Em andamento"/>
    <n v="68.430000000000007"/>
    <d v="2017-12-31T00:00:00"/>
    <n v="0"/>
    <n v="1"/>
    <s v="Concluída"/>
    <m/>
    <m/>
    <n v="0"/>
    <m/>
    <s v="Concluída"/>
    <s v="80.94"/>
    <s v="-"/>
    <n v="0"/>
    <m/>
    <n v="0"/>
    <s v="Concluída"/>
    <s v="80.94"/>
    <n v="0"/>
    <x v="3"/>
    <m/>
    <s v="CP 03/2012, CP 04/2015, Disp 11/2017"/>
    <s v="SIMEC: Obra indicada como concluída, porém com % executado desatualizado, sem dados de contratações ou medições. Conta corrente do convênio com última movimentação em 2016, porém houve nova contratação e execução do remanescente da obra em 2017 e 2018."/>
    <s v="Sim"/>
    <s v="Sim"/>
    <m/>
    <n v="961251.39"/>
    <n v="44494.05"/>
    <n v="1"/>
    <n v="1"/>
    <n v="44494.05"/>
    <n v="1278351"/>
    <n v="1278351"/>
    <x v="38"/>
    <x v="3"/>
    <n v="2012"/>
    <n v="2018"/>
    <n v="6"/>
    <n v="758"/>
    <s v="Sim"/>
    <s v="(03711190000143) COELHO &amp; RIBEIRO CONSTRUCOES ELETRICAS E CIVIS LTDA EPP"/>
    <d v="2012-06-06T00:00:00"/>
    <d v="2013-04-08T00:00:00"/>
    <d v="2014-11-02T00:00:00"/>
    <n v="306"/>
    <n v="879"/>
    <n v="1266234.08"/>
    <n v="1410948.48"/>
    <s v="(18.962.959/0001-73) Construtora Enoque Teixeira EIRELI"/>
    <d v="2015-12-14T00:00:00"/>
    <d v="2016-12-13T00:00:00"/>
    <d v="2016-12-13T00:00:00"/>
    <n v="365"/>
    <n v="365"/>
    <n v="657454.35"/>
    <n v="657454.35"/>
    <s v="Luiz Henrique da Silva Chaves Eireli - ME"/>
    <d v="2017-06-20T00:00:00"/>
    <d v="2017-12-20T00:00:00"/>
    <d v="2018-06-19T00:00:00"/>
    <n v="180"/>
    <n v="365"/>
    <n v="546500"/>
    <n v="680742.26"/>
    <m/>
    <m/>
    <m/>
    <m/>
    <m/>
    <m/>
    <m/>
    <m/>
  </r>
  <r>
    <s v="Paranaguá"/>
    <s v="PR"/>
    <s v="Sim"/>
    <n v="25356"/>
    <s v="LOCALIDADE CAIC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m/>
    <s v="Informação fornecida pela prefeitura em nov/2017, terreno indicado e aguardando aprovação do FNDE."/>
    <s v="Não"/>
    <s v="Não"/>
    <s v="Sim"/>
    <n v="289956.44"/>
    <n v="2207440.54"/>
    <n v="1"/>
    <n v="5"/>
    <n v="441488.10800000001"/>
    <n v="395565"/>
    <n v="395565"/>
    <x v="39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25357"/>
    <s v="Labra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m/>
    <s v="Informação fornecida pela prefeitura em out/2017, aguardando liberação do terreno."/>
    <s v="Não"/>
    <s v="Não"/>
    <s v="Sim"/>
    <n v="289978.53999999998"/>
    <n v="2207440.54"/>
    <n v="0"/>
    <n v="5"/>
    <n v="441488.10800000001"/>
    <n v="395595"/>
    <n v="395595"/>
    <x v="39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25358"/>
    <s v="Jardim Esperança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m/>
    <s v="Informação fornecida pela prefeitura em nov/2017, terreno indicado e aguardando aprovação do FNDE."/>
    <s v="Não"/>
    <s v="Não"/>
    <s v="Sim"/>
    <n v="289740.40000000002"/>
    <n v="2207440.54"/>
    <n v="0"/>
    <n v="5"/>
    <n v="441488.10800000001"/>
    <n v="395270"/>
    <n v="395270"/>
    <x v="39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25359"/>
    <s v="Alexandra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m/>
    <s v="Informação fornecida pela prefeitura em nov/2017, terreno indicado e aguardando aprovação do FNDE."/>
    <s v="Não"/>
    <s v="Não"/>
    <s v="Sim"/>
    <n v="289984.52"/>
    <n v="2207440.54"/>
    <n v="0"/>
    <n v="5"/>
    <n v="441488.10800000001"/>
    <n v="395603"/>
    <n v="395603"/>
    <x v="39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25360"/>
    <s v="Porto dos Padres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m/>
    <s v="Informação fornecida pela prefeitura em out/2017, aguardando liberação do terreno."/>
    <s v="Não"/>
    <s v="Não"/>
    <s v="Sim"/>
    <n v="289980.53000000003"/>
    <n v="2207440.54"/>
    <n v="0"/>
    <n v="5"/>
    <n v="441488.10800000001"/>
    <n v="395598"/>
    <n v="395598"/>
    <x v="39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1005814"/>
    <s v="DIVINÉIA - Paranaguá - PR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n v="1"/>
    <n v="1"/>
    <s v="Cancelada"/>
    <s v="0.00"/>
    <n v="0"/>
    <x v="1"/>
    <m/>
    <m/>
    <s v="Informação fornecida pela prefeitura em out/2017, aguardando liberação do terreno."/>
    <s v="Não"/>
    <s v="Não"/>
    <s v="Sim"/>
    <n v="202443.14"/>
    <n v="270774.44"/>
    <n v="1"/>
    <n v="1"/>
    <n v="270774.44"/>
    <n v="246178"/>
    <n v="246178"/>
    <x v="40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ranaguá"/>
    <s v="PR"/>
    <s v="Sim"/>
    <n v="1009214"/>
    <s v="Beira Rio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m/>
    <s v="Informação fornecida pela prefeitura em out/2017, aguardando liberação do terreno."/>
    <s v="Não"/>
    <s v="Não"/>
    <s v="Sim"/>
    <n v="202155.89"/>
    <n v="270390.23"/>
    <n v="1"/>
    <n v="1"/>
    <n v="270390.23"/>
    <n v="245829"/>
    <n v="245829"/>
    <x v="41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18129"/>
    <s v="EMEI SANGA FUNDA"/>
    <m/>
    <s v="2013"/>
    <s v="Não iniciada"/>
    <n v="0"/>
    <s v="-"/>
    <s v="Em andamento"/>
    <n v="10"/>
    <d v="2017-12-01T00:00:00"/>
    <n v="0"/>
    <n v="1"/>
    <s v="Paralisada"/>
    <n v="0.1094"/>
    <m/>
    <n v="0"/>
    <m/>
    <s v="Em andamento"/>
    <s v="4.81"/>
    <d v="2019-04-10T00:00:00"/>
    <n v="1"/>
    <m/>
    <n v="1"/>
    <s v="Em andamento"/>
    <s v="4.81"/>
    <d v="2019-06-10T00:00:00"/>
    <x v="0"/>
    <s v="TC reformulado em 2016"/>
    <s v="RDC 94/2012 GF, CP 042016, CP 022018"/>
    <s v="Contrato anterior 216/2013. 2° contrato 153/2016. Não é possível saber se foi iniciada pela MVC ou pela GR. SIMEC: Consta nova data prevista de conclusão, sem dados da nova licitação ou do novo contrato; não consta nenhuma medição da contratação anterior."/>
    <s v="Sim"/>
    <s v="Sim"/>
    <m/>
    <n v="171901.53"/>
    <n v="1040878.05"/>
    <n v="1"/>
    <n v="7"/>
    <n v="148696.86428571428"/>
    <n v="240260"/>
    <n v="240260"/>
    <x v="42"/>
    <x v="1"/>
    <s v="?"/>
    <s v="-"/>
    <m/>
    <n v="-365"/>
    <s v="Sim"/>
    <s v="MVC COMPONENTES PLASTICOS LTDA"/>
    <d v="2013-11-05T00:00:00"/>
    <d v="2014-11-05T00:00:00"/>
    <m/>
    <n v="365"/>
    <m/>
    <n v="811383.29"/>
    <m/>
    <s v="(16951247000123) GR INDUSTRIA E COMERCIO LTDA - ME"/>
    <d v="2016-06-16T00:00:00"/>
    <d v="2018-01-16T00:00:00"/>
    <d v="2018-01-16T00:00:00"/>
    <n v="579"/>
    <n v="579"/>
    <n v="7600215.0899999999"/>
    <n v="7600215.0899999999"/>
    <m/>
    <m/>
    <m/>
    <m/>
    <m/>
    <m/>
    <m/>
    <m/>
    <m/>
    <m/>
    <m/>
    <m/>
    <m/>
    <m/>
    <m/>
    <m/>
  </r>
  <r>
    <s v="Pelotas"/>
    <s v="RS"/>
    <s v="Sim"/>
    <n v="19600"/>
    <s v="LOTEAMENTO EUCALIPTO"/>
    <m/>
    <s v="2013"/>
    <s v="Não iniciada"/>
    <n v="0"/>
    <s v="-"/>
    <s v="Em andamento"/>
    <n v="10"/>
    <d v="2017-12-01T00:00:00"/>
    <n v="0"/>
    <n v="1"/>
    <s v="Paralisada"/>
    <n v="0.11"/>
    <m/>
    <n v="0"/>
    <m/>
    <s v="Em andamento"/>
    <s v="4.81"/>
    <d v="2019-04-10T00:00:00"/>
    <n v="1"/>
    <m/>
    <n v="1"/>
    <s v="Em andamento"/>
    <s v="4.81"/>
    <d v="2019-06-10T00:00:00"/>
    <x v="0"/>
    <s v="TC reformulado em 2016"/>
    <s v="RDC 94/2012 GF, CP 042016"/>
    <s v="Contrato anterior 211/2013. 2° contrato 153/2016. Não é possível saber se foi iniciada pela MVC ou pela GR. SIMEC: Consta nova data prevista de conclusão, sem dados da nova licitação ou do novo contrato; não consta nenhuma medição da contratação anterior."/>
    <s v="Sim"/>
    <s v="Sim"/>
    <m/>
    <n v="183869.24"/>
    <n v="1040878.05"/>
    <n v="0"/>
    <n v="7"/>
    <n v="148696.86428571428"/>
    <n v="252347"/>
    <n v="252347"/>
    <x v="42"/>
    <x v="1"/>
    <s v="?"/>
    <s v="-"/>
    <m/>
    <n v="-365"/>
    <s v="Sim"/>
    <s v="MVC COMPONENTES PLASTICOS LTDA"/>
    <d v="2013-11-05T00:00:00"/>
    <d v="2014-11-05T00:00:00"/>
    <m/>
    <n v="365"/>
    <m/>
    <n v="811383.29"/>
    <m/>
    <s v="(16951247000123) GR INDUSTRIA E COMERCIO LTDA - ME"/>
    <d v="2016-06-16T00:00:00"/>
    <d v="2018-01-16T00:00:00"/>
    <d v="2018-01-16T00:00:00"/>
    <n v="579"/>
    <n v="579"/>
    <n v="7600215.0899999999"/>
    <n v="7600215.0899999999"/>
    <m/>
    <m/>
    <m/>
    <m/>
    <m/>
    <m/>
    <m/>
    <m/>
    <m/>
    <m/>
    <m/>
    <m/>
    <m/>
    <m/>
    <m/>
    <m/>
  </r>
  <r>
    <s v="Pelotas"/>
    <s v="RS"/>
    <s v="Sim"/>
    <n v="20024"/>
    <s v="EMEI MONTE BONITO"/>
    <m/>
    <s v="2013"/>
    <s v="Não iniciada"/>
    <n v="0"/>
    <s v="-"/>
    <s v="Não iniciada"/>
    <m/>
    <m/>
    <n v="1"/>
    <n v="0"/>
    <s v="Paralisada"/>
    <n v="2.0299999999999998"/>
    <m/>
    <n v="0"/>
    <m/>
    <s v="Não iniciada"/>
    <s v="0.00"/>
    <s v="-"/>
    <n v="1"/>
    <m/>
    <n v="1"/>
    <s v="Cancelada"/>
    <s v="0.00"/>
    <n v="0"/>
    <x v="0"/>
    <m/>
    <s v="RDC 94/2012 GF"/>
    <s v="Contrato anterior 217/2013. Pedido de reformulação. SIMEC: desatualizado, consta não iniciada e 0% executado, porém há uma medição de 2%."/>
    <s v="Sim"/>
    <s v="Sim"/>
    <m/>
    <n v="122786.81"/>
    <n v="1040878.05"/>
    <n v="0"/>
    <n v="7"/>
    <n v="148696.86428571428"/>
    <n v="171614"/>
    <n v="171614"/>
    <x v="42"/>
    <x v="1"/>
    <n v="2014"/>
    <s v="-"/>
    <m/>
    <n v="-365"/>
    <s v="Sim"/>
    <s v="MVC COMPONENTES PLASTICOS LTDA"/>
    <d v="2013-11-05T00:00:00"/>
    <d v="2014-11-05T00:00:00"/>
    <m/>
    <n v="365"/>
    <m/>
    <n v="811383.29"/>
    <m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20029"/>
    <s v="EMEI SÍTIO FLORESTA"/>
    <m/>
    <s v="2013"/>
    <s v="Não iniciada"/>
    <n v="0"/>
    <s v="-"/>
    <s v="Em andamento"/>
    <n v="15"/>
    <d v="2017-12-01T00:00:00"/>
    <n v="0"/>
    <n v="1"/>
    <s v="Paralisada"/>
    <n v="0.1283"/>
    <m/>
    <n v="0"/>
    <m/>
    <s v="Em andamento"/>
    <s v="12.82"/>
    <d v="2019-04-10T00:00:00"/>
    <n v="1"/>
    <m/>
    <n v="1"/>
    <s v="Em andamento"/>
    <s v="12.82"/>
    <d v="2019-06-10T00:00:00"/>
    <x v="0"/>
    <s v="TC reformulado em 2016"/>
    <s v="RDC 94/2012 GF, CP 042016, CP 022018"/>
    <s v="Contrato anterior 214/2013. 2° contrato 153/2016. Não é possível saber se foi iniciada pela MVC ou pela GR. SIMEC: Consta nova data prevista de conclusão, sem dados da nova licitação ou do novo contrato; constam apenas duas medições da contratação anterior, com % executado inconsistente."/>
    <s v="Sim"/>
    <s v="Sim"/>
    <m/>
    <n v="183869.24"/>
    <n v="1040878.05"/>
    <n v="0"/>
    <n v="7"/>
    <n v="148696.86428571428"/>
    <n v="252347"/>
    <n v="252347"/>
    <x v="42"/>
    <x v="1"/>
    <s v="?"/>
    <s v="-"/>
    <m/>
    <n v="-365"/>
    <s v="Sim"/>
    <s v="MVC COMPONENTES PLASTICOS LTDA"/>
    <d v="2013-11-05T00:00:00"/>
    <d v="2014-11-05T00:00:00"/>
    <m/>
    <n v="365"/>
    <m/>
    <n v="811383.29"/>
    <m/>
    <s v="(16951247000123) GR INDUSTRIA E COMERCIO LTDA - ME"/>
    <d v="2016-06-16T00:00:00"/>
    <d v="2018-01-16T00:00:00"/>
    <d v="2018-01-16T00:00:00"/>
    <n v="579"/>
    <n v="579"/>
    <n v="7600215.0899999999"/>
    <n v="7600215.0899999999"/>
    <m/>
    <m/>
    <m/>
    <m/>
    <m/>
    <m/>
    <m/>
    <m/>
    <m/>
    <m/>
    <m/>
    <m/>
    <m/>
    <m/>
    <m/>
    <m/>
  </r>
  <r>
    <s v="Pelotas"/>
    <s v="RS"/>
    <s v="Sim"/>
    <n v="20033"/>
    <s v="LOTEAMENTO DUNAS"/>
    <m/>
    <s v="2013"/>
    <s v="Não iniciada"/>
    <n v="0"/>
    <s v="-"/>
    <s v="Em andamento"/>
    <n v="7"/>
    <d v="2017-12-01T00:00:00"/>
    <n v="0"/>
    <n v="1"/>
    <s v="Paralisada"/>
    <n v="4.9599999999999998E-2"/>
    <m/>
    <n v="0"/>
    <m/>
    <s v="Em andamento"/>
    <s v="4.95"/>
    <d v="2019-04-10T00:00:00"/>
    <n v="1"/>
    <m/>
    <n v="1"/>
    <s v="Em andamento"/>
    <s v="4.95"/>
    <d v="2019-06-10T00:00:00"/>
    <x v="0"/>
    <s v="TC reformulado em 2016"/>
    <s v="RDC 94/2012 GF, CP 042016"/>
    <s v="Contrato anterior 212/2013. 2° contrato 153/2016. Não é possível saber se foi iniciada pela MVC ou pela GR. SIMEC: Consta nova data prevista de conclusão, sem dados da nova licitação ou do novo contrato; não consta nenhuma medição da contratação anterior."/>
    <s v="Sim"/>
    <s v="Sim"/>
    <m/>
    <n v="183869.24"/>
    <n v="1040878.05"/>
    <n v="0"/>
    <n v="7"/>
    <n v="148696.86428571428"/>
    <n v="252347"/>
    <n v="252347"/>
    <x v="42"/>
    <x v="1"/>
    <s v="?"/>
    <s v="-"/>
    <m/>
    <n v="-365"/>
    <s v="Sim"/>
    <s v="MVC COMPONENTES PLASTICOS LTDA"/>
    <d v="2013-11-05T00:00:00"/>
    <d v="2014-11-05T00:00:00"/>
    <m/>
    <n v="365"/>
    <m/>
    <n v="811383.29"/>
    <m/>
    <s v="(16951247000123) GR INDUSTRIA E COMERCIO LTDA - ME"/>
    <d v="2016-06-16T00:00:00"/>
    <d v="2018-01-16T00:00:00"/>
    <d v="2018-01-16T00:00:00"/>
    <n v="579"/>
    <n v="579"/>
    <n v="7600215.0899999999"/>
    <n v="7600215.0899999999"/>
    <m/>
    <m/>
    <m/>
    <m/>
    <m/>
    <m/>
    <m/>
    <m/>
    <m/>
    <m/>
    <m/>
    <m/>
    <m/>
    <m/>
    <m/>
    <m/>
  </r>
  <r>
    <s v="Pelotas"/>
    <s v="RS"/>
    <s v="Sim"/>
    <n v="20061"/>
    <s v="EMEI Z3"/>
    <m/>
    <s v="2013"/>
    <s v="Não iniciada"/>
    <n v="0"/>
    <s v="-"/>
    <s v="Não iniciada"/>
    <m/>
    <m/>
    <n v="1"/>
    <n v="0"/>
    <s v="Paralisada"/>
    <n v="2.0299999999999998"/>
    <m/>
    <n v="0"/>
    <m/>
    <s v="Não iniciada"/>
    <s v="0.00"/>
    <s v="-"/>
    <n v="1"/>
    <m/>
    <n v="1"/>
    <s v="Cancelada"/>
    <s v="0.00"/>
    <n v="0"/>
    <x v="0"/>
    <m/>
    <s v="RDC 94/2012 GF"/>
    <s v="Contrato anterior 213/2013. Pedido de reformulação. SIMEC: desatualizado, consta não iniciada e 0% executado, porém há uma medição de 2%."/>
    <s v="Sim"/>
    <s v="Sim"/>
    <m/>
    <n v="122786.81"/>
    <n v="1040878.05"/>
    <n v="0"/>
    <n v="7"/>
    <n v="148696.86428571428"/>
    <n v="171614"/>
    <n v="171614"/>
    <x v="42"/>
    <x v="1"/>
    <n v="2014"/>
    <s v="-"/>
    <m/>
    <n v="-365"/>
    <s v="Sim"/>
    <s v="MVC COMPONENTES PLASTICOS LTDA"/>
    <d v="2013-11-05T00:00:00"/>
    <d v="2014-11-05T00:00:00"/>
    <m/>
    <n v="365"/>
    <m/>
    <n v="811383.29"/>
    <m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20179"/>
    <s v="VILA PRINCESA"/>
    <m/>
    <s v="2013"/>
    <s v="Não iniciada"/>
    <n v="0"/>
    <s v="-"/>
    <s v="Em andamento"/>
    <n v="15"/>
    <d v="2017-12-01T00:00:00"/>
    <n v="0"/>
    <n v="1"/>
    <s v="Paralisada"/>
    <n v="0.1158"/>
    <m/>
    <n v="0"/>
    <m/>
    <s v="Em andamento"/>
    <s v="11.58"/>
    <d v="2019-04-10T00:00:00"/>
    <n v="1"/>
    <m/>
    <n v="1"/>
    <s v="Em andamento"/>
    <s v="11.58"/>
    <d v="2019-06-10T00:00:00"/>
    <x v="0"/>
    <s v="TC reformulado em 2016"/>
    <s v="RDC 94/2012 GF, CP 042016, CP 022018"/>
    <s v="Contrato anterior 210/2013. 2° contrato 153/2016. Não é possível saber se foi iniciada pela MVC ou pela GR. SIMEC: Consta nova data prevista de conclusão, sem dados da nova licitação ou do novo contrato; constam apenas duas medições da contratação anterior, com % executado inconsistente."/>
    <s v="Sim"/>
    <s v="Sim"/>
    <m/>
    <n v="183869.26"/>
    <n v="1040878.05"/>
    <n v="0"/>
    <n v="7"/>
    <n v="148696.86428571428"/>
    <n v="252347"/>
    <n v="252347"/>
    <x v="42"/>
    <x v="1"/>
    <s v="?"/>
    <s v="-"/>
    <m/>
    <n v="-365"/>
    <s v="Sim"/>
    <s v="MVC COMPONENTES PLASTICOS LTDA"/>
    <d v="2013-11-05T00:00:00"/>
    <d v="2014-11-05T00:00:00"/>
    <m/>
    <n v="365"/>
    <m/>
    <n v="811383.29"/>
    <m/>
    <s v="(16951247000123) GR INDUSTRIA E COMERCIO LTDA - ME"/>
    <d v="2016-06-16T00:00:00"/>
    <d v="2018-01-16T00:00:00"/>
    <d v="2018-01-16T00:00:00"/>
    <n v="579"/>
    <n v="579"/>
    <n v="7600215.0899999999"/>
    <n v="7600215.0899999999"/>
    <m/>
    <m/>
    <m/>
    <m/>
    <m/>
    <m/>
    <m/>
    <m/>
    <m/>
    <m/>
    <m/>
    <m/>
    <m/>
    <m/>
    <m/>
    <m/>
  </r>
  <r>
    <s v="Pelotas"/>
    <s v="RS"/>
    <s v="Sim"/>
    <n v="24619"/>
    <s v="EMEI Getulio Vargas"/>
    <m/>
    <s v="2013"/>
    <s v="Paralisada"/>
    <n v="7.3"/>
    <d v="2017-12-12T00:00:00"/>
    <s v="Paralisada"/>
    <m/>
    <m/>
    <n v="0"/>
    <n v="0"/>
    <s v="Paralisada"/>
    <n v="7.49"/>
    <m/>
    <n v="0"/>
    <m/>
    <s v="Paralisada"/>
    <s v="7.30"/>
    <d v="2017-12-12T00:00:00"/>
    <n v="0"/>
    <m/>
    <n v="1"/>
    <s v="Paralisada"/>
    <s v="7.30"/>
    <d v="2017-12-12T00:00:00"/>
    <x v="0"/>
    <m/>
    <s v="RDC 94/2012 GF"/>
    <s v="Contrato anterior 222/2013. Pedido de reformulação. SIMEC: Não constam dados da licitação, apenas do contrato com a MVC e das medições, que são consistentes com o % total medido; situação como &quot;em reformulação&quot;, porém obra está paralisada."/>
    <s v="Sim"/>
    <s v="Sim"/>
    <m/>
    <n v="676367.26"/>
    <n v="1153358.79"/>
    <n v="1"/>
    <n v="5"/>
    <n v="230671.758"/>
    <n v="850318"/>
    <n v="850318"/>
    <x v="43"/>
    <x v="1"/>
    <n v="2014"/>
    <s v="-"/>
    <m/>
    <n v="87"/>
    <s v="Sim"/>
    <s v="(81.424.962/0001-70) MVC COMPONENTES PLASTICOS LTDA"/>
    <d v="2013-11-08T00:00:00"/>
    <d v="2014-11-08T00:00:00"/>
    <d v="2015-02-03T00:00:00"/>
    <n v="365"/>
    <n v="452"/>
    <n v="1522329.37"/>
    <n v="1522329.37"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24620"/>
    <s v="EMEI Governaço"/>
    <m/>
    <s v="2013"/>
    <s v="Não iniciada"/>
    <n v="0"/>
    <s v="-"/>
    <s v="Não iniciada"/>
    <m/>
    <m/>
    <n v="1"/>
    <n v="0"/>
    <s v="Não iniciada"/>
    <n v="0"/>
    <m/>
    <n v="1"/>
    <n v="5"/>
    <s v="Não iniciada"/>
    <s v="0.00"/>
    <s v="-"/>
    <n v="0"/>
    <n v="1"/>
    <n v="1"/>
    <s v="Cancelada"/>
    <s v="0.00"/>
    <n v="0"/>
    <x v="1"/>
    <m/>
    <s v="RDC 94/2012 GF"/>
    <s v="Contrato anterior 221/2013. Pedido de alterações no projeto."/>
    <s v="Não"/>
    <s v="Não"/>
    <m/>
    <n v="415377.33"/>
    <n v="1153358.79"/>
    <n v="0"/>
    <n v="5"/>
    <n v="230671.758"/>
    <n v="539519"/>
    <n v="539519"/>
    <x v="43"/>
    <x v="1"/>
    <s v="-"/>
    <s v="-"/>
    <m/>
    <n v="-365"/>
    <s v="Sim"/>
    <s v="MVC COMPONENTES PLASTICOS LTDA"/>
    <d v="2013-11-08T00:00:00"/>
    <d v="2014-11-08T00:00:00"/>
    <m/>
    <n v="365"/>
    <m/>
    <n v="1526930.41"/>
    <m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24621"/>
    <s v="EMEI Navegantes"/>
    <m/>
    <s v="2013"/>
    <s v="Não iniciada"/>
    <n v="0"/>
    <s v="-"/>
    <s v="Em andamento"/>
    <n v="30"/>
    <d v="2017-12-01T00:00:00"/>
    <n v="0"/>
    <n v="1"/>
    <s v="Em andamento"/>
    <n v="0.79369999999999996"/>
    <d v="2018-05-15T00:00:00"/>
    <n v="0"/>
    <m/>
    <s v="Não iniciada"/>
    <s v="0.00"/>
    <s v="-"/>
    <n v="1"/>
    <m/>
    <n v="1"/>
    <s v="Cancelada"/>
    <s v="0.00"/>
    <n v="0"/>
    <x v="0"/>
    <m/>
    <s v="RDC 94/2012 GF, CP 062016"/>
    <s v="Contrato anterior 215/2013. 2º contrato 252/2016. Não é possível saber se foi iniciada pela MVC ou pela Bandeira e Silva. SIMEC: Desatualizado, consta movimentação na conta, porém nem essa nem as outras obras têm situação em andamento."/>
    <s v="Sim"/>
    <s v="Sim"/>
    <m/>
    <n v="405341.22"/>
    <n v="1153358.79"/>
    <n v="0"/>
    <n v="5"/>
    <n v="230671.758"/>
    <n v="527329"/>
    <n v="527329"/>
    <x v="43"/>
    <x v="1"/>
    <s v="?"/>
    <s v="-"/>
    <m/>
    <n v="-365"/>
    <s v="Sim"/>
    <s v="MVC COMPONENTES PLASTICOS LTDA"/>
    <d v="2013-11-08T00:00:00"/>
    <d v="2014-11-08T00:00:00"/>
    <m/>
    <n v="365"/>
    <m/>
    <n v="1515462.9"/>
    <m/>
    <s v="(09.101.160/0001-00) Bandeira e Silva Engenharia Ltda. - EPP"/>
    <d v="2016-10-28T00:00:00"/>
    <d v="2017-10-28T00:00:00"/>
    <d v="2019-01-28T00:00:00"/>
    <n v="365"/>
    <n v="822"/>
    <n v="5122650.45"/>
    <n v="5250663.74"/>
    <m/>
    <m/>
    <m/>
    <m/>
    <m/>
    <m/>
    <m/>
    <m/>
    <m/>
    <m/>
    <m/>
    <m/>
    <m/>
    <m/>
    <m/>
    <m/>
  </r>
  <r>
    <s v="Pelotas"/>
    <s v="RS"/>
    <s v="Sim"/>
    <n v="24622"/>
    <s v="EMEI Farroupilha"/>
    <m/>
    <s v="2013"/>
    <s v="Não iniciada"/>
    <n v="0"/>
    <s v="-"/>
    <s v="Não iniciada"/>
    <m/>
    <m/>
    <n v="1"/>
    <n v="0"/>
    <s v="Paralisada"/>
    <n v="1.84"/>
    <m/>
    <n v="0"/>
    <m/>
    <s v="Não iniciada"/>
    <s v="0.00"/>
    <s v="-"/>
    <n v="1"/>
    <m/>
    <n v="1"/>
    <s v="Cancelada"/>
    <s v="0.00"/>
    <n v="0"/>
    <x v="0"/>
    <m/>
    <s v="RDC 94/2012 GF"/>
    <s v="Contrato anterior 223/2013. Pedido de reformulação. SIMEC desatualizado, consta medição da MVC, porém nenhum dado de licitação ou contratação."/>
    <s v="Sim"/>
    <s v="Sim"/>
    <s v="Sim"/>
    <n v="415490.76"/>
    <n v="1153358.79"/>
    <n v="0"/>
    <n v="5"/>
    <n v="230671.758"/>
    <n v="539635"/>
    <n v="539635"/>
    <x v="43"/>
    <x v="1"/>
    <n v="2014"/>
    <s v="-"/>
    <m/>
    <n v="-365"/>
    <s v="Sim"/>
    <s v="MVC COMPONENTES PLASTICOS LTDA"/>
    <d v="2013-11-08T00:00:00"/>
    <d v="2014-11-08T00:00:00"/>
    <m/>
    <n v="365"/>
    <m/>
    <n v="1526930.41"/>
    <m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24623"/>
    <s v="EMEI Loteamento Eldorado"/>
    <m/>
    <s v="2013"/>
    <s v="Paralisada"/>
    <n v="8.19"/>
    <d v="2017-12-12T00:00:00"/>
    <s v="Paralisada"/>
    <m/>
    <m/>
    <n v="0"/>
    <n v="0"/>
    <s v="Paralisada"/>
    <n v="6.95"/>
    <m/>
    <n v="0"/>
    <m/>
    <s v="Paralisada"/>
    <s v="8.19"/>
    <d v="2017-12-12T00:00:00"/>
    <n v="0"/>
    <m/>
    <n v="1"/>
    <s v="Paralisada"/>
    <s v="8.19"/>
    <d v="2017-12-12T00:00:00"/>
    <x v="0"/>
    <m/>
    <s v="RDC 94/2012 GF"/>
    <s v="Contrato anterior 220/2013. Pedido de reformulação. SIMEC desatualizado, obra paralisada. Consta medição da MVC (consistente com total executado), porém nenhum dado de licitação ou contratação, e data desatualizada de conclusão."/>
    <s v="Sim"/>
    <s v="Sim"/>
    <s v="Sim"/>
    <n v="685148.3"/>
    <n v="1153358.79"/>
    <n v="0"/>
    <n v="5"/>
    <n v="230671.758"/>
    <n v="860660"/>
    <n v="860660"/>
    <x v="43"/>
    <x v="1"/>
    <n v="2014"/>
    <s v="-"/>
    <m/>
    <n v="-365"/>
    <s v="Sim"/>
    <s v="MVC COMPONENTES PLASTICOS LTDA"/>
    <d v="2013-11-08T00:00:00"/>
    <d v="2014-11-08T00:00:00"/>
    <m/>
    <n v="365"/>
    <m/>
    <n v="1531110.41"/>
    <m/>
    <m/>
    <m/>
    <m/>
    <m/>
    <m/>
    <m/>
    <m/>
    <m/>
    <m/>
    <m/>
    <m/>
    <m/>
    <m/>
    <m/>
    <m/>
    <m/>
    <m/>
    <m/>
    <m/>
    <m/>
    <m/>
    <m/>
    <m/>
    <m/>
  </r>
  <r>
    <s v="Pelotas"/>
    <s v="RS"/>
    <s v="Sim"/>
    <n v="1009321"/>
    <s v="Vasco Pires - Pelotas - RS"/>
    <m/>
    <s v="2014"/>
    <s v="Não iniciada"/>
    <n v="0"/>
    <s v="-"/>
    <s v="Não iniciada"/>
    <n v="0"/>
    <m/>
    <n v="1"/>
    <n v="0"/>
    <s v="Em andamento"/>
    <n v="35.51"/>
    <d v="2018-11-28T00:00:00"/>
    <n v="0"/>
    <m/>
    <s v="Não iniciada"/>
    <s v="0.00"/>
    <s v="-"/>
    <n v="1"/>
    <m/>
    <n v="1"/>
    <s v="Cancelada"/>
    <s v="0.00"/>
    <n v="0"/>
    <x v="0"/>
    <m/>
    <s v="RDC 94/2012 GF, CP 062016"/>
    <s v="Contrato anterior 218 ou 219/2013. 2º contrato 252/2016. Não é possível saber se foi iniciada pela MVC ou pela Bandeira e Silva. SIMEC desatualizado, obra já em andamento, não consta licitação nem contratação."/>
    <s v="Não"/>
    <s v="Sim"/>
    <s v="Não"/>
    <n v="0"/>
    <n v="0"/>
    <n v="0"/>
    <n v="25"/>
    <n v="0"/>
    <s v="-"/>
    <s v="-"/>
    <x v="44"/>
    <x v="2"/>
    <s v="?"/>
    <s v="-"/>
    <m/>
    <n v="-365"/>
    <s v="Sim"/>
    <s v="MVC COMPONENTES PLASTICOS LTDA"/>
    <d v="2013-11-05T00:00:00"/>
    <d v="2014-11-05T00:00:00"/>
    <m/>
    <n v="365"/>
    <m/>
    <n v="811383.29"/>
    <m/>
    <s v="(09.101.160/0001-00) Bandeira e Silva Engenharia Ltda. - EPP"/>
    <d v="2016-10-28T00:00:00"/>
    <d v="2017-10-28T00:00:00"/>
    <d v="2019-01-28T00:00:00"/>
    <n v="365"/>
    <n v="822"/>
    <n v="5122650.45"/>
    <n v="5250663.74"/>
    <m/>
    <m/>
    <m/>
    <m/>
    <m/>
    <m/>
    <m/>
    <m/>
    <m/>
    <m/>
    <m/>
    <m/>
    <m/>
    <m/>
    <m/>
    <m/>
  </r>
  <r>
    <s v="Pelotas"/>
    <s v="RS"/>
    <s v="Sim"/>
    <n v="1009322"/>
    <s v="Laranjal - Pelotas - RS"/>
    <m/>
    <s v="2014"/>
    <s v="Não iniciada"/>
    <n v="0"/>
    <s v="-"/>
    <s v="Não iniciada"/>
    <n v="0"/>
    <m/>
    <n v="1"/>
    <n v="0"/>
    <s v="Em andamento"/>
    <n v="25.31"/>
    <d v="2018-11-28T00:00:00"/>
    <n v="0"/>
    <m/>
    <s v="Não iniciada"/>
    <s v="0.00"/>
    <s v="-"/>
    <n v="1"/>
    <m/>
    <n v="1"/>
    <s v="Cancelada"/>
    <s v="0.00"/>
    <n v="0"/>
    <x v="0"/>
    <m/>
    <s v="RDC 94/2012 GF, CP 062016"/>
    <s v="Contrato anterior 218 ou 219/2013. 2º contrato 252/2016. Não é possível saber se foi iniciada pela MVC ou pela Bandeira e Silva. SIMEC desatualizado, obra já em andamento, não consta licitação nem contratação."/>
    <s v="Não"/>
    <s v="Sim"/>
    <s v="Não"/>
    <n v="0"/>
    <n v="0"/>
    <n v="0"/>
    <n v="25"/>
    <n v="0"/>
    <s v="-"/>
    <s v="-"/>
    <x v="44"/>
    <x v="2"/>
    <s v="?"/>
    <s v="-"/>
    <m/>
    <n v="-365"/>
    <s v="Sim"/>
    <s v="MVC COMPONENTES PLASTICOS LTDA"/>
    <d v="2013-11-05T00:00:00"/>
    <d v="2014-11-05T00:00:00"/>
    <m/>
    <n v="365"/>
    <m/>
    <n v="811383.29"/>
    <m/>
    <s v="(09.101.160/0001-00) Bandeira e Silva Engenharia Ltda. - EPP"/>
    <d v="2016-10-28T00:00:00"/>
    <d v="2017-10-28T00:00:00"/>
    <d v="2019-01-28T00:00:00"/>
    <n v="365"/>
    <n v="822"/>
    <n v="5122650.45"/>
    <n v="5250663.74"/>
    <m/>
    <m/>
    <m/>
    <m/>
    <m/>
    <m/>
    <m/>
    <m/>
    <m/>
    <m/>
    <m/>
    <m/>
    <m/>
    <m/>
    <m/>
    <m/>
  </r>
  <r>
    <s v="Ponta Grossa"/>
    <s v="PR"/>
    <s v="Sim"/>
    <n v="17717"/>
    <s v="700195/11 - EE Infantil - Vila Romana - Ponta Grrossa/PR"/>
    <m/>
    <s v="2011"/>
    <s v="Não iniciada"/>
    <n v="0"/>
    <d v="2014-04-15T00:00:00"/>
    <s v="Não iniciada"/>
    <n v="0"/>
    <m/>
    <n v="1"/>
    <n v="0"/>
    <s v="Não iniciada"/>
    <m/>
    <m/>
    <n v="1"/>
    <n v="7"/>
    <s v="Não iniciada"/>
    <s v="0.00"/>
    <d v="2014-04-15T00:00:00"/>
    <n v="0"/>
    <n v="1"/>
    <n v="0"/>
    <s v="Não iniciada"/>
    <s v="0.00"/>
    <d v="2014-04-15T00:00:00"/>
    <x v="1"/>
    <m/>
    <s v="CP 26/2012"/>
    <s v="Contrato anterior não encontrado. Obra não iniciada. Há recursos na conta, porém houve movimentação de débitos desde 03/2013 até esgotamento dos recursos e entrada expressiva em 02/17, porém sem registro de repasse do FNDE. SIMEC desatualizado, consta ainda data de entrega de 2014."/>
    <s v="Sim"/>
    <s v="Sim"/>
    <s v="?"/>
    <n v="0"/>
    <n v="5906020.8399999999"/>
    <n v="1"/>
    <n v="3"/>
    <n v="1968673.6133333333"/>
    <n v="7216521"/>
    <n v="902065.125"/>
    <x v="45"/>
    <x v="3"/>
    <s v="-"/>
    <s v="-"/>
    <m/>
    <n v="0"/>
    <s v="Sim"/>
    <s v="(11851047000185) ENGEPARK - CONSTRUCOES CIVIS LTDA"/>
    <d v="2012-10-11T00:00:00"/>
    <d v="2013-08-18T00:00:00"/>
    <d v="2013-08-18T00:00:00"/>
    <n v="311"/>
    <n v="311"/>
    <n v="1183303.1000000001"/>
    <n v="1183303.1000000001"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17718"/>
    <s v="700195/11 - EE Infantil - Vila Cristina - Ponta Grrossa/PR"/>
    <m/>
    <s v="2011"/>
    <s v="Não iniciada"/>
    <n v="0"/>
    <d v="2014-04-15T00:00:00"/>
    <s v="Não iniciada"/>
    <m/>
    <m/>
    <n v="1"/>
    <n v="0"/>
    <s v="Não iniciada"/>
    <m/>
    <m/>
    <n v="1"/>
    <n v="7"/>
    <s v="Não iniciada"/>
    <s v="0.00"/>
    <d v="2014-04-15T00:00:00"/>
    <n v="0"/>
    <m/>
    <n v="0"/>
    <s v="Não iniciada"/>
    <s v="0.00"/>
    <d v="2014-04-15T00:00:00"/>
    <x v="1"/>
    <m/>
    <s v="CP 26/2012"/>
    <s v="Contrato anterior não encontrado. Obra não iniciada. Há recursos na conta, porém houve movimentação de débitos desde 03/2013 até esgotamento dos recursos e entrada expressiva em 02/17, porém sem registro de repasse do FNDE. SIMEC desatualizado, consta ainda data de entrega de 2014."/>
    <s v="Sim"/>
    <s v="Sim"/>
    <s v="?"/>
    <n v="0"/>
    <n v="5906020.8399999999"/>
    <n v="0"/>
    <n v="3"/>
    <n v="1968673.6133333333"/>
    <n v="7216521"/>
    <n v="902065.125"/>
    <x v="45"/>
    <x v="3"/>
    <s v="-"/>
    <s v="-"/>
    <m/>
    <n v="0"/>
    <s v="Sim"/>
    <s v="(03729672000120) BBJ &amp; CIA LTDA"/>
    <d v="2012-10-11T00:00:00"/>
    <d v="2013-08-18T00:00:00"/>
    <d v="2013-08-18T00:00:00"/>
    <n v="311"/>
    <n v="311"/>
    <n v="1275694"/>
    <n v="1275694"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17720"/>
    <s v="700195/11 - EE Infantil - 31 de Março - Ponta Grrossa/PR"/>
    <s v="Rua Abílio Holzmann/Bairro dos Neves"/>
    <s v="2011"/>
    <s v="Paralisada"/>
    <n v="15.78"/>
    <d v="2018-09-12T00:00:00"/>
    <s v="Em andamento"/>
    <n v="60"/>
    <m/>
    <n v="0"/>
    <n v="1"/>
    <s v="Concluída"/>
    <n v="100"/>
    <m/>
    <n v="0"/>
    <m/>
    <s v="Paralisada"/>
    <s v="15.78"/>
    <d v="2018-12-09T00:00:00"/>
    <n v="1"/>
    <m/>
    <n v="0"/>
    <s v="Paralisada"/>
    <s v="15.78"/>
    <d v="2018-12-09T00:00:00"/>
    <x v="3"/>
    <m/>
    <s v="CP 09/2012, CP 23/2014"/>
    <s v="SIMEC: Consta data de conclusão prevista para dez/2018, porém a contratação registrada é a antiga e a situação ainda consta como paralisada. Há recursos na conta, porém houve movimentação de débitos desde 03/2013 até esgotamento dos recursos e entrada expressiva em 02/17, porém sem registro de repasse do FNDE."/>
    <s v="Sim"/>
    <s v="Sim"/>
    <s v="?"/>
    <n v="0"/>
    <n v="5906020.8399999999"/>
    <n v="0"/>
    <n v="3"/>
    <n v="1968673.6133333333"/>
    <n v="7216521"/>
    <n v="902065.125"/>
    <x v="45"/>
    <x v="3"/>
    <n v="2012"/>
    <n v="2018"/>
    <n v="6"/>
    <n v="960"/>
    <s v="Sim"/>
    <s v="(07795455000190) J G DA SILVA FILHO &amp; CIA LTDA - ME"/>
    <d v="2012-04-10T00:00:00"/>
    <d v="2013-02-12T00:00:00"/>
    <d v="2013-02-12T00:00:00"/>
    <n v="308"/>
    <n v="308"/>
    <n v="1258559.3899999999"/>
    <n v="1258559.3899999999"/>
    <s v="UEME CONSTRUCAO CIVIL LTDA (79.785.432/0001-05)"/>
    <d v="2015-01-22T00:00:00"/>
    <d v="2016-06-14T00:00:00"/>
    <d v="2019-01-30T00:00:00"/>
    <n v="509"/>
    <n v="1469"/>
    <n v="1902021.31"/>
    <n v="2347675.1800000002"/>
    <m/>
    <m/>
    <m/>
    <m/>
    <m/>
    <m/>
    <m/>
    <m/>
    <m/>
    <m/>
    <m/>
    <m/>
    <m/>
    <m/>
    <m/>
    <m/>
  </r>
  <r>
    <s v="Ponta Grossa"/>
    <s v="PR"/>
    <s v="Sim"/>
    <n v="19529"/>
    <s v="CMEI DO JARDIM PANAMÁ"/>
    <m/>
    <s v="2014"/>
    <s v="Não iniciada"/>
    <n v="0"/>
    <s v="-"/>
    <s v="Não iniciada"/>
    <n v="0"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1"/>
    <m/>
    <s v="CP 25/2012"/>
    <s v="Contrato não encontrado no TCE-PR. SIMEC: constam dados de contrato, porém nenhuma informação sobre a evolução da obra. Como há dados de contratação, deduz-se que houve rescisão ou abandono."/>
    <s v="Sim"/>
    <s v="Sim"/>
    <s v="Sim"/>
    <n v="879291.23"/>
    <n v="1562425.86"/>
    <n v="1"/>
    <n v="3"/>
    <n v="520808.62000000005"/>
    <n v="1118052"/>
    <n v="1118052"/>
    <x v="46"/>
    <x v="2"/>
    <s v="-"/>
    <s v="-"/>
    <m/>
    <n v="0"/>
    <s v="Sim"/>
    <s v="(03729672000120) BBJ &amp; CIA LTDA"/>
    <d v="2012-10-11T00:00:00"/>
    <d v="2014-02-03T00:00:00"/>
    <d v="2014-02-03T00:00:00"/>
    <n v="480"/>
    <n v="480"/>
    <n v="1180730"/>
    <n v="1180730"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19531"/>
    <s v="CMEI DA VILA CRISTINA"/>
    <m/>
    <s v="2014"/>
    <s v="Não iniciada"/>
    <n v="0"/>
    <s v="-"/>
    <s v="Não iniciada"/>
    <n v="0"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1"/>
    <m/>
    <s v="CP 25/2012"/>
    <s v="Contrato não encontrado no TCE-PR. SIMEC: constam dados de contrato, porém nenhuma informação sobre a evolução da obra. Como há dados de contratação, deduz-se que houve rescisão ou abandono."/>
    <s v="Sim"/>
    <s v="Sim"/>
    <s v="Sim"/>
    <n v="308250.07"/>
    <n v="1562425.86"/>
    <n v="0"/>
    <n v="3"/>
    <n v="520808.62000000005"/>
    <n v="426997"/>
    <n v="426997"/>
    <x v="46"/>
    <x v="2"/>
    <s v="-"/>
    <s v="-"/>
    <m/>
    <n v="0"/>
    <s v="Sim"/>
    <s v="(03729672000120) BBJ &amp; CIA LTDA"/>
    <d v="2012-10-11T00:00:00"/>
    <d v="2013-08-18T00:00:00"/>
    <d v="2013-08-18T00:00:00"/>
    <n v="311"/>
    <n v="311"/>
    <n v="596616"/>
    <n v="596616"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19536"/>
    <s v="CMEI DO PARQUE TAROBA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1"/>
    <m/>
    <s v="CP 25/2012"/>
    <s v="Consta em cópia da homologação da licitação disponível no SIMEC. Contrato não encontrado no TCE-PR. Como essa obra foi licitada, deduz-se que houve rescisão ou abandono."/>
    <s v="Não"/>
    <s v="Não"/>
    <s v="Sim"/>
    <n v="308250.12"/>
    <n v="1562425.86"/>
    <n v="0"/>
    <n v="3"/>
    <n v="520808.62000000005"/>
    <n v="427101"/>
    <n v="427101"/>
    <x v="46"/>
    <x v="2"/>
    <s v="-"/>
    <s v="-"/>
    <m/>
    <n v="0"/>
    <s v="Sim"/>
    <s v="(03729672000120) BBJ &amp; CIA LTDA"/>
    <m/>
    <m/>
    <m/>
    <m/>
    <m/>
    <n v="588860"/>
    <m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25309"/>
    <s v="PAC 2 - CRECHE/PRÉ-ESCOLA MCMV 001"/>
    <m/>
    <s v="2014"/>
    <s v="Não iniciada"/>
    <n v="0"/>
    <d v="2014-04-04T00:00:00"/>
    <s v="Não iniciada"/>
    <n v="0"/>
    <m/>
    <n v="1"/>
    <n v="0"/>
    <s v="Não iniciada"/>
    <m/>
    <m/>
    <n v="1"/>
    <n v="4"/>
    <s v="Não iniciada"/>
    <s v="0.00"/>
    <d v="2014-04-04T00:00:00"/>
    <n v="0"/>
    <m/>
    <n v="1"/>
    <s v="Cancelada"/>
    <s v="0.00"/>
    <d v="2014-04-04T00:00:00"/>
    <x v="1"/>
    <m/>
    <s v="CP 35/2012"/>
    <s v="Contrato não encontrado no TCE-PR. SIMEC: consta dado de contrato não mais atual, situação indica &quot;em planejamento&quot;; consta data de conclusão em abril de 2014, porém sem aditivo correspondente ao contrato."/>
    <s v="Sim"/>
    <s v="Sim"/>
    <s v="Sim"/>
    <n v="727500"/>
    <n v="2105217.98"/>
    <n v="1"/>
    <n v="3"/>
    <n v="701739.32666666666"/>
    <n v="969501"/>
    <n v="969501"/>
    <x v="47"/>
    <x v="2"/>
    <s v="-"/>
    <s v="-"/>
    <m/>
    <n v="0"/>
    <s v="Sim"/>
    <s v="(03505277000164) ECSAM SERVICOS AMBIENTAIS LTDA."/>
    <d v="2012-11-27T00:00:00"/>
    <d v="2013-09-23T00:00:00"/>
    <d v="2013-09-23T00:00:00"/>
    <n v="300"/>
    <n v="300"/>
    <n v="1425490.08"/>
    <n v="1425490.08"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25311"/>
    <s v="CMEI JARDIM DOS MANACÁS"/>
    <m/>
    <s v="2014"/>
    <s v="Não iniciada"/>
    <n v="0"/>
    <s v="-"/>
    <s v="Não iniciada"/>
    <n v="0"/>
    <m/>
    <n v="1"/>
    <n v="0"/>
    <s v="Não iniciada"/>
    <m/>
    <m/>
    <n v="1"/>
    <n v="4"/>
    <s v="Não iniciada"/>
    <s v="0.00"/>
    <s v="-"/>
    <n v="0"/>
    <m/>
    <n v="1"/>
    <s v="Cancelada"/>
    <s v="0.00"/>
    <n v="0"/>
    <x v="1"/>
    <m/>
    <s v="CP 35/2012"/>
    <s v="Contrato não encontrado no TCE-PR. SIMEC: consta dado de contrato não mais atual, situação indica &quot;em planejamento&quot;."/>
    <s v="Sim"/>
    <s v="Sim"/>
    <s v="Sim"/>
    <n v="727500"/>
    <n v="2105217.98"/>
    <n v="0"/>
    <n v="3"/>
    <n v="701739.32666666666"/>
    <n v="969501"/>
    <n v="969501"/>
    <x v="47"/>
    <x v="2"/>
    <s v="-"/>
    <s v="-"/>
    <m/>
    <n v="0"/>
    <s v="Sim"/>
    <s v="(11851047000185) ENGEPARK - CONSTRUCOES CIVIS LTDA"/>
    <d v="2012-11-27T00:00:00"/>
    <d v="2013-09-25T00:00:00"/>
    <d v="2013-09-25T00:00:00"/>
    <n v="302"/>
    <n v="302"/>
    <n v="1357739.88"/>
    <n v="1357739.88"/>
    <m/>
    <m/>
    <m/>
    <m/>
    <m/>
    <m/>
    <m/>
    <m/>
    <m/>
    <m/>
    <m/>
    <m/>
    <m/>
    <m/>
    <m/>
    <m/>
    <m/>
    <m/>
    <m/>
    <m/>
    <m/>
    <m/>
    <m/>
    <m/>
  </r>
  <r>
    <s v="Ponta Grossa"/>
    <s v="PR"/>
    <s v="Sim"/>
    <n v="25312"/>
    <s v="CMEI VILA ELISEU CAMPOS MELLO"/>
    <m/>
    <s v="2014"/>
    <s v="Não iniciada"/>
    <n v="0"/>
    <s v="-"/>
    <s v="Não iniciada"/>
    <m/>
    <m/>
    <n v="1"/>
    <n v="0"/>
    <s v="Não iniciada"/>
    <m/>
    <m/>
    <n v="1"/>
    <n v="4"/>
    <s v="Não iniciada"/>
    <s v="0.00"/>
    <s v="-"/>
    <n v="0"/>
    <n v="1"/>
    <n v="1"/>
    <s v="Cancelada"/>
    <s v="0.00"/>
    <n v="0"/>
    <x v="1"/>
    <m/>
    <s v="CP 35/2012"/>
    <s v="Contrato não encontrado no TCE-PR. SIMEC: consta dado de contrato não mais atual, situação indica &quot;em planejamento&quot;."/>
    <s v="Sim"/>
    <s v="Sim"/>
    <s v="Sim"/>
    <n v="340000"/>
    <n v="2105217.98"/>
    <n v="0"/>
    <n v="3"/>
    <n v="701739.32666666666"/>
    <n v="453100"/>
    <n v="453100"/>
    <x v="47"/>
    <x v="2"/>
    <s v="-"/>
    <s v="-"/>
    <m/>
    <n v="0"/>
    <s v="Sim"/>
    <s v="(03505277000164) ECSAM SERVICOS AMBIENTAIS LTDA."/>
    <d v="2012-11-27T00:00:00"/>
    <d v="2013-09-25T00:00:00"/>
    <d v="2013-09-25T00:00:00"/>
    <n v="302"/>
    <n v="302"/>
    <n v="639364.07999999996"/>
    <n v="639364.07999999996"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8969"/>
    <s v="657111 - Esc. Educ. Infantil - Tipo B - SANTA MARIA/RS"/>
    <m/>
    <s v="2009"/>
    <s v="Em andamento"/>
    <n v="47.62"/>
    <d v="2017-05-30T00:00:00"/>
    <s v="-"/>
    <m/>
    <m/>
    <n v="0"/>
    <s v="-"/>
    <s v="(Em andamento)"/>
    <n v="93.18"/>
    <d v="2018-05-31T00:00:00"/>
    <n v="0"/>
    <m/>
    <s v="(Paralisada)"/>
    <s v="94.70"/>
    <d v="2018-06-07T00:00:00"/>
    <n v="1"/>
    <m/>
    <n v="0"/>
    <s v="Paralisada"/>
    <s v="94.70"/>
    <d v="2018-06-07T00:00:00"/>
    <x v="6"/>
    <m/>
    <s v="CP 01/2016"/>
    <s v="SIMEC: Data de entrega inconsistente com dados do contrato; % das medições inconsistente com total indicado. Conta não encontrada. Movimentação da conta mostra débitos progressivos entre 2011 e 2012, sugerindo que execução anterior tenha ocorrido nessa época."/>
    <s v="Sim"/>
    <s v="Sim"/>
    <s v="Sim"/>
    <n v="0"/>
    <n v="31174.58"/>
    <n v="1"/>
    <n v="1"/>
    <n v="31174.58"/>
    <n v="1404673"/>
    <n v="1404673"/>
    <x v="48"/>
    <x v="6"/>
    <n v="2011"/>
    <s v="-"/>
    <m/>
    <n v="0"/>
    <s v="Sim"/>
    <s v="(11550466000187) ESPINDOLA CONSTRUTORA LTDA"/>
    <m/>
    <m/>
    <m/>
    <m/>
    <m/>
    <m/>
    <m/>
    <s v="(05495827000137) LUFAB COMERCIO E REPRESENTACOES LTDA (nome anterior: K A J Materiais de construção)"/>
    <d v="2016-07-08T00:00:00"/>
    <d v="2017-06-09T00:00:00"/>
    <d v="2018-06-07T00:00:00"/>
    <n v="336"/>
    <n v="673"/>
    <n v="1991997.09"/>
    <n v="2235497.2799999998"/>
    <m/>
    <m/>
    <m/>
    <m/>
    <m/>
    <m/>
    <m/>
    <m/>
    <m/>
    <m/>
    <m/>
    <m/>
    <m/>
    <m/>
    <m/>
    <m/>
  </r>
  <r>
    <s v="Santa Maria"/>
    <s v="RS"/>
    <s v="Sim"/>
    <n v="13418"/>
    <s v="704173 - Esc. Educ. Infantil - Tipo C - Proinfância - Construção - SANTA MARIA/RS"/>
    <m/>
    <s v="2010"/>
    <s v="Paralisada"/>
    <n v="38.590000000000003"/>
    <d v="2017-06-03T00:00:00"/>
    <s v="-"/>
    <m/>
    <m/>
    <n v="0"/>
    <s v="-"/>
    <s v="(Em andamento)"/>
    <n v="68.03"/>
    <d v="2018-08-31T00:00:00"/>
    <n v="0"/>
    <m/>
    <s v="(Em andamento)"/>
    <s v="69.72"/>
    <d v="2018-06-07T00:00:00"/>
    <n v="0"/>
    <m/>
    <n v="0"/>
    <s v="Em andamento"/>
    <s v="85.18"/>
    <d v="2019-01-17T00:00:00"/>
    <x v="6"/>
    <m/>
    <s v="CP 08/2016"/>
    <s v="Contrato 175/2016. Conta não encontrada. Movimentação da conta mostra débitos progressivos entre 2012 e 2013, sugerindo que execução anterior tenha ocorrido nessa época. SIMEC: % das medições inconsistente com o total informado."/>
    <s v="Sim"/>
    <s v="Sim"/>
    <s v="Sim"/>
    <n v="0"/>
    <n v="7204.35"/>
    <n v="1"/>
    <n v="1"/>
    <n v="7204.35"/>
    <n v="421174"/>
    <n v="421174"/>
    <x v="49"/>
    <x v="5"/>
    <n v="2012"/>
    <s v="-"/>
    <m/>
    <n v="0"/>
    <s v="Sim"/>
    <s v="(10689993000104) ARIMIX SERVICOS DE CONCRETAGEM LTDA"/>
    <m/>
    <m/>
    <m/>
    <m/>
    <m/>
    <m/>
    <m/>
    <s v="(05495827000137) LUFAB COMERCIO E REPRESENTACOES LTDA (nome anterior: K A J Materiais de construção)"/>
    <d v="2016-10-10T00:00:00"/>
    <d v="2017-07-26T00:00:00"/>
    <d v="2018-08-20T00:00:00"/>
    <n v="289"/>
    <n v="629"/>
    <n v="977721.81"/>
    <n v="1146917.6000000001"/>
    <m/>
    <m/>
    <m/>
    <m/>
    <m/>
    <m/>
    <m/>
    <m/>
    <m/>
    <m/>
    <m/>
    <m/>
    <m/>
    <m/>
    <m/>
    <m/>
  </r>
  <r>
    <s v="Santa Maria"/>
    <s v="RS"/>
    <s v="Sim"/>
    <n v="19778"/>
    <s v="Estação dos Ventos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Consta no SIMEC data de licitação, porém sem dados ou informações de contrato. Movimentação da conta não apresenta débitos, portanto as obras não devem ter sido iniciadas."/>
    <s v="Sim"/>
    <s v="Não"/>
    <s v="Sim"/>
    <n v="261014.06"/>
    <n v="1241440.1399999999"/>
    <n v="1"/>
    <n v="3"/>
    <n v="413813.37999999995"/>
    <n v="364809"/>
    <n v="364809"/>
    <x v="50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19910"/>
    <s v="Vila São João Batista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m/>
    <s v="Não"/>
    <s v="Não"/>
    <s v="Sim"/>
    <n v="261014.06"/>
    <n v="1241440.1399999999"/>
    <n v="0"/>
    <n v="3"/>
    <n v="413813.37999999995"/>
    <n v="364809"/>
    <n v="364809"/>
    <x v="50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19965"/>
    <s v="Diácono Luiz Pozzobom"/>
    <m/>
    <s v="2013"/>
    <s v="Paralisada"/>
    <n v="6.76"/>
    <d v="2015-04-19T00:00:00"/>
    <s v="Paralisada"/>
    <n v="8.1"/>
    <m/>
    <n v="0"/>
    <n v="0"/>
    <s v="Paralisada"/>
    <n v="6.62"/>
    <m/>
    <n v="0"/>
    <m/>
    <s v="Em andamento"/>
    <s v="5.31"/>
    <d v="2019-12-24T00:00:00"/>
    <n v="1"/>
    <m/>
    <n v="1"/>
    <s v="Paralisada"/>
    <s v="5.31"/>
    <n v="0"/>
    <x v="0"/>
    <s v="TC reformulado em 2018"/>
    <s v="ARP 59/2013 do FNDE"/>
    <s v="Metodologia inovadora iniciada, distrato e processo judicial contra a empresa. Última medição em 2014. SIMEC agora indica nova licitação (16/07/18)"/>
    <s v="Não"/>
    <s v="Não"/>
    <m/>
    <n v="755736.57"/>
    <n v="943735.78"/>
    <n v="1"/>
    <n v="1"/>
    <n v="943735.78"/>
    <n v="936409"/>
    <n v="936409"/>
    <x v="51"/>
    <x v="1"/>
    <n v="2014"/>
    <s v="-"/>
    <m/>
    <n v="0"/>
    <s v="Sim"/>
    <s v="MVC COMPONENTES PLASTICOS LTD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0098"/>
    <s v="Vila Jardim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Consta no SIMEC data de licitação, porém sem dados ou informações de contrato. Movimentação da conta não apresenta débitos, portanto as obras não devem ter sido iniciadas."/>
    <s v="Não"/>
    <s v="Não"/>
    <s v="Sim"/>
    <n v="261014.06"/>
    <n v="1241440.1399999999"/>
    <n v="0"/>
    <n v="3"/>
    <n v="413813.37999999995"/>
    <n v="364809"/>
    <n v="364809"/>
    <x v="50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4531"/>
    <s v="PAC 2 - CRECHE/PRÉ-ESCOLA MCMV 001"/>
    <m/>
    <s v="2014"/>
    <s v="Não iniciada"/>
    <n v="0"/>
    <s v="-"/>
    <s v="Não iniciada"/>
    <m/>
    <m/>
    <n v="1"/>
    <n v="0"/>
    <s v="Cancelada"/>
    <m/>
    <m/>
    <n v="0"/>
    <m/>
    <s v="Não iniciada"/>
    <s v="0.00"/>
    <s v="-"/>
    <n v="1"/>
    <m/>
    <n v="1"/>
    <s v="Cancelada"/>
    <s v="0.00"/>
    <n v="0"/>
    <x v="5"/>
    <m/>
    <m/>
    <s v="Reformulação para metodologia convencional. Prefeitura disse que a obra foi cancelada."/>
    <s v="Não"/>
    <s v="Sim"/>
    <s v="Sim"/>
    <n v="135996.32999999999"/>
    <n v="4173081.65"/>
    <n v="1"/>
    <n v="6"/>
    <n v="695513.60833333328"/>
    <n v="185529"/>
    <n v="185529"/>
    <x v="52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4532"/>
    <s v="Residencial Lopes"/>
    <m/>
    <s v="2014"/>
    <s v="Paralisada"/>
    <n v="19.440000000000001"/>
    <d v="2016-03-24T00:00:00"/>
    <s v="Paralisada"/>
    <n v="19.440000000000001"/>
    <m/>
    <n v="0"/>
    <n v="0"/>
    <s v="Paralisada"/>
    <n v="6.62"/>
    <m/>
    <n v="0"/>
    <m/>
    <s v="Paralisada"/>
    <s v="19.44"/>
    <d v="2016-03-24T00:00:00"/>
    <n v="0"/>
    <m/>
    <n v="1"/>
    <s v="Paralisada"/>
    <s v="19.44"/>
    <d v="2016-03-24T00:00:00"/>
    <x v="0"/>
    <m/>
    <s v="ARP 59/2013 do FNDE"/>
    <s v="Metodologia inovadora iniciada, distrato e processo judicial contra a empresa. Última medição em 2014. SIMEC: não constam dados da contratação anterior, agora aparece como em reformulação."/>
    <s v="Sim"/>
    <s v="Não"/>
    <m/>
    <n v="769930.21"/>
    <n v="4173081.65"/>
    <n v="0"/>
    <n v="6"/>
    <n v="695513.60833333328"/>
    <n v="960924"/>
    <n v="960924"/>
    <x v="52"/>
    <x v="2"/>
    <n v="2014"/>
    <s v="-"/>
    <m/>
    <n v="0"/>
    <s v="Sim"/>
    <s v="MVC COMPONENTES PLASTICOS LTD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4533"/>
    <s v="PAC_ DOM LUIZ VICTOR SARTORI"/>
    <m/>
    <s v="2014"/>
    <s v="Não iniciada"/>
    <n v="0"/>
    <s v="-"/>
    <s v="Não iniciada"/>
    <m/>
    <m/>
    <n v="1"/>
    <n v="0"/>
    <s v="Cancelada"/>
    <m/>
    <m/>
    <n v="0"/>
    <m/>
    <s v="Não iniciada"/>
    <s v="0.00"/>
    <s v="-"/>
    <n v="1"/>
    <m/>
    <n v="1"/>
    <s v="Cancelada"/>
    <s v="0.00"/>
    <n v="0"/>
    <x v="5"/>
    <m/>
    <m/>
    <s v="Reformulação para metodologia convencional."/>
    <s v="Não"/>
    <s v="Sim"/>
    <s v="Sim"/>
    <n v="135740.14000000001"/>
    <n v="4173081.65"/>
    <n v="0"/>
    <n v="6"/>
    <n v="695513.60833333328"/>
    <n v="185180"/>
    <n v="185180"/>
    <x v="52"/>
    <x v="2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4534"/>
    <s v="PAC 2 - CRECHE Municipal Bairro Nossa Senhora da Medianeira"/>
    <m/>
    <s v="2014"/>
    <s v="Paralisada"/>
    <n v="1.67"/>
    <d v="2015-01-05T00:00:00"/>
    <s v="Paralisada"/>
    <n v="1.67"/>
    <m/>
    <n v="0"/>
    <n v="0"/>
    <s v="Paralisada"/>
    <n v="6.62"/>
    <m/>
    <n v="0"/>
    <m/>
    <s v="Paralisada"/>
    <s v="4.34"/>
    <d v="2019-12-27T00:00:00"/>
    <n v="0"/>
    <m/>
    <n v="1"/>
    <s v="Paralisada"/>
    <s v="4.34"/>
    <n v="0"/>
    <x v="0"/>
    <m/>
    <s v="ARP 59/2013 do FNDE"/>
    <s v="Metodologia inovadora iniciada, distrato e processo judicial contra a empresa. Última medição em 2014."/>
    <s v="Não"/>
    <s v="Não"/>
    <s v="Sim"/>
    <n v="765493.72"/>
    <n v="4173081.65"/>
    <n v="0"/>
    <n v="6"/>
    <n v="695513.60833333328"/>
    <n v="953326"/>
    <n v="953326"/>
    <x v="52"/>
    <x v="2"/>
    <n v="2014"/>
    <s v="-"/>
    <m/>
    <n v="0"/>
    <s v="Sim"/>
    <s v="MVC COMPONENTES PLASTICOS LTD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4535"/>
    <s v="PAC 2 - CRECHE SANTA MARTA"/>
    <m/>
    <s v="2014"/>
    <s v="Paralisada"/>
    <n v="19.3"/>
    <d v="2016-03-24T00:00:00"/>
    <s v="Paralisada"/>
    <n v="19.3"/>
    <m/>
    <n v="0"/>
    <n v="0"/>
    <s v="Paralisada"/>
    <n v="6.62"/>
    <m/>
    <n v="0"/>
    <m/>
    <s v="Paralisada"/>
    <s v="8.19"/>
    <d v="2018-06-22T00:00:00"/>
    <n v="0"/>
    <m/>
    <n v="1"/>
    <s v="Paralisada"/>
    <s v="8.19"/>
    <n v="0"/>
    <x v="0"/>
    <m/>
    <s v="ARP 59/2013 do FNDE"/>
    <s v="Metodologia inovadora iniciada, distrato e processo judicial contra a empresa. Última medição em 2014."/>
    <s v="Não"/>
    <s v="Não"/>
    <s v="Sim"/>
    <n v="765780.1"/>
    <n v="4173081.65"/>
    <n v="0"/>
    <n v="6"/>
    <n v="695513.60833333328"/>
    <n v="958470"/>
    <n v="958470"/>
    <x v="52"/>
    <x v="2"/>
    <n v="2014"/>
    <s v="-"/>
    <m/>
    <n v="0"/>
    <s v="Sim"/>
    <s v="MVC COMPONENTES PLASTICOS LTDA"/>
    <d v="2013-10-17T00:00:00"/>
    <d v="2014-10-12T00:00:00"/>
    <d v="2014-10-12T00:00:00"/>
    <n v="360"/>
    <n v="360"/>
    <n v="1533006.08"/>
    <n v="1533006.08"/>
    <m/>
    <m/>
    <m/>
    <m/>
    <m/>
    <m/>
    <m/>
    <m/>
    <m/>
    <m/>
    <m/>
    <m/>
    <m/>
    <m/>
    <m/>
    <m/>
    <m/>
    <m/>
    <m/>
    <m/>
    <m/>
    <m/>
    <m/>
    <m/>
  </r>
  <r>
    <s v="Santa Maria"/>
    <s v="RS"/>
    <s v="Sim"/>
    <n v="24536"/>
    <s v="PAC 2 - CRECHE/PRÉ-ESCOLA 002 LOTEAMENTO MONTE BELO-CAMOBI"/>
    <m/>
    <s v="2014"/>
    <s v="Paralisada"/>
    <n v="21.29"/>
    <d v="2015-03-27T00:00:00"/>
    <s v="Paralisada"/>
    <n v="21.29"/>
    <m/>
    <n v="0"/>
    <n v="0"/>
    <s v="Paralisada"/>
    <n v="6.62"/>
    <m/>
    <n v="0"/>
    <m/>
    <s v="Paralisada"/>
    <s v="11.91"/>
    <d v="2019-06-24T00:00:00"/>
    <n v="0"/>
    <m/>
    <n v="1"/>
    <s v="Paralisada"/>
    <s v="11.91"/>
    <n v="0"/>
    <x v="0"/>
    <m/>
    <s v="ARP 59/2013 do FNDE"/>
    <s v="Metodologia inovadora iniciada, distrato e processo judicial contra a empresa. Última medição em 2014."/>
    <s v="Não"/>
    <s v="Não"/>
    <s v="Sim"/>
    <n v="766345.25"/>
    <n v="4173081.65"/>
    <n v="0"/>
    <n v="6"/>
    <n v="695513.60833333328"/>
    <n v="956434"/>
    <n v="956434"/>
    <x v="52"/>
    <x v="2"/>
    <n v="2014"/>
    <s v="-"/>
    <m/>
    <n v="0"/>
    <s v="Sim"/>
    <s v="MVC COMPONENTES PLASTICOS LTDA"/>
    <d v="2013-10-17T00:00:00"/>
    <d v="2014-10-17T00:00:00"/>
    <d v="2014-10-17T00:00:00"/>
    <n v="365"/>
    <n v="365"/>
    <n v="1531784.78"/>
    <n v="1531784.78"/>
    <m/>
    <m/>
    <m/>
    <m/>
    <m/>
    <m/>
    <m/>
    <m/>
    <m/>
    <m/>
    <m/>
    <m/>
    <m/>
    <m/>
    <m/>
    <m/>
    <m/>
    <m/>
    <m/>
    <m/>
    <m/>
    <m/>
    <m/>
    <m/>
  </r>
  <r>
    <s v="São Francisco do Sul"/>
    <s v="SC"/>
    <s v="Sim"/>
    <n v="25206"/>
    <s v="CEI Majorca"/>
    <m/>
    <s v="2013"/>
    <s v="Não iniciada"/>
    <n v="0"/>
    <s v="-"/>
    <s v="Paralisada"/>
    <m/>
    <m/>
    <n v="0"/>
    <n v="1"/>
    <s v="Paralisada"/>
    <n v="27.78"/>
    <m/>
    <n v="0"/>
    <m/>
    <s v="Não iniciada"/>
    <s v="0.00"/>
    <s v="-"/>
    <n v="1"/>
    <m/>
    <n v="1"/>
    <s v="Cancelada"/>
    <s v="0.00"/>
    <n v="0"/>
    <x v="0"/>
    <m/>
    <s v="CP 12/2016"/>
    <s v="SIMEC: Desatualizado; já houve contratação, obra iniciada e paralisada."/>
    <s v="Não"/>
    <s v="Sim"/>
    <m/>
    <n v="288886.01"/>
    <n v="25534.39"/>
    <n v="1"/>
    <n v="1"/>
    <n v="25534.39"/>
    <n v="392883"/>
    <n v="392883"/>
    <x v="53"/>
    <x v="1"/>
    <n v="2016"/>
    <s v="-"/>
    <m/>
    <n v="0"/>
    <s v="Sim"/>
    <s v="(18985854000130) ARKA EMPREENDIMENTOS LTDA - EPP"/>
    <d v="2016-03-01T00:00:00"/>
    <m/>
    <m/>
    <m/>
    <m/>
    <n v="1869466.11"/>
    <m/>
    <m/>
    <m/>
    <m/>
    <m/>
    <m/>
    <m/>
    <m/>
    <m/>
    <m/>
    <m/>
    <m/>
    <m/>
    <m/>
    <m/>
    <m/>
    <m/>
    <m/>
    <m/>
    <m/>
    <m/>
    <m/>
    <m/>
    <m/>
    <m/>
  </r>
  <r>
    <s v="São Francisco do Sul"/>
    <s v="SC"/>
    <s v="Sim"/>
    <n v="1014175"/>
    <s v="Iperoba - São Francisco do Sul - SC"/>
    <m/>
    <s v="2014"/>
    <s v="Em andamento"/>
    <n v="27.8"/>
    <d v="2017-04-17T00:00:00"/>
    <s v="Paralisada"/>
    <m/>
    <m/>
    <n v="0"/>
    <n v="1"/>
    <s v="Em andamento"/>
    <n v="38.590000000000003"/>
    <m/>
    <n v="0"/>
    <m/>
    <s v="Em andamento"/>
    <s v="38.59"/>
    <d v="2018-09-10T00:00:00"/>
    <n v="0"/>
    <m/>
    <n v="0"/>
    <s v="Em andamento"/>
    <s v="45.04"/>
    <d v="2018-11-05T00:00:00"/>
    <x v="4"/>
    <m/>
    <s v="CP 131/2015"/>
    <s v="SIMEC: Última medição de dez/2017, corresponde ao % executado de 38%."/>
    <s v="Sim"/>
    <s v="Sim"/>
    <m/>
    <n v="1350836.17"/>
    <n v="27467.95"/>
    <n v="1"/>
    <n v="1"/>
    <n v="27467.95"/>
    <n v="1495705"/>
    <n v="1495705"/>
    <x v="54"/>
    <x v="2"/>
    <n v="2016"/>
    <s v="-"/>
    <m/>
    <n v="803"/>
    <s v="Não"/>
    <s v="(18985854000130) ARKA EMPREENDIMENTOS LTDA - EPP"/>
    <d v="2016-03-03T00:00:00"/>
    <d v="2017-02-26T00:00:00"/>
    <d v="2018-10-05T00:00:00"/>
    <n v="360"/>
    <n v="1163"/>
    <n v="3330338.25"/>
    <n v="3330338.25"/>
    <m/>
    <m/>
    <m/>
    <m/>
    <m/>
    <m/>
    <m/>
    <m/>
    <m/>
    <m/>
    <m/>
    <m/>
    <m/>
    <m/>
    <m/>
    <m/>
    <m/>
    <m/>
    <m/>
    <m/>
    <m/>
    <m/>
    <m/>
    <m/>
  </r>
  <r>
    <s v="São José dos Campos"/>
    <s v="SP"/>
    <s v="Sim"/>
    <n v="24484"/>
    <s v="PAC 2 - CRECHE/PRÉ-ESCOLA 005"/>
    <m/>
    <s v="2012"/>
    <s v="Não iniciada"/>
    <n v="0"/>
    <s v="-"/>
    <s v="Em andamento"/>
    <m/>
    <m/>
    <n v="0"/>
    <n v="1"/>
    <s v="Concluída"/>
    <m/>
    <m/>
    <n v="0"/>
    <m/>
    <s v="Concluída"/>
    <s v="99.76"/>
    <d v="2018-04-06T00:00:00"/>
    <n v="0"/>
    <m/>
    <m/>
    <s v="Concluída"/>
    <s v="99.76"/>
    <d v="2018-04-06T00:00:00"/>
    <x v="3"/>
    <s v="TC reformulado em 2017"/>
    <s v="CP 01/2016"/>
    <s v="SIMEC: Última medição indica 87%. Não constam dados do aditivo, embora a contratação tenha se estendido e haja uma planilha do 3º aditivo."/>
    <s v="Sim"/>
    <s v="Sim"/>
    <m/>
    <n v="6841286.29"/>
    <n v="3036738.56"/>
    <n v="1"/>
    <n v="1"/>
    <n v="3036738.56"/>
    <n v="7426830"/>
    <n v="7426830"/>
    <x v="55"/>
    <x v="4"/>
    <n v="2016"/>
    <n v="2018"/>
    <n v="2"/>
    <n v="254"/>
    <s v="Não"/>
    <s v="(05633207000117) SPALLA ENGENHARIA (outro nome: FRANZO)"/>
    <d v="2016-06-02T00:00:00"/>
    <d v="2017-06-02T00:00:00"/>
    <d v="2018-02-11T00:00:00"/>
    <n v="365"/>
    <n v="619"/>
    <n v="6437476.96"/>
    <n v="7610853.9000000004"/>
    <m/>
    <m/>
    <m/>
    <m/>
    <m/>
    <m/>
    <m/>
    <m/>
    <m/>
    <m/>
    <m/>
    <m/>
    <m/>
    <m/>
    <m/>
    <m/>
    <m/>
    <m/>
    <m/>
    <m/>
    <m/>
    <m/>
    <m/>
    <m/>
  </r>
  <r>
    <s v="São José dos Campos"/>
    <s v="SP"/>
    <s v="Sim"/>
    <n v="1010716"/>
    <s v="PAC 2 - CRECHE/PRÉ-ESCOLA 002"/>
    <m/>
    <s v="2013"/>
    <s v="Em andamento"/>
    <n v="73.84"/>
    <d v="2017-01-05T00:00:00"/>
    <s v="Em andamento"/>
    <m/>
    <m/>
    <n v="0"/>
    <n v="0"/>
    <s v="Concluída"/>
    <m/>
    <m/>
    <n v="0"/>
    <m/>
    <s v="Concluída"/>
    <s v="100.00"/>
    <d v="2017-08-01T00:00:00"/>
    <n v="0"/>
    <m/>
    <m/>
    <s v="Concluída"/>
    <s v="100.00"/>
    <d v="2017-08-01T00:00:00"/>
    <x v="3"/>
    <s v="TC reformulado em 2016"/>
    <s v="CP 03/2015"/>
    <s v="SIMEC: Medições e dados correspondem à situação."/>
    <s v="Não"/>
    <s v="Não"/>
    <m/>
    <n v="6100066.4299999997"/>
    <n v="1444.73"/>
    <n v="1"/>
    <n v="2"/>
    <n v="722.36500000000001"/>
    <n v="6407008"/>
    <n v="6407008"/>
    <x v="56"/>
    <x v="1"/>
    <n v="2016"/>
    <n v="2017"/>
    <n v="1"/>
    <n v="188"/>
    <s v="Não"/>
    <s v="(12381044000198) ALVESLIMA CONSTRUTORA E INCORPORADORA LTDA EPP"/>
    <d v="2016-01-26T00:00:00"/>
    <d v="2017-01-25T00:00:00"/>
    <d v="2017-08-01T00:00:00"/>
    <n v="365"/>
    <n v="553"/>
    <n v="7009450.1299999999"/>
    <n v="7528210.8799999999"/>
    <m/>
    <m/>
    <m/>
    <m/>
    <m/>
    <m/>
    <m/>
    <m/>
    <m/>
    <m/>
    <m/>
    <m/>
    <m/>
    <m/>
    <m/>
    <m/>
    <m/>
    <m/>
    <m/>
    <m/>
    <m/>
    <m/>
    <m/>
    <m/>
  </r>
  <r>
    <s v="São José dos Campos"/>
    <s v="SP"/>
    <s v="Sim"/>
    <n v="1010717"/>
    <s v="PAC 2 - CRECHE/PRÉ-ESCOLA 003 TIPO I"/>
    <m/>
    <s v="2013"/>
    <s v="Não iniciada"/>
    <n v="0"/>
    <s v="-"/>
    <s v="Em andamento"/>
    <m/>
    <m/>
    <n v="0"/>
    <n v="1"/>
    <s v="Concluída"/>
    <m/>
    <m/>
    <n v="0"/>
    <m/>
    <s v="Concluída"/>
    <s v="100.00"/>
    <d v="2017-07-31T00:00:00"/>
    <n v="0"/>
    <m/>
    <m/>
    <s v="Concluída"/>
    <s v="100.00"/>
    <d v="2017-07-31T00:00:00"/>
    <x v="3"/>
    <s v="TC reformulado em 2016"/>
    <s v="CP 05/2016"/>
    <s v="SIMEC: Medições e dados correspondem à situação."/>
    <s v="Não"/>
    <s v="Não"/>
    <m/>
    <n v="1979860.84"/>
    <n v="1444.73"/>
    <n v="0"/>
    <n v="2"/>
    <n v="722.36500000000001"/>
    <n v="2147736"/>
    <n v="2147736"/>
    <x v="56"/>
    <x v="1"/>
    <n v="2016"/>
    <n v="2017"/>
    <n v="1"/>
    <n v="0"/>
    <s v="Não"/>
    <s v="(12381044000198) ALVESLIMA CONSTRUTORA E INCORPORADORA LTDA EPP"/>
    <d v="2016-07-18T00:00:00"/>
    <d v="2017-10-11T00:00:00"/>
    <d v="2017-10-11T00:00:00"/>
    <n v="450"/>
    <n v="450"/>
    <n v="3460103.34"/>
    <n v="3695702.35"/>
    <m/>
    <m/>
    <m/>
    <m/>
    <m/>
    <m/>
    <m/>
    <m/>
    <m/>
    <m/>
    <m/>
    <m/>
    <m/>
    <m/>
    <m/>
    <m/>
    <m/>
    <m/>
    <m/>
    <m/>
    <m/>
    <m/>
    <m/>
    <m/>
  </r>
  <r>
    <s v="Taubaté"/>
    <s v="SP"/>
    <s v="Sim"/>
    <n v="1001904"/>
    <s v="Creche Municipal JARDIM OÁSIS - Taubaté - SP"/>
    <m/>
    <n v="2013"/>
    <s v="Paralisada"/>
    <n v="56.45"/>
    <d v="2017-11-20T00:00:00"/>
    <s v="Paralisada"/>
    <m/>
    <m/>
    <n v="0"/>
    <n v="0"/>
    <s v="Em andamento"/>
    <n v="0.78659999999999997"/>
    <d v="2018-05-15T00:00:00"/>
    <n v="0"/>
    <m/>
    <s v="Em andamento"/>
    <s v="98.79"/>
    <d v="2018-07-14T00:00:00"/>
    <n v="0"/>
    <m/>
    <n v="1"/>
    <s v="Concluída"/>
    <s v="100.00"/>
    <d v="2018-07-23T00:00:00"/>
    <x v="3"/>
    <m/>
    <s v="SRP Governo Federal (Pregão 55/2013), TP 02/2017"/>
    <s v="ID alterado para 1067788. Aparentemente ficou paralisada desde fim de 2015. SIMEC: Última medição indica 94%; não consta contratação anterior."/>
    <s v="Não"/>
    <s v="Sim"/>
    <m/>
    <n v="1306128.32"/>
    <n v="0"/>
    <n v="0"/>
    <n v="25"/>
    <n v="0"/>
    <n v="1501468"/>
    <n v="1501468"/>
    <x v="57"/>
    <x v="1"/>
    <n v="2014"/>
    <s v="-"/>
    <m/>
    <n v="478"/>
    <s v="Sim"/>
    <s v="(77.578.623/0001-70) CASAALTA CONSTRUÇÕES LTDA."/>
    <d v="2014-03-10T00:00:00"/>
    <d v="2015-03-10T00:00:00"/>
    <d v="2016-06-30T00:00:00"/>
    <n v="365"/>
    <n v="843"/>
    <n v="1536621.54"/>
    <n v="1536621.54"/>
    <s v="(12381044000198) ALVESLIMA CONSTRUTORA E INCORPORADORA LTDA EPP"/>
    <d v="2017-10-17T00:00:00"/>
    <d v="2018-05-15T00:00:00"/>
    <d v="2018-07-14T00:00:00"/>
    <n v="210"/>
    <n v="270"/>
    <n v="1180666.6599999999"/>
    <n v="1180666.6599999999"/>
    <m/>
    <m/>
    <m/>
    <m/>
    <m/>
    <m/>
    <m/>
    <m/>
    <m/>
    <m/>
    <m/>
    <m/>
    <m/>
    <m/>
    <m/>
    <m/>
  </r>
  <r>
    <s v="Taubaté"/>
    <s v="SP"/>
    <s v="Sim"/>
    <n v="1006108"/>
    <s v="Creche Municipal HÍPICA PINHEIRO"/>
    <m/>
    <n v="2013"/>
    <s v="Não iniciada"/>
    <n v="0"/>
    <s v="-"/>
    <s v="Em andamento"/>
    <m/>
    <m/>
    <n v="0"/>
    <n v="1"/>
    <s v="Em andamento"/>
    <n v="0.56950000000000001"/>
    <d v="2018-04-19T00:00:00"/>
    <n v="0"/>
    <m/>
    <s v="Em andamento"/>
    <s v="74.20"/>
    <d v="2018-08-17T00:00:00"/>
    <n v="0"/>
    <m/>
    <m/>
    <s v="Em andamento"/>
    <s v="92.82"/>
    <d v="2018-12-15T00:00:00"/>
    <x v="4"/>
    <s v="TC reformulado em 2015"/>
    <s v="CP 08/2016"/>
    <s v="SIMEC: Última medição indica 71% (pouca discrepância, apenas faltando última atualização)."/>
    <s v="Não"/>
    <s v="Não"/>
    <m/>
    <n v="1385921.67"/>
    <n v="66255.89"/>
    <n v="1"/>
    <n v="1"/>
    <n v="66255.89"/>
    <n v="1489092"/>
    <n v="1489092"/>
    <x v="58"/>
    <x v="1"/>
    <n v="2016"/>
    <s v="-"/>
    <m/>
    <n v="372"/>
    <s v="Não"/>
    <s v="(17539083000194) S. L. DA SILVA SANTOS DE CASTRO CONSTRUCOES E REFORMAS - ME"/>
    <d v="2016-08-10T00:00:00"/>
    <d v="2017-08-10T00:00:00"/>
    <d v="2018-08-17T00:00:00"/>
    <n v="365"/>
    <n v="737"/>
    <n v="1884600.37"/>
    <n v="1884600.37"/>
    <m/>
    <m/>
    <m/>
    <m/>
    <m/>
    <m/>
    <m/>
    <m/>
    <m/>
    <m/>
    <m/>
    <m/>
    <m/>
    <m/>
    <m/>
    <m/>
    <m/>
    <m/>
    <m/>
    <m/>
    <m/>
    <m/>
    <m/>
    <m/>
  </r>
  <r>
    <s v="Taubaté"/>
    <s v="SP"/>
    <s v="Sim"/>
    <n v="1006109"/>
    <s v="Creche Municipal PORTAL DA MANTIQUEIRA"/>
    <m/>
    <n v="2013"/>
    <s v="Não iniciada"/>
    <n v="0"/>
    <s v="-"/>
    <s v="Em andamento"/>
    <m/>
    <m/>
    <n v="0"/>
    <n v="1"/>
    <s v="Em andamento"/>
    <n v="0.68569999999999998"/>
    <d v="2018-04-19T00:00:00"/>
    <n v="0"/>
    <m/>
    <s v="Em andamento"/>
    <s v="87.35"/>
    <d v="2018-08-17T00:00:00"/>
    <n v="0"/>
    <m/>
    <m/>
    <s v="Em andamento"/>
    <s v="99.53"/>
    <d v="2018-10-16T00:00:00"/>
    <x v="3"/>
    <s v="TC reformulado em 2016"/>
    <s v="CP 09/2016"/>
    <s v="SIMEC: Última medição indica 83% (pouca discrepância, apenas faltando última atualização)."/>
    <s v="Não"/>
    <s v="Não"/>
    <m/>
    <n v="1623526.33"/>
    <n v="82184.84"/>
    <n v="1"/>
    <n v="2"/>
    <n v="41092.42"/>
    <n v="1729756"/>
    <n v="1729756"/>
    <x v="59"/>
    <x v="1"/>
    <n v="2016"/>
    <s v="-"/>
    <m/>
    <n v="372"/>
    <s v="Não"/>
    <s v="(17539083000194) S. L. DA SILVA SANTOS DE CASTRO CONSTRUCOES E REFORMAS - ME"/>
    <d v="2016-08-10T00:00:00"/>
    <d v="2017-08-10T00:00:00"/>
    <d v="2018-08-17T00:00:00"/>
    <n v="365"/>
    <n v="737"/>
    <n v="1884598.16"/>
    <n v="1884598.16"/>
    <m/>
    <m/>
    <m/>
    <m/>
    <m/>
    <m/>
    <m/>
    <m/>
    <m/>
    <m/>
    <m/>
    <m/>
    <m/>
    <m/>
    <m/>
    <m/>
    <m/>
    <m/>
    <m/>
    <m/>
    <m/>
    <m/>
    <m/>
    <m/>
  </r>
  <r>
    <s v="Taubaté"/>
    <s v="SP"/>
    <s v="Sim"/>
    <n v="1006110"/>
    <s v="Creche Municipal FAZENDINHA"/>
    <m/>
    <n v="2013"/>
    <s v="Não iniciada"/>
    <n v="0"/>
    <s v="-"/>
    <s v="Em andamento"/>
    <m/>
    <m/>
    <n v="0"/>
    <n v="1"/>
    <s v="Em andamento"/>
    <n v="0.60909999999999997"/>
    <d v="2018-04-22T00:00:00"/>
    <n v="0"/>
    <m/>
    <s v="Em andamento"/>
    <s v="72.38"/>
    <d v="2018-07-21T00:00:00"/>
    <n v="0"/>
    <m/>
    <m/>
    <s v="Em andamento"/>
    <s v="96.98"/>
    <d v="2018-12-18T00:00:00"/>
    <x v="4"/>
    <s v="TC reformulado em 2016"/>
    <s v="CP 07/2016"/>
    <s v="SIMEC: Última medição indica 69% (pouca discrepância, apenas faltando última atualização). Documentos de análise de solo indicam Casaalta como cliente, sugerindo que houve contrato anterior. Não foi encontrado contrato anterior."/>
    <s v="Não"/>
    <s v="Não"/>
    <m/>
    <n v="1385825.4"/>
    <n v="82184.84"/>
    <n v="0"/>
    <n v="2"/>
    <n v="41092.42"/>
    <n v="1489338"/>
    <n v="1489338"/>
    <x v="59"/>
    <x v="1"/>
    <n v="2016"/>
    <s v="-"/>
    <m/>
    <n v="345"/>
    <s v="Não"/>
    <s v="(58060260000132) EMC ENGENHARIA DE MANUTENCAO E CONSTRUCAO LTDA"/>
    <d v="2016-08-10T00:00:00"/>
    <d v="2017-08-10T00:00:00"/>
    <d v="2018-07-21T00:00:00"/>
    <n v="365"/>
    <n v="710"/>
    <n v="1980135.74"/>
    <n v="1980135.74"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4443"/>
    <s v="700302 - EE Infantil - Canaã II - Uberlândia/MG"/>
    <m/>
    <s v="2008"/>
    <s v="Paralisada"/>
    <n v="82.15"/>
    <d v="2016-05-30T00:00:00"/>
    <s v="Paralisada"/>
    <n v="83.63"/>
    <m/>
    <n v="0"/>
    <n v="0"/>
    <s v="Em andamento"/>
    <m/>
    <m/>
    <n v="0"/>
    <m/>
    <s v="Paralisada"/>
    <s v="82.15"/>
    <d v="2017-05-30T00:00:00"/>
    <n v="1"/>
    <m/>
    <n v="0"/>
    <s v="Paralisada"/>
    <s v="82.15"/>
    <d v="2017-05-30T00:00:00"/>
    <x v="4"/>
    <m/>
    <s v="CP 241/2013, CP 549/2017 (anulada), CP 831/2017"/>
    <s v="SIMEC: Desatualizado; já houve nova contratação. Novo contrato: 127/2018"/>
    <s v="Não"/>
    <s v="Sim"/>
    <m/>
    <n v="0"/>
    <n v="0"/>
    <n v="0"/>
    <n v="25"/>
    <n v="0"/>
    <n v="1645414"/>
    <n v="1645414"/>
    <x v="60"/>
    <x v="7"/>
    <n v="2013"/>
    <s v="-"/>
    <m/>
    <n v="841"/>
    <s v="Sim"/>
    <s v="(11084310000158) S MUNHOZ CONSTRUCOES LTDA"/>
    <d v="2013-08-27T00:00:00"/>
    <d v="2014-02-09T00:00:00"/>
    <d v="2016-05-30T00:00:00"/>
    <n v="166"/>
    <n v="1007"/>
    <n v="867000"/>
    <n v="1078530.6499999999"/>
    <s v="Treviso Construtora Ltda."/>
    <d v="2018-03-09T00:00:00"/>
    <d v="2018-11-08T00:00:00"/>
    <m/>
    <n v="180"/>
    <m/>
    <n v="456330"/>
    <m/>
    <m/>
    <m/>
    <m/>
    <m/>
    <m/>
    <m/>
    <m/>
    <m/>
    <m/>
    <m/>
    <m/>
    <m/>
    <m/>
    <m/>
    <m/>
    <m/>
  </r>
  <r>
    <s v="Uberlândia"/>
    <s v="MG"/>
    <s v="Sim"/>
    <n v="7895"/>
    <s v="710390 - E Educ Infantil C- Jd. Palmeiras II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35"/>
    <s v="710390 - E Educ Infantil Tipo C - Jd. Europa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36"/>
    <s v="710390 - E Educ Infantil Tipo B - Mansour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37"/>
    <s v="710390 - E Educ Infantil B - Jardim Botânico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38"/>
    <s v="710390 - E Educ Infantil Tipo C - Pacaembu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39"/>
    <s v="710390 - E Educ Infantil C - Jd. Sucupira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40"/>
    <s v="710390 - E Educ Infantil Tipo B - Planalto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8241"/>
    <s v="710390 - E Educ Infantil Tipo C - Morumbi - Uberlândia/MG"/>
    <m/>
    <s v="2008"/>
    <s v="Não iniciada"/>
    <n v="0"/>
    <s v="-"/>
    <s v="Não iniciada"/>
    <m/>
    <m/>
    <n v="1"/>
    <n v="0"/>
    <s v="Não iniciada"/>
    <m/>
    <m/>
    <n v="1"/>
    <n v="10"/>
    <s v="Não iniciada"/>
    <s v="0.00"/>
    <s v="-"/>
    <n v="0"/>
    <m/>
    <n v="0"/>
    <s v="Não iniciada"/>
    <s v="0.00"/>
    <n v="0"/>
    <x v="1"/>
    <m/>
    <m/>
    <s v="Há indicação de saldo na conta nos meses anteriores, e saldo zero agora (16/07/18). Dados do SIGEF indicam conta com repasse de R$ 2 mi em 2011."/>
    <s v="Sim"/>
    <s v="Não"/>
    <s v="Sim"/>
    <n v="0"/>
    <n v="0"/>
    <n v="0"/>
    <n v="25"/>
    <n v="0"/>
    <n v="2740382"/>
    <n v="342547.75"/>
    <x v="61"/>
    <x v="7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1247"/>
    <s v="PAC 2 - CRECHE/PRÉ-ESCOLA 005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m/>
    <s v="Não"/>
    <s v="Não"/>
    <s v="Sim"/>
    <n v="393925.58"/>
    <n v="0"/>
    <n v="0"/>
    <n v="25"/>
    <n v="0"/>
    <n v="490673"/>
    <n v="490673"/>
    <x v="62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1248"/>
    <s v="PAC 2 - CRECHE/PRÉ-ESCOLA 001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m/>
    <s v="Não"/>
    <s v="Não"/>
    <s v="Sim"/>
    <n v="393925.57"/>
    <n v="0"/>
    <n v="0"/>
    <n v="25"/>
    <n v="0"/>
    <n v="490673"/>
    <n v="490673"/>
    <x v="62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57"/>
    <s v="PAC 2 - CRECHE/PRÉ-ESCOLA MCMV 006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3727.89"/>
    <n v="4850192.7300000004"/>
    <n v="1"/>
    <n v="9"/>
    <n v="538910.30333333334"/>
    <n v="490426"/>
    <n v="490426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58"/>
    <s v="PAC 2 - CRECHE/PRÉ-ESCOLA MCMV 005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4800.01"/>
    <n v="4850192.7300000004"/>
    <n v="0"/>
    <n v="9"/>
    <n v="538910.30333333334"/>
    <n v="491762"/>
    <n v="491762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59"/>
    <s v="PAC 2 - CRECHE/PRÉ-ESCOLA MCMV 004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1270.01"/>
    <n v="4850192.7300000004"/>
    <n v="0"/>
    <n v="9"/>
    <n v="538910.30333333334"/>
    <n v="487365"/>
    <n v="487365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60"/>
    <s v="PAC 2 - CRECHE/PRÉ-ESCOLA 003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7982.51"/>
    <n v="4850192.7300000004"/>
    <n v="0"/>
    <n v="9"/>
    <n v="538910.30333333334"/>
    <n v="495726"/>
    <n v="495726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61"/>
    <s v="PAC 2 - CRECHE/PRÉ-ESCOLA MCMV 003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4706.64"/>
    <n v="4850192.7300000004"/>
    <n v="0"/>
    <n v="9"/>
    <n v="538910.30333333334"/>
    <n v="491646"/>
    <n v="491646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62"/>
    <s v="PAC 2 - CRECHE/PRÉ-ESCOLA MCMV 002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5766.26"/>
    <n v="4850192.7300000004"/>
    <n v="0"/>
    <n v="9"/>
    <n v="538910.30333333334"/>
    <n v="492965"/>
    <n v="492965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63"/>
    <s v="PAC 2 - CRECHE/PRÉ-ESCOLA 006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7895.01"/>
    <n v="4850192.7300000004"/>
    <n v="0"/>
    <n v="9"/>
    <n v="538910.30333333334"/>
    <n v="495617"/>
    <n v="495617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64"/>
    <s v="PAC 2 - CRECHE/PRÉ-ESCOLA MCMV 001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5433.76"/>
    <n v="4850192.7300000004"/>
    <n v="0"/>
    <n v="9"/>
    <n v="538910.30333333334"/>
    <n v="492551"/>
    <n v="492551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2365"/>
    <s v="PAC 2 - CRECHE/PRÉ-ESCOLA 002"/>
    <m/>
    <s v="2013"/>
    <s v="Não iniciada"/>
    <n v="0"/>
    <s v="-"/>
    <s v="Não iniciada"/>
    <m/>
    <m/>
    <n v="1"/>
    <n v="0"/>
    <s v="Não iniciada"/>
    <m/>
    <m/>
    <n v="1"/>
    <n v="5"/>
    <s v="Não iniciada"/>
    <s v="0.00"/>
    <s v="-"/>
    <n v="0"/>
    <m/>
    <n v="1"/>
    <s v="Cancelada"/>
    <s v="0.00"/>
    <n v="0"/>
    <x v="1"/>
    <m/>
    <m/>
    <s v="SIMEC: dados de saldo da conta inconsistentes (aparente ter sido inserido errado como zero em alguns meses)."/>
    <s v="Sim"/>
    <s v="Não"/>
    <s v="Sim"/>
    <n v="394652.89"/>
    <n v="4850192.7300000004"/>
    <n v="0"/>
    <n v="9"/>
    <n v="538910.30333333334"/>
    <n v="491579"/>
    <n v="491579"/>
    <x v="63"/>
    <x v="1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berlândia"/>
    <s v="MG"/>
    <s v="Sim"/>
    <n v="1004081"/>
    <s v="EMENDA PARLAMENTAR 27680005"/>
    <m/>
    <s v="-"/>
    <s v="Não iniciada"/>
    <n v="0"/>
    <s v="-"/>
    <s v="Não iniciada"/>
    <m/>
    <m/>
    <n v="1"/>
    <n v="0"/>
    <s v="Não iniciada"/>
    <m/>
    <m/>
    <n v="1"/>
    <s v="-"/>
    <s v="Não iniciada"/>
    <s v="0.00"/>
    <s v="-"/>
    <n v="0"/>
    <m/>
    <n v="0"/>
    <s v="Não iniciada"/>
    <s v="0.00"/>
    <n v="0"/>
    <x v="1"/>
    <m/>
    <m/>
    <m/>
    <s v="Não"/>
    <s v="Não"/>
    <s v="Não"/>
    <n v="0"/>
    <n v="0"/>
    <n v="0"/>
    <n v="25"/>
    <n v="0"/>
    <s v="-"/>
    <s v="-"/>
    <x v="64"/>
    <x v="8"/>
    <s v="-"/>
    <s v="-"/>
    <m/>
    <m/>
    <s v="-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79" firstHeaderRow="1" firstDataRow="1" firstDataCol="1"/>
  <pivotFields count="8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8" showAll="0"/>
    <pivotField showAll="0"/>
    <pivotField showAll="0"/>
    <pivotField numFmtId="168" showAll="0"/>
    <pivotField showAll="0"/>
    <pivotField showAll="0"/>
    <pivotField axis="axisRow" dataField="1" showAll="0">
      <items count="66">
        <item x="34"/>
        <item x="41"/>
        <item x="39"/>
        <item x="46"/>
        <item x="47"/>
        <item x="52"/>
        <item x="24"/>
        <item x="16"/>
        <item x="44"/>
        <item x="10"/>
        <item x="9"/>
        <item x="19"/>
        <item x="38"/>
        <item x="5"/>
        <item x="27"/>
        <item x="6"/>
        <item x="29"/>
        <item x="36"/>
        <item x="55"/>
        <item x="4"/>
        <item x="54"/>
        <item x="13"/>
        <item x="32"/>
        <item x="33"/>
        <item x="0"/>
        <item x="21"/>
        <item x="22"/>
        <item x="53"/>
        <item x="42"/>
        <item x="43"/>
        <item x="51"/>
        <item x="50"/>
        <item x="1"/>
        <item x="62"/>
        <item x="31"/>
        <item x="23"/>
        <item x="63"/>
        <item x="2"/>
        <item x="8"/>
        <item x="57"/>
        <item x="48"/>
        <item x="28"/>
        <item x="11"/>
        <item x="35"/>
        <item x="45"/>
        <item x="40"/>
        <item x="60"/>
        <item x="59"/>
        <item x="7"/>
        <item x="14"/>
        <item x="20"/>
        <item x="49"/>
        <item x="61"/>
        <item x="58"/>
        <item x="18"/>
        <item x="12"/>
        <item x="30"/>
        <item x="37"/>
        <item x="15"/>
        <item x="25"/>
        <item x="56"/>
        <item x="3"/>
        <item x="17"/>
        <item x="26"/>
        <item x="64"/>
        <item t="default"/>
      </items>
    </pivotField>
    <pivotField axis="axisRow" showAll="0" sortType="descending">
      <items count="10">
        <item x="8"/>
        <item x="2"/>
        <item x="1"/>
        <item x="4"/>
        <item x="3"/>
        <item x="5"/>
        <item x="6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4"/>
    <field x="43"/>
  </rowFields>
  <rowItems count="76">
    <i>
      <x/>
    </i>
    <i r="1">
      <x v="6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9"/>
    </i>
    <i r="1">
      <x v="20"/>
    </i>
    <i r="1">
      <x v="21"/>
    </i>
    <i r="1">
      <x v="22"/>
    </i>
    <i r="1">
      <x v="61"/>
    </i>
    <i r="1">
      <x v="62"/>
    </i>
    <i r="1">
      <x v="63"/>
    </i>
    <i>
      <x v="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5"/>
    </i>
    <i r="1">
      <x v="47"/>
    </i>
    <i r="1">
      <x v="48"/>
    </i>
    <i r="1">
      <x v="49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"/>
    </i>
    <i r="1">
      <x v="14"/>
    </i>
    <i r="1">
      <x v="15"/>
    </i>
    <i r="1">
      <x v="16"/>
    </i>
    <i r="1">
      <x v="17"/>
    </i>
    <i r="1">
      <x v="18"/>
    </i>
    <i>
      <x v="4"/>
    </i>
    <i r="1">
      <x v="12"/>
    </i>
    <i r="1">
      <x v="13"/>
    </i>
    <i r="1">
      <x v="43"/>
    </i>
    <i r="1">
      <x v="44"/>
    </i>
    <i>
      <x v="5"/>
    </i>
    <i r="1">
      <x v="50"/>
    </i>
    <i r="1">
      <x v="51"/>
    </i>
    <i>
      <x v="6"/>
    </i>
    <i r="1">
      <x v="40"/>
    </i>
    <i>
      <x v="7"/>
    </i>
    <i r="1">
      <x v="46"/>
    </i>
    <i r="1">
      <x v="52"/>
    </i>
    <i>
      <x v="8"/>
    </i>
    <i r="1">
      <x v="24"/>
    </i>
    <i t="grand">
      <x/>
    </i>
  </rowItems>
  <colItems count="1">
    <i/>
  </colItems>
  <dataFields count="1">
    <dataField name="Anzahl von Termo convênio" fld="43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6" minRefreshableVersion="3" showCalcMbrs="0" useAutoFormatting="1" itemPrintTitles="1" createdVersion="3" indent="0" compact="0" compactData="0" multipleFieldFilters="0">
  <location ref="A3:B11" firstHeaderRow="1" firstDataRow="1" firstDataCol="1"/>
  <pivotFields count="8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axis="axisRow" dataField="1" compact="0" outline="0" showAll="0">
      <items count="9">
        <item x="6"/>
        <item x="5"/>
        <item x="3"/>
        <item x="4"/>
        <item m="1" x="7"/>
        <item x="1"/>
        <item x="0"/>
        <item x="2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9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ontagem de Info OS" fld="29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>
  <location ref="A3:B10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0"/>
        <item x="1"/>
        <item x="2"/>
        <item t="default"/>
      </items>
    </pivotField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me von Total repassado" fld="6" baseField="0" baseItem="0"/>
  </dataFields>
  <formats count="2">
    <format dxfId="1">
      <pivotArea collapsedLevelsAreSubtotals="1" fieldPosition="0">
        <references count="1">
          <reference field="5" count="5">
            <x v="1"/>
            <x v="2"/>
            <x v="3"/>
            <x v="4"/>
            <x v="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5" name="Tabela1" displayName="Tabela1" ref="A3:BJ140" totalsRowCount="1" headerRowDxfId="273" headerRowBorderDxfId="272">
  <autoFilter ref="A3:BJ139"/>
  <tableColumns count="62">
    <tableColumn id="1" name="Tá de Pé" dataDxfId="271" totalsRowDxfId="270"/>
    <tableColumn id="2" name="ID" totalsRowDxfId="269"/>
    <tableColumn id="3" name="Nome" totalsRowDxfId="268"/>
    <tableColumn id="4" name="Situação" totalsRowDxfId="267"/>
    <tableColumn id="60" name="Situação2" totalsRowDxfId="266"/>
    <tableColumn id="59" name="Atrasada" dataDxfId="265" totalsRowDxfId="264">
      <calculatedColumnFormula>IF(Tabela1[[#This Row],[Data Prevista de Conclusão da Obra]]&lt;$C$1,"Atrasada","-")</calculatedColumnFormula>
    </tableColumn>
    <tableColumn id="61" name="Levant OS - Jun/17" dataDxfId="263" totalsRowDxfId="262"/>
    <tableColumn id="62" name="Divergência" totalsRowFunction="custom" dataDxfId="261" totalsRowDxfId="260">
      <calculatedColumnFormula>IF(Tabela1[[#This Row],[Levant OS - Jun/17]]=Tabela1[[#This Row],[Situação2]],0,1)</calculatedColumnFormula>
      <totalsRowFormula>SUM([Divergência])</totalsRowFormula>
    </tableColumn>
    <tableColumn id="5" name="Município" totalsRowDxfId="259"/>
    <tableColumn id="6" name="UF" totalsRowDxfId="258"/>
    <tableColumn id="7" name="CEP" totalsRowDxfId="257"/>
    <tableColumn id="8" name="Logradouro" totalsRowDxfId="256"/>
    <tableColumn id="9" name="Bairro" totalsRowDxfId="255"/>
    <tableColumn id="10" name="Termo/Convênio" totalsRowDxfId="254"/>
    <tableColumn id="11" name="Fim da Vigência Termo/Convênio" totalsRowDxfId="253"/>
    <tableColumn id="12" name="Situação do Termo/Convênio" totalsRowDxfId="252"/>
    <tableColumn id="13" name="Percentual de Execução" totalsRowDxfId="251"/>
    <tableColumn id="14" name="Data Prevista de Conclusão da Obra" totalsRowDxfId="250"/>
    <tableColumn id="15" name="Tipo de ensino / Modalidade" totalsRowDxfId="249"/>
    <tableColumn id="16" name="Tipo do Projeto" totalsRowDxfId="248"/>
    <tableColumn id="17" name="Tipo da Obra" totalsRowDxfId="247"/>
    <tableColumn id="18" name="Classificação da Obra" totalsRowDxfId="246"/>
    <tableColumn id="19" name="Valor Pactuado pelo FNDE" totalsRowDxfId="245"/>
    <tableColumn id="20" name="Rede de Ensino Público" totalsRowDxfId="244"/>
    <tableColumn id="21" name="CNPJ" totalsRowDxfId="243"/>
    <tableColumn id="22" name="Inscrição Estadual" totalsRowDxfId="242"/>
    <tableColumn id="23" name="Nome da Entidade" totalsRowDxfId="241"/>
    <tableColumn id="24" name="Razão Social" totalsRowDxfId="240"/>
    <tableColumn id="25" name="Email" totalsRowDxfId="239"/>
    <tableColumn id="26" name="Sigla" totalsRowDxfId="238"/>
    <tableColumn id="27" name="Telefone Comercial" totalsRowDxfId="237"/>
    <tableColumn id="28" name="Fax" totalsRowDxfId="236"/>
    <tableColumn id="29" name="CEP Entidade" totalsRowDxfId="235"/>
    <tableColumn id="30" name="Logradouro Entidade" totalsRowDxfId="234"/>
    <tableColumn id="31" name="Complemento Entidade" totalsRowDxfId="233"/>
    <tableColumn id="32" name="Número Entidade" totalsRowDxfId="232"/>
    <tableColumn id="33" name="Bairro Entidade" totalsRowDxfId="231"/>
    <tableColumn id="34" name="UF Entidade" totalsRowDxfId="230"/>
    <tableColumn id="35" name="Munícipio Entidade" totalsRowDxfId="229"/>
    <tableColumn id="36" name="Modalidade de Licitação" totalsRowDxfId="228"/>
    <tableColumn id="37" name="Número da Licitação" totalsRowDxfId="227"/>
    <tableColumn id="38" name="Homologação da Licitação" totalsRowDxfId="226"/>
    <tableColumn id="39" name="Empresa Contratada" totalsRowDxfId="225"/>
    <tableColumn id="40" name="Data de Assinatura do Contrato" totalsRowDxfId="224"/>
    <tableColumn id="41" name="Prazo de Vigência" totalsRowDxfId="223"/>
    <tableColumn id="42" name="Data de Término do Contrato" totalsRowDxfId="222"/>
    <tableColumn id="43" name="Valor do Contrato" totalsRowDxfId="221"/>
    <tableColumn id="44" name="Valor Pactuado com o FNDE" totalsRowDxfId="220"/>
    <tableColumn id="45" name="Data da Última Vistoria do Estado ou Município" totalsRowDxfId="219"/>
    <tableColumn id="46" name="Situação da Vistoria" totalsRowDxfId="218"/>
    <tableColumn id="47" name="OBS" totalsRowDxfId="217"/>
    <tableColumn id="48" name="Total Pago" totalsRowDxfId="216"/>
    <tableColumn id="49" name="Percentual Pago" totalsRowDxfId="215"/>
    <tableColumn id="50" name="Banco" totalsRowDxfId="214"/>
    <tableColumn id="51" name="Agência" totalsRowDxfId="213"/>
    <tableColumn id="52" name="Conta" totalsRowDxfId="212"/>
    <tableColumn id="53" name="Data" totalsRowDxfId="211"/>
    <tableColumn id="54" name="Saldo da Conta" totalsRowDxfId="210"/>
    <tableColumn id="55" name="Saldo Fundos" totalsRowDxfId="209"/>
    <tableColumn id="56" name="Saldo da Poupança" totalsRowDxfId="208"/>
    <tableColumn id="57" name="Saldo CDB" totalsRowDxfId="207"/>
    <tableColumn id="58" name="Saldo TOTAL" totalsRowDxfId="206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ela232" displayName="Tabela232" ref="A2:CG138" totalsRowCount="1" headerRowDxfId="205" dataDxfId="204" totalsRowDxfId="203">
  <autoFilter ref="A2:CG137">
    <filterColumn colId="0"/>
    <filterColumn colId="10"/>
    <filterColumn colId="29"/>
    <filterColumn colId="30"/>
    <filterColumn colId="31"/>
    <filterColumn colId="32"/>
    <filterColumn colId="52"/>
  </autoFilter>
  <tableColumns count="85">
    <tableColumn id="1" name="Município" dataDxfId="202" totalsRowDxfId="201"/>
    <tableColumn id="2" name="UF" dataDxfId="200" totalsRowDxfId="199"/>
    <tableColumn id="57" name="OT" dataDxfId="198" totalsRowDxfId="197"/>
    <tableColumn id="3" name="ID obra" dataDxfId="196" totalsRowDxfId="195"/>
    <tableColumn id="4" name="Nome" dataDxfId="194" totalsRowDxfId="193"/>
    <tableColumn id="5" name="Local" dataDxfId="192" totalsRowDxfId="191"/>
    <tableColumn id="13" name="Ano do convênio" dataDxfId="190" totalsRowDxfId="189"/>
    <tableColumn id="6" name="Situação" totalsRowFunction="custom" dataDxfId="188" totalsRowDxfId="187">
      <totalsRowFormula>COUNTIF([Situação],"em andamento")</totalsRowFormula>
    </tableColumn>
    <tableColumn id="7" name="% Executado" totalsRowFunction="custom" dataDxfId="186" totalsRowDxfId="185">
      <totalsRowFormula>COUNTIF([% Executado],"=0")</totalsRowFormula>
    </tableColumn>
    <tableColumn id="8" name="Data Prevista de Conclusão" dataDxfId="184" totalsRowDxfId="183"/>
    <tableColumn id="9" name="Situação2" totalsRowFunction="custom" dataDxfId="182" totalsRowDxfId="181">
      <totalsRowFormula>COUNTIF([Situação2],"em andamento")</totalsRowFormula>
    </tableColumn>
    <tableColumn id="10" name="% Executado3" dataDxfId="180" totalsRowDxfId="179"/>
    <tableColumn id="11" name="Data Prevista de Conclusão4" dataDxfId="178" totalsRowDxfId="177"/>
    <tableColumn id="12" name="Obra não iniciada em Jun/2017" totalsRowFunction="custom" dataDxfId="176" totalsRowDxfId="175">
      <totalsRowFormula>SUM([Obra não iniciada em Jun/2017])</totalsRowFormula>
    </tableColumn>
    <tableColumn id="71" name="Divergência" totalsRowFunction="sum" dataDxfId="174" totalsRowDxfId="173">
      <calculatedColumnFormula>IF(Tabela232[[#This Row],[Situação2]]=Tabela232[[#This Row],[Situação]],0,1)</calculatedColumnFormula>
    </tableColumn>
    <tableColumn id="16" name="Situação3" totalsRowFunction="custom" dataDxfId="172" totalsRowDxfId="171">
      <totalsRowFormula>COUNTIF([Situação3],"em andamento")</totalsRowFormula>
    </tableColumn>
    <tableColumn id="17" name="% Executado9" totalsRowFunction="custom" dataDxfId="170" totalsRowDxfId="169">
      <totalsRowFormula>AVERAGE(Q3:Q116)</totalsRowFormula>
    </tableColumn>
    <tableColumn id="18" name="Data Prevista de Conclusão10" dataDxfId="168" totalsRowDxfId="167"/>
    <tableColumn id="19" name="Obra não iniciada em Mar/18" totalsRowFunction="sum" dataDxfId="166" totalsRowDxfId="165"/>
    <tableColumn id="14" name="Atraso médio" totalsRowFunction="custom" dataDxfId="164" totalsRowDxfId="163">
      <totalsRowFormula>AVERAGE(T4:T136)</totalsRowFormula>
    </tableColumn>
    <tableColumn id="58" name="Situação4" dataDxfId="162" totalsRowDxfId="161"/>
    <tableColumn id="59" name="% Executado93" dataDxfId="160" totalsRowDxfId="159"/>
    <tableColumn id="60" name="Data Prevista de Conclusão104" dataDxfId="158" totalsRowDxfId="157"/>
    <tableColumn id="61" name="Divergência2" totalsRowFunction="sum" dataDxfId="156" totalsRowDxfId="155"/>
    <tableColumn id="72" name="Terreno irregular" totalsRowFunction="sum" dataDxfId="154" totalsRowDxfId="153"/>
    <tableColumn id="73" name="MI" dataDxfId="152" totalsRowDxfId="151"/>
    <tableColumn id="79" name="Situação5" dataDxfId="150" totalsRowDxfId="149"/>
    <tableColumn id="80" name="% Executado933" dataDxfId="148" totalsRowDxfId="147"/>
    <tableColumn id="81" name="Data Prevista de Conclusão1044" dataDxfId="146" totalsRowDxfId="145"/>
    <tableColumn id="82" name="Info OS" dataDxfId="144" totalsRowDxfId="143">
      <calculatedColumnFormula>Tabela232[[#This Row],[Situação3]]</calculatedColumnFormula>
    </tableColumn>
    <tableColumn id="84" name="Situação22" dataDxfId="142" totalsRowDxfId="141" dataCellStyle="Dezimal"/>
    <tableColumn id="85" name="% Executado2" dataDxfId="140" totalsRowDxfId="139" dataCellStyle="Dezimal"/>
    <tableColumn id="86" name="Data Prevista de Conclusão2 mm/dd/aaaa" dataDxfId="138" totalsRowDxfId="137" dataCellStyle="Dezimal"/>
    <tableColumn id="74" name="TC" dataDxfId="136" totalsRowDxfId="135"/>
    <tableColumn id="20" name="Dados da licitação (anotações Bianca)" dataDxfId="134" totalsRowDxfId="133"/>
    <tableColumn id="25" name="Comentários" dataDxfId="132" totalsRowDxfId="131"/>
    <tableColumn id="15" name="Inconsistência no Simec" totalsRowFunction="custom" dataDxfId="130" totalsRowDxfId="129">
      <totalsRowFormula>COUNTIF([Inconsistência no Simec],"Sim")</totalsRowFormula>
    </tableColumn>
    <tableColumn id="21" name="SIMEC desatualizado" totalsRowFunction="custom" dataDxfId="128" totalsRowDxfId="127">
      <totalsRowFormula>COUNTIF([SIMEC desatualizado],"Sim")</totalsRowFormula>
    </tableColumn>
    <tableColumn id="26" name="Recurso recebido" dataDxfId="126" totalsRowDxfId="125"/>
    <tableColumn id="69" name="Valor já pago" dataDxfId="124" totalsRowDxfId="123">
      <calculatedColumnFormula>INDEX('Simec OT - 020718'!$AX$1:$AX$7,MATCH(Tabela232[[#This Row],[ID obra]],'Simec OT - 020718'!$A$1:$A$137,0))</calculatedColumnFormula>
    </tableColumn>
    <tableColumn id="22" name="Saldo da conta 07/2018" dataDxfId="122" totalsRowDxfId="121"/>
    <tableColumn id="75" name="formel" dataDxfId="120" totalsRowDxfId="119"/>
    <tableColumn id="76" name="formel2" dataDxfId="118" totalsRowDxfId="117"/>
    <tableColumn id="27" name="Saldo dividido" dataDxfId="116" totalsRowDxfId="115"/>
    <tableColumn id="77" name="Valor pago (corrente, ago2018)" dataDxfId="114" totalsRowDxfId="113">
      <calculatedColumnFormula>INDEX('[1]Total repassado por obra'!$D$2:$D$127,MATCH(Tabela232[[#This Row],[ID obra]],'[1]Total repassado por obra'!$B$2:$B$127,0))</calculatedColumnFormula>
    </tableColumn>
    <tableColumn id="78" name="Valor pago dividido" dataDxfId="112" totalsRowDxfId="111"/>
    <tableColumn id="28" name="Termo convênio" dataDxfId="110" totalsRowDxfId="109"/>
    <tableColumn id="29" name="Ano convênio" dataDxfId="108" totalsRowDxfId="107"/>
    <tableColumn id="30" name="Ano de início da obra" dataDxfId="106" totalsRowDxfId="105"/>
    <tableColumn id="31" name="Ano de entrega" dataDxfId="104" totalsRowDxfId="103"/>
    <tableColumn id="68" name="dif" dataDxfId="102" totalsRowDxfId="101"/>
    <tableColumn id="70" name="dif tempo" dataDxfId="100" totalsRowDxfId="99">
      <calculatedColumnFormula>Tabela232[[#This Row],[Duração final]]-Tabela232[[#This Row],[Duração prevista]]</calculatedColumnFormula>
    </tableColumn>
    <tableColumn id="32" name="Houve rescisão contratual?" dataDxfId="98" totalsRowDxfId="97"/>
    <tableColumn id="33" name="Empresa contratada" dataDxfId="96" totalsRowDxfId="95"/>
    <tableColumn id="34" name="Início" dataDxfId="94" totalsRowDxfId="93"/>
    <tableColumn id="35" name="Término inicial" dataDxfId="92" totalsRowDxfId="91"/>
    <tableColumn id="36" name="Término final" dataDxfId="90" totalsRowDxfId="89"/>
    <tableColumn id="37" name="Duração prevista" dataDxfId="88" totalsRowDxfId="87"/>
    <tableColumn id="38" name="Duração final" dataDxfId="86" totalsRowDxfId="85"/>
    <tableColumn id="39" name="Valor inicial" dataDxfId="84" totalsRowDxfId="83"/>
    <tableColumn id="40" name="Valor final" dataDxfId="82" totalsRowDxfId="81"/>
    <tableColumn id="41" name="Empresa" dataDxfId="80" totalsRowDxfId="79"/>
    <tableColumn id="42" name="Início13" dataDxfId="78" totalsRowDxfId="77"/>
    <tableColumn id="43" name="Término inicial14" dataDxfId="76" totalsRowDxfId="75"/>
    <tableColumn id="44" name="Término final15" dataDxfId="74" totalsRowDxfId="73"/>
    <tableColumn id="45" name="Duração prevista16" dataDxfId="72" totalsRowDxfId="71"/>
    <tableColumn id="46" name="Duração final17" dataDxfId="70" totalsRowDxfId="69"/>
    <tableColumn id="47" name="Valor inicial18" dataDxfId="68" totalsRowDxfId="67"/>
    <tableColumn id="48" name="Valor final19" dataDxfId="66" totalsRowDxfId="65"/>
    <tableColumn id="49" name="Empresa20" dataDxfId="64" totalsRowDxfId="63"/>
    <tableColumn id="50" name="Início21" dataDxfId="62" totalsRowDxfId="61"/>
    <tableColumn id="51" name="Término inicial22" dataDxfId="60" totalsRowDxfId="59"/>
    <tableColumn id="52" name="Término final23" dataDxfId="58" totalsRowDxfId="57"/>
    <tableColumn id="53" name="Duração prevista24" dataDxfId="56" totalsRowDxfId="55"/>
    <tableColumn id="54" name="Duração final25" dataDxfId="54" totalsRowDxfId="53"/>
    <tableColumn id="55" name="Valor inicial26" dataDxfId="52" totalsRowDxfId="51"/>
    <tableColumn id="56" name="Valor final27" dataDxfId="50" totalsRowDxfId="49"/>
    <tableColumn id="23" name="Valor final28" dataDxfId="48" totalsRowDxfId="47"/>
    <tableColumn id="24" name="Valor final29" dataDxfId="46" totalsRowDxfId="45"/>
    <tableColumn id="62" name="Valor final30" dataDxfId="44" totalsRowDxfId="43"/>
    <tableColumn id="63" name="Valor final31" dataDxfId="42" totalsRowDxfId="41"/>
    <tableColumn id="64" name="Valor final32" dataDxfId="40" totalsRowDxfId="39"/>
    <tableColumn id="65" name="Valor final33" dataDxfId="38" totalsRowDxfId="37"/>
    <tableColumn id="66" name="Valor final34" dataDxfId="36" totalsRowDxfId="35"/>
    <tableColumn id="67" name="Valor final35" dataDxfId="34" totalsRowDxfId="33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2:G24" totalsRowShown="0" headerRowDxfId="32" headerRowBorderDxfId="31">
  <autoFilter ref="B2:G24"/>
  <tableColumns count="6">
    <tableColumn id="1" name="Municipality" dataDxfId="30"/>
    <tableColumn id="2" name="State" dataDxfId="29"/>
    <tableColumn id="3" name="In construction" dataDxfId="28"/>
    <tableColumn id="4" name="Planning stage" dataDxfId="27"/>
    <tableColumn id="5" name="Abandoned" dataDxfId="26"/>
    <tableColumn id="6" name="Total" dataDxfId="2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27:I49" totalsRowShown="0" headerRowDxfId="24" dataDxfId="22" headerRowBorderDxfId="23">
  <autoFilter ref="B27:I49"/>
  <tableColumns count="8">
    <tableColumn id="1" name="Municipality" dataDxfId="21"/>
    <tableColumn id="2" name="State" dataDxfId="20"/>
    <tableColumn id="3" name="Completed" dataDxfId="19"/>
    <tableColumn id="4" name="In construction" dataDxfId="18"/>
    <tableColumn id="5" name="Planning stage" dataDxfId="17"/>
    <tableColumn id="6" name="Abandoned" dataDxfId="16"/>
    <tableColumn id="7" name="Missing" dataDxfId="15"/>
    <tableColumn id="8" name="Total" dataDxfId="1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B22:I157" totalsRowShown="0" headerRowDxfId="13" dataDxfId="11" headerRowBorderDxfId="12" tableBorderDxfId="10">
  <autoFilter ref="B22:I157"/>
  <tableColumns count="8">
    <tableColumn id="1" name="ID obra" dataDxfId="9"/>
    <tableColumn id="2" name="Nome" dataDxfId="8"/>
    <tableColumn id="4" name="Município" dataDxfId="7"/>
    <tableColumn id="5" name="UF" dataDxfId="6"/>
    <tableColumn id="6" name="Situação Junho/2017" dataDxfId="5"/>
    <tableColumn id="7" name="Situação Abril/2018" dataDxfId="4"/>
    <tableColumn id="8" name="Total repassado (valores correntes de agosto/2018)" dataDxfId="3"/>
    <tableColumn id="9" name="Terreno irregular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2"/>
  <sheetViews>
    <sheetView topLeftCell="AW64" zoomScale="80" zoomScaleNormal="80" workbookViewId="0">
      <selection activeCell="D96" sqref="D96"/>
    </sheetView>
  </sheetViews>
  <sheetFormatPr baseColWidth="10" defaultColWidth="10.90625" defaultRowHeight="14.5"/>
  <cols>
    <col min="1" max="1" width="13.26953125" style="31" customWidth="1"/>
    <col min="2" max="5" width="10.90625" style="31"/>
    <col min="6" max="6" width="11.08984375" style="31" customWidth="1"/>
    <col min="7" max="7" width="17" style="31" customWidth="1"/>
    <col min="8" max="8" width="11.36328125" style="31" customWidth="1"/>
    <col min="9" max="10" width="10.90625" style="31"/>
    <col min="11" max="11" width="12.453125" style="31" customWidth="1"/>
    <col min="12" max="12" width="10.90625" style="31"/>
    <col min="13" max="13" width="16.90625" style="31" customWidth="1"/>
    <col min="14" max="14" width="17.26953125" style="31" bestFit="1" customWidth="1"/>
    <col min="15" max="15" width="11.7265625" style="31" customWidth="1"/>
    <col min="16" max="16" width="9.36328125" style="31" customWidth="1"/>
    <col min="17" max="17" width="9.90625" style="31" customWidth="1"/>
    <col min="18" max="18" width="12.7265625" style="31" customWidth="1"/>
    <col min="19" max="19" width="15.81640625" style="31" customWidth="1"/>
    <col min="20" max="20" width="13.6328125" style="31" customWidth="1"/>
    <col min="21" max="21" width="20.453125" style="31" customWidth="1"/>
    <col min="22" max="22" width="24.6328125" style="31" customWidth="1"/>
    <col min="23" max="23" width="22.08984375" style="31" customWidth="1"/>
    <col min="24" max="24" width="10.90625" style="31"/>
    <col min="25" max="25" width="17.81640625" style="31" customWidth="1"/>
    <col min="26" max="26" width="18.26953125" style="31" customWidth="1"/>
    <col min="27" max="27" width="13" style="31" customWidth="1"/>
    <col min="28" max="29" width="10.90625" style="31"/>
    <col min="30" max="30" width="18.81640625" style="31" customWidth="1"/>
    <col min="31" max="31" width="10.90625" style="31"/>
    <col min="32" max="32" width="13.90625" style="31" customWidth="1"/>
    <col min="33" max="33" width="20.36328125" style="31" customWidth="1"/>
    <col min="34" max="34" width="22.6328125" style="31" customWidth="1"/>
    <col min="35" max="35" width="17.54296875" style="31" customWidth="1"/>
    <col min="36" max="36" width="15.81640625" style="31" customWidth="1"/>
    <col min="37" max="37" width="12.90625" style="31" customWidth="1"/>
    <col min="38" max="38" width="19" style="31" customWidth="1"/>
    <col min="39" max="39" width="23" style="31" customWidth="1"/>
    <col min="40" max="40" width="19.81640625" style="31" customWidth="1"/>
    <col min="41" max="41" width="24.453125" style="31" customWidth="1"/>
    <col min="42" max="42" width="20.08984375" style="31" customWidth="1"/>
    <col min="43" max="43" width="29.36328125" style="31" customWidth="1"/>
    <col min="44" max="44" width="17.453125" style="31" customWidth="1"/>
    <col min="45" max="45" width="27.453125" style="31" customWidth="1"/>
    <col min="46" max="46" width="17.90625" style="31" customWidth="1"/>
    <col min="47" max="47" width="26.08984375" style="31" customWidth="1"/>
    <col min="48" max="48" width="42.453125" style="31" customWidth="1"/>
    <col min="49" max="49" width="19.36328125" style="31" customWidth="1"/>
    <col min="50" max="50" width="10.90625" style="31"/>
    <col min="51" max="51" width="11.6328125" style="31" customWidth="1"/>
    <col min="52" max="52" width="16.36328125" style="31" customWidth="1"/>
    <col min="53" max="56" width="10.90625" style="31"/>
    <col min="57" max="57" width="15.36328125" style="31" customWidth="1"/>
    <col min="58" max="58" width="13.90625" style="31" customWidth="1"/>
    <col min="59" max="59" width="18.6328125" style="31" customWidth="1"/>
    <col min="60" max="60" width="11.26953125" style="31" customWidth="1"/>
    <col min="61" max="61" width="13.1796875" style="31" customWidth="1"/>
    <col min="62" max="16384" width="10.90625" style="31"/>
  </cols>
  <sheetData>
    <row r="1" spans="1:62">
      <c r="A1" s="49" t="s">
        <v>348</v>
      </c>
      <c r="C1" s="50">
        <v>42858</v>
      </c>
    </row>
    <row r="3" spans="1:62" ht="15" thickBot="1">
      <c r="A3" s="51" t="s">
        <v>349</v>
      </c>
      <c r="B3" s="52" t="s">
        <v>350</v>
      </c>
      <c r="C3" s="52" t="s">
        <v>8</v>
      </c>
      <c r="D3" s="52" t="s">
        <v>10</v>
      </c>
      <c r="E3" s="52" t="s">
        <v>13</v>
      </c>
      <c r="F3" s="52" t="s">
        <v>351</v>
      </c>
      <c r="G3" s="52" t="s">
        <v>352</v>
      </c>
      <c r="H3" s="51" t="s">
        <v>353</v>
      </c>
      <c r="I3" s="52" t="s">
        <v>5</v>
      </c>
      <c r="J3" s="52" t="s">
        <v>6</v>
      </c>
      <c r="K3" s="52" t="s">
        <v>354</v>
      </c>
      <c r="L3" s="52" t="s">
        <v>355</v>
      </c>
      <c r="M3" s="52" t="s">
        <v>356</v>
      </c>
      <c r="N3" s="52" t="s">
        <v>357</v>
      </c>
      <c r="O3" s="52" t="s">
        <v>358</v>
      </c>
      <c r="P3" s="52" t="s">
        <v>359</v>
      </c>
      <c r="Q3" s="52" t="s">
        <v>360</v>
      </c>
      <c r="R3" s="52" t="s">
        <v>361</v>
      </c>
      <c r="S3" s="52" t="s">
        <v>362</v>
      </c>
      <c r="T3" s="52" t="s">
        <v>363</v>
      </c>
      <c r="U3" s="52" t="s">
        <v>364</v>
      </c>
      <c r="V3" s="52" t="s">
        <v>365</v>
      </c>
      <c r="W3" s="52" t="s">
        <v>366</v>
      </c>
      <c r="X3" s="52" t="s">
        <v>367</v>
      </c>
      <c r="Y3" s="52" t="s">
        <v>368</v>
      </c>
      <c r="Z3" s="52" t="s">
        <v>369</v>
      </c>
      <c r="AA3" s="52" t="s">
        <v>370</v>
      </c>
      <c r="AB3" s="52" t="s">
        <v>371</v>
      </c>
      <c r="AC3" s="52" t="s">
        <v>372</v>
      </c>
      <c r="AD3" s="52" t="s">
        <v>373</v>
      </c>
      <c r="AE3" s="52" t="s">
        <v>374</v>
      </c>
      <c r="AF3" s="52" t="s">
        <v>375</v>
      </c>
      <c r="AG3" s="52" t="s">
        <v>376</v>
      </c>
      <c r="AH3" s="52" t="s">
        <v>377</v>
      </c>
      <c r="AI3" s="52" t="s">
        <v>378</v>
      </c>
      <c r="AJ3" s="52" t="s">
        <v>379</v>
      </c>
      <c r="AK3" s="52" t="s">
        <v>380</v>
      </c>
      <c r="AL3" s="52" t="s">
        <v>381</v>
      </c>
      <c r="AM3" s="52" t="s">
        <v>382</v>
      </c>
      <c r="AN3" s="52" t="s">
        <v>383</v>
      </c>
      <c r="AO3" s="52" t="s">
        <v>384</v>
      </c>
      <c r="AP3" s="52" t="s">
        <v>385</v>
      </c>
      <c r="AQ3" s="52" t="s">
        <v>386</v>
      </c>
      <c r="AR3" s="52" t="s">
        <v>387</v>
      </c>
      <c r="AS3" s="52" t="s">
        <v>388</v>
      </c>
      <c r="AT3" s="52" t="s">
        <v>389</v>
      </c>
      <c r="AU3" s="52" t="s">
        <v>390</v>
      </c>
      <c r="AV3" s="52" t="s">
        <v>391</v>
      </c>
      <c r="AW3" s="52" t="s">
        <v>392</v>
      </c>
      <c r="AX3" s="52" t="s">
        <v>393</v>
      </c>
      <c r="AY3" s="52" t="s">
        <v>394</v>
      </c>
      <c r="AZ3" s="52" t="s">
        <v>395</v>
      </c>
      <c r="BA3" s="52" t="s">
        <v>396</v>
      </c>
      <c r="BB3" s="52" t="s">
        <v>397</v>
      </c>
      <c r="BC3" s="52" t="s">
        <v>398</v>
      </c>
      <c r="BD3" s="52" t="s">
        <v>399</v>
      </c>
      <c r="BE3" s="52" t="s">
        <v>400</v>
      </c>
      <c r="BF3" s="52" t="s">
        <v>401</v>
      </c>
      <c r="BG3" s="52" t="s">
        <v>402</v>
      </c>
      <c r="BH3" s="52" t="s">
        <v>403</v>
      </c>
      <c r="BI3" s="52" t="s">
        <v>404</v>
      </c>
      <c r="BJ3" s="52" t="s">
        <v>405</v>
      </c>
    </row>
    <row r="4" spans="1:62">
      <c r="A4" s="24" t="s">
        <v>60</v>
      </c>
      <c r="B4" s="31">
        <v>25351</v>
      </c>
      <c r="C4" s="31" t="s">
        <v>56</v>
      </c>
      <c r="D4" s="31" t="s">
        <v>22</v>
      </c>
      <c r="E4" s="31" t="s">
        <v>64</v>
      </c>
      <c r="F4" s="24" t="str">
        <f>IF(Tabela1[[#This Row],[Data Prevista de Conclusão da Obra]]&lt;$C$1,"Atrasada","-")</f>
        <v>-</v>
      </c>
      <c r="G4" s="53" t="s">
        <v>58</v>
      </c>
      <c r="H4" s="24">
        <f>IF(Tabela1[[#This Row],[Levant OS - Jun/17]]=Tabela1[[#This Row],[Situação2]],0,1)</f>
        <v>1</v>
      </c>
      <c r="I4" s="31" t="s">
        <v>54</v>
      </c>
      <c r="J4" s="31" t="s">
        <v>55</v>
      </c>
      <c r="K4" s="31">
        <v>83704515</v>
      </c>
      <c r="L4" s="31" t="s">
        <v>406</v>
      </c>
      <c r="M4" s="31" t="s">
        <v>57</v>
      </c>
      <c r="N4" s="31" t="s">
        <v>61</v>
      </c>
      <c r="O4" s="31" t="s">
        <v>407</v>
      </c>
      <c r="P4" s="31" t="s">
        <v>408</v>
      </c>
      <c r="Q4" s="31">
        <v>0</v>
      </c>
      <c r="R4" s="24" t="s">
        <v>59</v>
      </c>
      <c r="S4" s="31" t="s">
        <v>409</v>
      </c>
      <c r="T4" s="31" t="s">
        <v>410</v>
      </c>
      <c r="U4" s="31" t="s">
        <v>290</v>
      </c>
      <c r="V4" s="31" t="s">
        <v>411</v>
      </c>
      <c r="W4" s="31">
        <v>1267584.72</v>
      </c>
      <c r="X4" s="31" t="s">
        <v>412</v>
      </c>
      <c r="Y4" s="31">
        <v>76105535000199</v>
      </c>
      <c r="Z4" s="31" t="s">
        <v>413</v>
      </c>
      <c r="AA4" s="31" t="s">
        <v>414</v>
      </c>
      <c r="AB4" s="31" t="s">
        <v>415</v>
      </c>
      <c r="AC4" s="31" t="s">
        <v>416</v>
      </c>
      <c r="AD4" s="31" t="s">
        <v>417</v>
      </c>
      <c r="AE4" s="31" t="s">
        <v>418</v>
      </c>
      <c r="AF4" s="31" t="s">
        <v>419</v>
      </c>
      <c r="AG4" s="31">
        <v>83702080</v>
      </c>
      <c r="AH4" s="31" t="s">
        <v>420</v>
      </c>
      <c r="AJ4" s="31">
        <v>111</v>
      </c>
      <c r="AK4" s="31" t="s">
        <v>421</v>
      </c>
      <c r="AM4" s="31" t="s">
        <v>54</v>
      </c>
      <c r="AU4" s="31">
        <v>0</v>
      </c>
      <c r="AV4" s="31">
        <v>1267584.72</v>
      </c>
      <c r="AZ4" s="31">
        <v>133353.57999999999</v>
      </c>
      <c r="BA4" s="54">
        <v>10.52028934</v>
      </c>
      <c r="BB4" s="31">
        <v>1</v>
      </c>
      <c r="BC4" s="31">
        <v>1467</v>
      </c>
      <c r="BD4" s="31">
        <v>433101</v>
      </c>
      <c r="BE4" s="31" t="s">
        <v>422</v>
      </c>
      <c r="BF4" s="31">
        <v>0</v>
      </c>
      <c r="BG4" s="31">
        <v>0</v>
      </c>
      <c r="BH4" s="31">
        <v>783106.9</v>
      </c>
      <c r="BI4" s="31">
        <v>0</v>
      </c>
      <c r="BJ4" s="31">
        <v>783106.9</v>
      </c>
    </row>
    <row r="5" spans="1:62">
      <c r="A5" s="24" t="s">
        <v>60</v>
      </c>
      <c r="B5" s="31">
        <v>25352</v>
      </c>
      <c r="C5" s="31" t="s">
        <v>62</v>
      </c>
      <c r="D5" s="31" t="s">
        <v>22</v>
      </c>
      <c r="E5" s="31" t="s">
        <v>64</v>
      </c>
      <c r="F5" s="24" t="str">
        <f>IF(Tabela1[[#This Row],[Data Prevista de Conclusão da Obra]]&lt;$C$1,"Atrasada","-")</f>
        <v>-</v>
      </c>
      <c r="G5" s="53" t="s">
        <v>64</v>
      </c>
      <c r="H5" s="24">
        <f>IF(Tabela1[[#This Row],[Levant OS - Jun/17]]=Tabela1[[#This Row],[Situação2]],0,1)</f>
        <v>0</v>
      </c>
      <c r="I5" s="31" t="s">
        <v>54</v>
      </c>
      <c r="J5" s="31" t="s">
        <v>55</v>
      </c>
      <c r="K5" s="31">
        <v>83709310</v>
      </c>
      <c r="L5" s="31" t="s">
        <v>423</v>
      </c>
      <c r="M5" s="31" t="s">
        <v>63</v>
      </c>
      <c r="N5" s="31" t="s">
        <v>61</v>
      </c>
      <c r="O5" s="31" t="s">
        <v>407</v>
      </c>
      <c r="P5" s="31" t="s">
        <v>408</v>
      </c>
      <c r="Q5" s="31">
        <v>0</v>
      </c>
      <c r="R5" s="24" t="s">
        <v>59</v>
      </c>
      <c r="S5" s="31" t="s">
        <v>409</v>
      </c>
      <c r="T5" s="31" t="s">
        <v>424</v>
      </c>
      <c r="U5" s="31" t="s">
        <v>290</v>
      </c>
      <c r="V5" s="31" t="s">
        <v>411</v>
      </c>
      <c r="W5" s="31">
        <v>1927667.98</v>
      </c>
      <c r="X5" s="31" t="s">
        <v>412</v>
      </c>
      <c r="Y5" s="31">
        <v>76105535000199</v>
      </c>
      <c r="Z5" s="31" t="s">
        <v>413</v>
      </c>
      <c r="AA5" s="31" t="s">
        <v>414</v>
      </c>
      <c r="AB5" s="31" t="s">
        <v>415</v>
      </c>
      <c r="AC5" s="31" t="s">
        <v>416</v>
      </c>
      <c r="AD5" s="31" t="s">
        <v>417</v>
      </c>
      <c r="AE5" s="31" t="s">
        <v>418</v>
      </c>
      <c r="AF5" s="31" t="s">
        <v>419</v>
      </c>
      <c r="AG5" s="31">
        <v>83702080</v>
      </c>
      <c r="AH5" s="31" t="s">
        <v>420</v>
      </c>
      <c r="AJ5" s="31">
        <v>111</v>
      </c>
      <c r="AK5" s="31" t="s">
        <v>421</v>
      </c>
      <c r="AM5" s="31" t="s">
        <v>54</v>
      </c>
      <c r="AR5" s="31" t="s">
        <v>425</v>
      </c>
      <c r="AU5" s="31">
        <v>0</v>
      </c>
      <c r="AV5" s="31">
        <v>1927667.98</v>
      </c>
      <c r="AZ5" s="31">
        <v>289979.11</v>
      </c>
      <c r="BA5" s="54">
        <v>15.043000859999999</v>
      </c>
      <c r="BB5" s="31">
        <v>1</v>
      </c>
      <c r="BC5" s="31">
        <v>1467</v>
      </c>
      <c r="BD5" s="31">
        <v>433101</v>
      </c>
      <c r="BE5" s="31" t="s">
        <v>422</v>
      </c>
      <c r="BF5" s="31">
        <v>0</v>
      </c>
      <c r="BG5" s="31">
        <v>0</v>
      </c>
      <c r="BH5" s="31">
        <v>783106.9</v>
      </c>
      <c r="BI5" s="31">
        <v>0</v>
      </c>
      <c r="BJ5" s="31">
        <v>783106.9</v>
      </c>
    </row>
    <row r="6" spans="1:62">
      <c r="A6" s="24" t="s">
        <v>60</v>
      </c>
      <c r="B6" s="31">
        <v>25353</v>
      </c>
      <c r="C6" s="31" t="s">
        <v>65</v>
      </c>
      <c r="D6" s="31" t="s">
        <v>22</v>
      </c>
      <c r="E6" s="31" t="s">
        <v>67</v>
      </c>
      <c r="F6" s="24" t="str">
        <f>IF(Tabela1[[#This Row],[Data Prevista de Conclusão da Obra]]&lt;$C$1,"Atrasada","-")</f>
        <v>Atrasada</v>
      </c>
      <c r="G6" s="53" t="s">
        <v>67</v>
      </c>
      <c r="H6" s="24">
        <f>IF(Tabela1[[#This Row],[Levant OS - Jun/17]]=Tabela1[[#This Row],[Situação2]],0,1)</f>
        <v>0</v>
      </c>
      <c r="I6" s="31" t="s">
        <v>54</v>
      </c>
      <c r="J6" s="31" t="s">
        <v>55</v>
      </c>
      <c r="K6" s="31">
        <v>83706070</v>
      </c>
      <c r="L6" s="31" t="s">
        <v>426</v>
      </c>
      <c r="M6" s="31" t="s">
        <v>81</v>
      </c>
      <c r="N6" s="31" t="s">
        <v>61</v>
      </c>
      <c r="O6" s="31" t="s">
        <v>407</v>
      </c>
      <c r="P6" s="31" t="s">
        <v>408</v>
      </c>
      <c r="Q6" s="31">
        <v>2.0299999999999998</v>
      </c>
      <c r="R6" s="50">
        <v>42313</v>
      </c>
      <c r="S6" s="31" t="s">
        <v>409</v>
      </c>
      <c r="T6" s="31" t="s">
        <v>424</v>
      </c>
      <c r="U6" s="31" t="s">
        <v>290</v>
      </c>
      <c r="V6" s="31" t="s">
        <v>411</v>
      </c>
      <c r="W6" s="31">
        <v>1927667.98</v>
      </c>
      <c r="X6" s="31" t="s">
        <v>412</v>
      </c>
      <c r="Y6" s="31">
        <v>76105535000199</v>
      </c>
      <c r="Z6" s="31" t="s">
        <v>413</v>
      </c>
      <c r="AA6" s="31" t="s">
        <v>414</v>
      </c>
      <c r="AB6" s="31" t="s">
        <v>415</v>
      </c>
      <c r="AC6" s="31" t="s">
        <v>416</v>
      </c>
      <c r="AD6" s="31" t="s">
        <v>417</v>
      </c>
      <c r="AE6" s="31" t="s">
        <v>418</v>
      </c>
      <c r="AF6" s="31" t="s">
        <v>419</v>
      </c>
      <c r="AG6" s="31">
        <v>83702080</v>
      </c>
      <c r="AH6" s="31" t="s">
        <v>420</v>
      </c>
      <c r="AJ6" s="31">
        <v>111</v>
      </c>
      <c r="AK6" s="31" t="s">
        <v>421</v>
      </c>
      <c r="AM6" s="31" t="s">
        <v>54</v>
      </c>
      <c r="AN6" s="31" t="s">
        <v>427</v>
      </c>
      <c r="AO6" s="31">
        <v>112016</v>
      </c>
      <c r="AP6" s="55">
        <v>42466</v>
      </c>
      <c r="AR6" s="31" t="s">
        <v>425</v>
      </c>
      <c r="AU6" s="31">
        <v>0</v>
      </c>
      <c r="AV6" s="31">
        <v>1927667.98</v>
      </c>
      <c r="AW6" s="31" t="s">
        <v>428</v>
      </c>
      <c r="AX6" s="31" t="s">
        <v>429</v>
      </c>
      <c r="AY6" s="31" t="s">
        <v>430</v>
      </c>
      <c r="AZ6" s="31">
        <v>289979.11</v>
      </c>
      <c r="BA6" s="54">
        <v>15.043000859999999</v>
      </c>
      <c r="BB6" s="31">
        <v>1</v>
      </c>
      <c r="BC6" s="31">
        <v>1467</v>
      </c>
      <c r="BD6" s="31">
        <v>433101</v>
      </c>
      <c r="BE6" s="31" t="s">
        <v>422</v>
      </c>
      <c r="BF6" s="31">
        <v>0</v>
      </c>
      <c r="BG6" s="31">
        <v>0</v>
      </c>
      <c r="BH6" s="31">
        <v>783106.9</v>
      </c>
      <c r="BI6" s="31">
        <v>0</v>
      </c>
      <c r="BJ6" s="31">
        <v>783106.9</v>
      </c>
    </row>
    <row r="7" spans="1:62">
      <c r="A7" s="24" t="s">
        <v>60</v>
      </c>
      <c r="B7" s="31">
        <v>33214</v>
      </c>
      <c r="C7" s="31" t="s">
        <v>68</v>
      </c>
      <c r="D7" s="31" t="s">
        <v>22</v>
      </c>
      <c r="E7" s="31" t="s">
        <v>64</v>
      </c>
      <c r="F7" s="24" t="str">
        <f>IF(Tabela1[[#This Row],[Data Prevista de Conclusão da Obra]]&lt;$C$1,"Atrasada","-")</f>
        <v>-</v>
      </c>
      <c r="G7" s="53" t="s">
        <v>64</v>
      </c>
      <c r="H7" s="24">
        <f>IF(Tabela1[[#This Row],[Levant OS - Jun/17]]=Tabela1[[#This Row],[Situação2]],0,1)</f>
        <v>0</v>
      </c>
      <c r="I7" s="31" t="s">
        <v>54</v>
      </c>
      <c r="J7" s="31" t="s">
        <v>55</v>
      </c>
      <c r="K7" s="31">
        <v>83705450</v>
      </c>
      <c r="L7" s="31" t="s">
        <v>431</v>
      </c>
      <c r="M7" s="31" t="s">
        <v>81</v>
      </c>
      <c r="N7" s="31" t="s">
        <v>70</v>
      </c>
      <c r="O7" s="50">
        <v>42987</v>
      </c>
      <c r="P7" s="31" t="s">
        <v>408</v>
      </c>
      <c r="Q7" s="31">
        <v>0</v>
      </c>
      <c r="R7" s="24" t="s">
        <v>59</v>
      </c>
      <c r="S7" s="31" t="s">
        <v>409</v>
      </c>
      <c r="T7" s="31" t="s">
        <v>424</v>
      </c>
      <c r="U7" s="31" t="s">
        <v>290</v>
      </c>
      <c r="V7" s="31" t="s">
        <v>411</v>
      </c>
      <c r="W7" s="31">
        <v>1927667.98</v>
      </c>
      <c r="X7" s="31" t="s">
        <v>412</v>
      </c>
      <c r="Y7" s="31">
        <v>76105535000199</v>
      </c>
      <c r="Z7" s="31" t="s">
        <v>413</v>
      </c>
      <c r="AA7" s="31" t="s">
        <v>414</v>
      </c>
      <c r="AB7" s="31" t="s">
        <v>415</v>
      </c>
      <c r="AC7" s="31" t="s">
        <v>416</v>
      </c>
      <c r="AD7" s="31" t="s">
        <v>417</v>
      </c>
      <c r="AE7" s="31" t="s">
        <v>418</v>
      </c>
      <c r="AF7" s="31" t="s">
        <v>419</v>
      </c>
      <c r="AG7" s="31">
        <v>83702080</v>
      </c>
      <c r="AH7" s="31" t="s">
        <v>420</v>
      </c>
      <c r="AJ7" s="31">
        <v>111</v>
      </c>
      <c r="AK7" s="31" t="s">
        <v>421</v>
      </c>
      <c r="AM7" s="31" t="s">
        <v>54</v>
      </c>
      <c r="AR7" s="31" t="s">
        <v>432</v>
      </c>
      <c r="AU7" s="31">
        <v>0</v>
      </c>
      <c r="AV7" s="31">
        <v>1927667.98</v>
      </c>
      <c r="AZ7" s="31">
        <v>374180.39</v>
      </c>
      <c r="BA7" s="54">
        <v>19.411039389999999</v>
      </c>
      <c r="BB7" s="31">
        <v>1</v>
      </c>
      <c r="BC7" s="31">
        <v>1467</v>
      </c>
      <c r="BD7" s="31">
        <v>576948</v>
      </c>
      <c r="BE7" s="31" t="s">
        <v>422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</row>
    <row r="8" spans="1:62">
      <c r="A8" s="24" t="s">
        <v>60</v>
      </c>
      <c r="B8" s="31">
        <v>33215</v>
      </c>
      <c r="C8" s="31" t="s">
        <v>71</v>
      </c>
      <c r="D8" s="31" t="s">
        <v>22</v>
      </c>
      <c r="E8" s="31" t="s">
        <v>64</v>
      </c>
      <c r="F8" s="24" t="str">
        <f>IF(Tabela1[[#This Row],[Data Prevista de Conclusão da Obra]]&lt;$C$1,"Atrasada","-")</f>
        <v>-</v>
      </c>
      <c r="G8" s="53" t="s">
        <v>64</v>
      </c>
      <c r="H8" s="24">
        <f>IF(Tabela1[[#This Row],[Levant OS - Jun/17]]=Tabela1[[#This Row],[Situação2]],0,1)</f>
        <v>0</v>
      </c>
      <c r="I8" s="31" t="s">
        <v>54</v>
      </c>
      <c r="J8" s="31" t="s">
        <v>55</v>
      </c>
      <c r="K8" s="31">
        <v>83703094</v>
      </c>
      <c r="L8" s="31" t="s">
        <v>433</v>
      </c>
      <c r="M8" s="31" t="s">
        <v>434</v>
      </c>
      <c r="N8" s="31" t="s">
        <v>70</v>
      </c>
      <c r="O8" s="50">
        <v>42987</v>
      </c>
      <c r="P8" s="31" t="s">
        <v>408</v>
      </c>
      <c r="Q8" s="31">
        <v>0</v>
      </c>
      <c r="R8" s="24" t="s">
        <v>59</v>
      </c>
      <c r="S8" s="31" t="s">
        <v>409</v>
      </c>
      <c r="T8" s="31" t="s">
        <v>424</v>
      </c>
      <c r="U8" s="31" t="s">
        <v>290</v>
      </c>
      <c r="V8" s="31" t="s">
        <v>411</v>
      </c>
      <c r="W8" s="31">
        <v>1927667.98</v>
      </c>
      <c r="X8" s="31" t="s">
        <v>412</v>
      </c>
      <c r="Y8" s="31">
        <v>76105535000199</v>
      </c>
      <c r="Z8" s="31" t="s">
        <v>413</v>
      </c>
      <c r="AA8" s="31" t="s">
        <v>414</v>
      </c>
      <c r="AB8" s="31" t="s">
        <v>415</v>
      </c>
      <c r="AC8" s="31" t="s">
        <v>416</v>
      </c>
      <c r="AD8" s="31" t="s">
        <v>417</v>
      </c>
      <c r="AE8" s="31" t="s">
        <v>418</v>
      </c>
      <c r="AF8" s="31" t="s">
        <v>419</v>
      </c>
      <c r="AG8" s="31">
        <v>83702080</v>
      </c>
      <c r="AH8" s="31" t="s">
        <v>420</v>
      </c>
      <c r="AJ8" s="31">
        <v>111</v>
      </c>
      <c r="AK8" s="31" t="s">
        <v>421</v>
      </c>
      <c r="AM8" s="31" t="s">
        <v>54</v>
      </c>
      <c r="AN8" s="31" t="s">
        <v>427</v>
      </c>
      <c r="AO8" s="31">
        <v>112016</v>
      </c>
      <c r="AP8" s="55">
        <v>42467</v>
      </c>
      <c r="AR8" s="31" t="s">
        <v>432</v>
      </c>
      <c r="AU8" s="31">
        <v>0</v>
      </c>
      <c r="AV8" s="31">
        <v>1927667.98</v>
      </c>
      <c r="AZ8" s="31">
        <v>373444.64</v>
      </c>
      <c r="BA8" s="54">
        <v>19.37287151</v>
      </c>
      <c r="BB8" s="31">
        <v>1</v>
      </c>
      <c r="BC8" s="31">
        <v>1467</v>
      </c>
      <c r="BD8" s="31">
        <v>576948</v>
      </c>
      <c r="BE8" s="31" t="s">
        <v>422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</row>
    <row r="9" spans="1:62">
      <c r="A9" s="24" t="s">
        <v>60</v>
      </c>
      <c r="B9" s="31">
        <v>1003823</v>
      </c>
      <c r="C9" s="31" t="s">
        <v>73</v>
      </c>
      <c r="D9" s="31" t="s">
        <v>22</v>
      </c>
      <c r="E9" s="31" t="s">
        <v>64</v>
      </c>
      <c r="F9" s="24" t="str">
        <f>IF(Tabela1[[#This Row],[Data Prevista de Conclusão da Obra]]&lt;$C$1,"Atrasada","-")</f>
        <v>-</v>
      </c>
      <c r="G9" s="53" t="s">
        <v>58</v>
      </c>
      <c r="H9" s="24">
        <f>IF(Tabela1[[#This Row],[Levant OS - Jun/17]]=Tabela1[[#This Row],[Situação2]],0,1)</f>
        <v>1</v>
      </c>
      <c r="I9" s="31" t="s">
        <v>54</v>
      </c>
      <c r="J9" s="31" t="s">
        <v>55</v>
      </c>
      <c r="K9" s="31">
        <v>83709150</v>
      </c>
      <c r="L9" s="31" t="s">
        <v>435</v>
      </c>
      <c r="M9" s="31" t="s">
        <v>436</v>
      </c>
      <c r="N9" s="31" t="s">
        <v>75</v>
      </c>
      <c r="O9" s="31" t="s">
        <v>437</v>
      </c>
      <c r="P9" s="31" t="s">
        <v>408</v>
      </c>
      <c r="Q9" s="31">
        <v>0</v>
      </c>
      <c r="R9" s="24" t="s">
        <v>59</v>
      </c>
      <c r="S9" s="31" t="s">
        <v>409</v>
      </c>
      <c r="T9" s="31" t="s">
        <v>424</v>
      </c>
      <c r="U9" s="31" t="s">
        <v>290</v>
      </c>
      <c r="V9" s="31" t="s">
        <v>411</v>
      </c>
      <c r="W9" s="31">
        <v>1927667.98</v>
      </c>
      <c r="X9" s="31" t="s">
        <v>412</v>
      </c>
      <c r="Y9" s="31">
        <v>76105535000199</v>
      </c>
      <c r="Z9" s="31" t="s">
        <v>413</v>
      </c>
      <c r="AA9" s="31" t="s">
        <v>414</v>
      </c>
      <c r="AB9" s="31" t="s">
        <v>415</v>
      </c>
      <c r="AC9" s="31" t="s">
        <v>416</v>
      </c>
      <c r="AD9" s="31" t="s">
        <v>417</v>
      </c>
      <c r="AE9" s="31" t="s">
        <v>418</v>
      </c>
      <c r="AF9" s="31" t="s">
        <v>419</v>
      </c>
      <c r="AG9" s="31">
        <v>83702080</v>
      </c>
      <c r="AH9" s="31" t="s">
        <v>420</v>
      </c>
      <c r="AJ9" s="31">
        <v>111</v>
      </c>
      <c r="AK9" s="31" t="s">
        <v>421</v>
      </c>
      <c r="AM9" s="31" t="s">
        <v>54</v>
      </c>
      <c r="AN9" s="31" t="s">
        <v>427</v>
      </c>
      <c r="AO9" s="31">
        <v>112016</v>
      </c>
      <c r="AP9" s="55">
        <v>42467</v>
      </c>
      <c r="AR9" s="31" t="s">
        <v>432</v>
      </c>
      <c r="AV9" s="31">
        <v>1927667.98</v>
      </c>
      <c r="AZ9" s="31">
        <v>374180.39</v>
      </c>
      <c r="BA9" s="54">
        <v>19.411039389999999</v>
      </c>
      <c r="BB9" s="31">
        <v>1</v>
      </c>
      <c r="BC9" s="31">
        <v>1467</v>
      </c>
      <c r="BD9" s="31">
        <v>480487</v>
      </c>
      <c r="BE9" s="31" t="s">
        <v>422</v>
      </c>
      <c r="BF9" s="31">
        <v>0</v>
      </c>
      <c r="BG9" s="31">
        <v>244270.09</v>
      </c>
      <c r="BH9" s="31">
        <v>0</v>
      </c>
      <c r="BI9" s="31">
        <v>0</v>
      </c>
      <c r="BJ9" s="31">
        <v>244270.09</v>
      </c>
    </row>
    <row r="10" spans="1:62">
      <c r="A10" s="24" t="s">
        <v>60</v>
      </c>
      <c r="B10" s="31">
        <v>1012813</v>
      </c>
      <c r="C10" s="31" t="s">
        <v>76</v>
      </c>
      <c r="D10" s="31" t="s">
        <v>22</v>
      </c>
      <c r="E10" s="31" t="s">
        <v>64</v>
      </c>
      <c r="F10" s="24" t="str">
        <f>IF(Tabela1[[#This Row],[Data Prevista de Conclusão da Obra]]&lt;$C$1,"Atrasada","-")</f>
        <v>-</v>
      </c>
      <c r="G10" s="53" t="s">
        <v>64</v>
      </c>
      <c r="H10" s="24">
        <f>IF(Tabela1[[#This Row],[Levant OS - Jun/17]]=Tabela1[[#This Row],[Situação2]],0,1)</f>
        <v>0</v>
      </c>
      <c r="I10" s="31" t="s">
        <v>54</v>
      </c>
      <c r="J10" s="31" t="s">
        <v>55</v>
      </c>
      <c r="K10" s="31">
        <v>83701450</v>
      </c>
      <c r="L10" s="31" t="s">
        <v>438</v>
      </c>
      <c r="M10" s="31" t="s">
        <v>77</v>
      </c>
      <c r="N10" s="31" t="s">
        <v>79</v>
      </c>
      <c r="O10" s="31" t="s">
        <v>439</v>
      </c>
      <c r="P10" s="31" t="s">
        <v>408</v>
      </c>
      <c r="Q10" s="31">
        <v>0</v>
      </c>
      <c r="R10" s="24" t="s">
        <v>59</v>
      </c>
      <c r="S10" s="31" t="s">
        <v>409</v>
      </c>
      <c r="T10" s="31" t="s">
        <v>424</v>
      </c>
      <c r="U10" s="31" t="s">
        <v>290</v>
      </c>
      <c r="V10" s="31" t="s">
        <v>411</v>
      </c>
      <c r="W10" s="31">
        <v>1927667.98</v>
      </c>
      <c r="X10" s="31" t="s">
        <v>412</v>
      </c>
      <c r="Y10" s="31">
        <v>76105535000199</v>
      </c>
      <c r="Z10" s="31" t="s">
        <v>413</v>
      </c>
      <c r="AA10" s="31" t="s">
        <v>414</v>
      </c>
      <c r="AB10" s="31" t="s">
        <v>415</v>
      </c>
      <c r="AC10" s="31" t="s">
        <v>416</v>
      </c>
      <c r="AD10" s="31" t="s">
        <v>417</v>
      </c>
      <c r="AE10" s="31" t="s">
        <v>418</v>
      </c>
      <c r="AF10" s="31" t="s">
        <v>419</v>
      </c>
      <c r="AG10" s="31">
        <v>83702080</v>
      </c>
      <c r="AH10" s="31" t="s">
        <v>420</v>
      </c>
      <c r="AJ10" s="31">
        <v>111</v>
      </c>
      <c r="AK10" s="31" t="s">
        <v>421</v>
      </c>
      <c r="AM10" s="31" t="s">
        <v>54</v>
      </c>
      <c r="AV10" s="31">
        <v>1927667.98</v>
      </c>
      <c r="BA10" s="54"/>
      <c r="BB10" s="31">
        <v>1</v>
      </c>
      <c r="BC10" s="31">
        <v>1467</v>
      </c>
      <c r="BD10" s="31">
        <v>493651</v>
      </c>
      <c r="BE10" s="31" t="s">
        <v>440</v>
      </c>
      <c r="BF10" s="31">
        <v>0</v>
      </c>
      <c r="BG10" s="31">
        <v>0</v>
      </c>
      <c r="BH10" s="31">
        <v>0</v>
      </c>
      <c r="BI10" s="31">
        <v>0</v>
      </c>
      <c r="BJ10" s="31">
        <v>0</v>
      </c>
    </row>
    <row r="11" spans="1:62">
      <c r="A11" s="24" t="s">
        <v>60</v>
      </c>
      <c r="B11" s="31">
        <v>1017726</v>
      </c>
      <c r="C11" s="31" t="s">
        <v>80</v>
      </c>
      <c r="D11" s="31" t="s">
        <v>82</v>
      </c>
      <c r="E11" s="31" t="s">
        <v>64</v>
      </c>
      <c r="F11" s="24" t="str">
        <f>IF(Tabela1[[#This Row],[Data Prevista de Conclusão da Obra]]&lt;$C$1,"Atrasada","-")</f>
        <v>-</v>
      </c>
      <c r="G11" s="53" t="s">
        <v>64</v>
      </c>
      <c r="H11" s="24">
        <f>IF(Tabela1[[#This Row],[Levant OS - Jun/17]]=Tabela1[[#This Row],[Situação2]],0,1)</f>
        <v>0</v>
      </c>
      <c r="I11" s="31" t="s">
        <v>54</v>
      </c>
      <c r="J11" s="31" t="s">
        <v>55</v>
      </c>
      <c r="K11" s="31">
        <v>83706000</v>
      </c>
      <c r="L11" s="31" t="s">
        <v>441</v>
      </c>
      <c r="M11" s="31" t="s">
        <v>81</v>
      </c>
      <c r="N11" s="31" t="s">
        <v>84</v>
      </c>
      <c r="O11" s="31" t="s">
        <v>442</v>
      </c>
      <c r="P11" s="31" t="s">
        <v>408</v>
      </c>
      <c r="Q11" s="31">
        <v>0</v>
      </c>
      <c r="R11" s="24" t="s">
        <v>59</v>
      </c>
      <c r="S11" s="31" t="s">
        <v>409</v>
      </c>
      <c r="T11" s="31" t="s">
        <v>443</v>
      </c>
      <c r="U11" s="31" t="s">
        <v>290</v>
      </c>
      <c r="V11" s="31" t="s">
        <v>411</v>
      </c>
      <c r="W11" s="31">
        <v>3552543.79</v>
      </c>
      <c r="X11" s="31" t="s">
        <v>412</v>
      </c>
      <c r="Y11" s="31">
        <v>76105535000199</v>
      </c>
      <c r="Z11" s="31" t="s">
        <v>413</v>
      </c>
      <c r="AA11" s="31" t="s">
        <v>414</v>
      </c>
      <c r="AB11" s="31" t="s">
        <v>415</v>
      </c>
      <c r="AC11" s="31" t="s">
        <v>416</v>
      </c>
      <c r="AD11" s="31" t="s">
        <v>417</v>
      </c>
      <c r="AE11" s="31" t="s">
        <v>418</v>
      </c>
      <c r="AF11" s="31" t="s">
        <v>419</v>
      </c>
      <c r="AG11" s="31">
        <v>83702080</v>
      </c>
      <c r="AH11" s="31" t="s">
        <v>420</v>
      </c>
      <c r="AJ11" s="31">
        <v>111</v>
      </c>
      <c r="AK11" s="31" t="s">
        <v>421</v>
      </c>
      <c r="AM11" s="31" t="s">
        <v>54</v>
      </c>
      <c r="AV11" s="31">
        <v>3552543.79</v>
      </c>
      <c r="AZ11" s="31">
        <v>710508.76</v>
      </c>
      <c r="BA11" s="54">
        <v>20.000000050000001</v>
      </c>
      <c r="BB11" s="31">
        <v>1</v>
      </c>
      <c r="BC11" s="31">
        <v>1467</v>
      </c>
      <c r="BD11" s="31">
        <v>501247</v>
      </c>
      <c r="BE11" s="31" t="s">
        <v>422</v>
      </c>
      <c r="BF11" s="31">
        <v>0</v>
      </c>
      <c r="BG11" s="31">
        <v>0</v>
      </c>
      <c r="BH11" s="31">
        <v>868213.89</v>
      </c>
      <c r="BI11" s="31">
        <v>0</v>
      </c>
      <c r="BJ11" s="31">
        <v>868213.89</v>
      </c>
    </row>
    <row r="12" spans="1:62">
      <c r="A12" s="24" t="s">
        <v>78</v>
      </c>
      <c r="B12" s="31">
        <v>19887</v>
      </c>
      <c r="C12" s="31" t="s">
        <v>87</v>
      </c>
      <c r="D12" s="31" t="s">
        <v>88</v>
      </c>
      <c r="E12" s="31" t="s">
        <v>67</v>
      </c>
      <c r="F12" s="24" t="str">
        <f>IF(Tabela1[[#This Row],[Data Prevista de Conclusão da Obra]]&lt;$C$1,"Atrasada","-")</f>
        <v>Atrasada</v>
      </c>
      <c r="G12" s="53" t="s">
        <v>89</v>
      </c>
      <c r="H12" s="24">
        <f>IF(Tabela1[[#This Row],[Levant OS - Jun/17]]=Tabela1[[#This Row],[Situação2]],0,1)</f>
        <v>1</v>
      </c>
      <c r="I12" s="31" t="s">
        <v>85</v>
      </c>
      <c r="J12" s="31" t="s">
        <v>86</v>
      </c>
      <c r="K12" s="31">
        <v>89500000</v>
      </c>
      <c r="M12" s="31" t="s">
        <v>444</v>
      </c>
      <c r="N12" s="31" t="s">
        <v>90</v>
      </c>
      <c r="O12" s="31" t="s">
        <v>445</v>
      </c>
      <c r="P12" s="31" t="s">
        <v>446</v>
      </c>
      <c r="Q12" s="31">
        <v>76.12</v>
      </c>
      <c r="R12" s="50">
        <v>42667</v>
      </c>
      <c r="S12" s="31" t="s">
        <v>409</v>
      </c>
      <c r="T12" s="31" t="s">
        <v>447</v>
      </c>
      <c r="U12" s="31" t="s">
        <v>290</v>
      </c>
      <c r="V12" s="31" t="s">
        <v>411</v>
      </c>
      <c r="W12" s="31">
        <v>1134108.98</v>
      </c>
      <c r="X12" s="31" t="s">
        <v>412</v>
      </c>
      <c r="Y12" s="31">
        <v>83074302000131</v>
      </c>
      <c r="Z12" s="31">
        <v>281200</v>
      </c>
      <c r="AA12" s="31" t="s">
        <v>448</v>
      </c>
      <c r="AB12" s="31" t="s">
        <v>449</v>
      </c>
      <c r="AC12" s="31" t="s">
        <v>450</v>
      </c>
      <c r="AD12" s="31" t="s">
        <v>451</v>
      </c>
      <c r="AE12" s="31" t="s">
        <v>452</v>
      </c>
      <c r="AF12" s="31" t="s">
        <v>453</v>
      </c>
      <c r="AG12" s="31">
        <v>89500000</v>
      </c>
      <c r="AH12" s="31" t="s">
        <v>454</v>
      </c>
      <c r="AJ12" s="31">
        <v>195</v>
      </c>
      <c r="AK12" s="31" t="s">
        <v>421</v>
      </c>
      <c r="AM12" s="31" t="s">
        <v>85</v>
      </c>
      <c r="AN12" s="31" t="s">
        <v>427</v>
      </c>
      <c r="AO12" s="31">
        <v>552015</v>
      </c>
      <c r="AP12" s="31" t="s">
        <v>455</v>
      </c>
      <c r="AQ12" s="31" t="s">
        <v>92</v>
      </c>
      <c r="AR12" s="31" t="s">
        <v>455</v>
      </c>
      <c r="AS12" s="31">
        <v>337</v>
      </c>
      <c r="AT12" s="31" t="s">
        <v>456</v>
      </c>
      <c r="AU12" s="31">
        <v>848488.79</v>
      </c>
      <c r="AV12" s="31">
        <v>1134108.98</v>
      </c>
      <c r="AW12" s="55">
        <v>42711</v>
      </c>
      <c r="AX12" s="31" t="s">
        <v>457</v>
      </c>
      <c r="AZ12" s="31">
        <v>1134108.97</v>
      </c>
      <c r="BA12" s="31">
        <v>99.999998910000002</v>
      </c>
      <c r="BB12" s="31">
        <v>1</v>
      </c>
      <c r="BC12" s="31">
        <v>375</v>
      </c>
      <c r="BD12" s="31" t="s">
        <v>458</v>
      </c>
      <c r="BE12" s="31" t="s">
        <v>422</v>
      </c>
      <c r="BF12" s="31">
        <v>0</v>
      </c>
      <c r="BG12" s="31">
        <v>106609.52</v>
      </c>
      <c r="BH12" s="31">
        <v>0</v>
      </c>
      <c r="BI12" s="31">
        <v>0</v>
      </c>
      <c r="BJ12" s="31">
        <v>106609.52</v>
      </c>
    </row>
    <row r="13" spans="1:62">
      <c r="A13" s="24" t="s">
        <v>78</v>
      </c>
      <c r="B13" s="31">
        <v>25121</v>
      </c>
      <c r="C13" s="31" t="s">
        <v>93</v>
      </c>
      <c r="D13" s="31" t="s">
        <v>58</v>
      </c>
      <c r="E13" s="31" t="s">
        <v>58</v>
      </c>
      <c r="F13" s="24" t="str">
        <f>IF(Tabela1[[#This Row],[Data Prevista de Conclusão da Obra]]&lt;$C$1,"Atrasada","-")</f>
        <v>Atrasada</v>
      </c>
      <c r="G13" s="53" t="s">
        <v>67</v>
      </c>
      <c r="H13" s="24">
        <f>IF(Tabela1[[#This Row],[Levant OS - Jun/17]]=Tabela1[[#This Row],[Situação2]],0,1)</f>
        <v>1</v>
      </c>
      <c r="I13" s="31" t="s">
        <v>85</v>
      </c>
      <c r="J13" s="31" t="s">
        <v>86</v>
      </c>
      <c r="K13" s="31">
        <v>89500000</v>
      </c>
      <c r="M13" s="31" t="s">
        <v>459</v>
      </c>
      <c r="N13" s="31" t="s">
        <v>94</v>
      </c>
      <c r="O13" s="31" t="s">
        <v>460</v>
      </c>
      <c r="P13" s="31" t="s">
        <v>408</v>
      </c>
      <c r="Q13" s="31">
        <v>89.29</v>
      </c>
      <c r="R13" s="50">
        <v>42642</v>
      </c>
      <c r="S13" s="31" t="s">
        <v>409</v>
      </c>
      <c r="T13" s="31" t="s">
        <v>447</v>
      </c>
      <c r="U13" s="31" t="s">
        <v>290</v>
      </c>
      <c r="V13" s="31" t="s">
        <v>411</v>
      </c>
      <c r="W13" s="31">
        <v>1453995.37</v>
      </c>
      <c r="X13" s="31" t="s">
        <v>412</v>
      </c>
      <c r="Y13" s="31">
        <v>83074302000131</v>
      </c>
      <c r="Z13" s="31">
        <v>281200</v>
      </c>
      <c r="AA13" s="31" t="s">
        <v>448</v>
      </c>
      <c r="AB13" s="31" t="s">
        <v>449</v>
      </c>
      <c r="AC13" s="31" t="s">
        <v>450</v>
      </c>
      <c r="AD13" s="31" t="s">
        <v>451</v>
      </c>
      <c r="AE13" s="31" t="s">
        <v>452</v>
      </c>
      <c r="AF13" s="31" t="s">
        <v>453</v>
      </c>
      <c r="AG13" s="31">
        <v>89500000</v>
      </c>
      <c r="AH13" s="31" t="s">
        <v>454</v>
      </c>
      <c r="AJ13" s="31">
        <v>195</v>
      </c>
      <c r="AK13" s="31" t="s">
        <v>421</v>
      </c>
      <c r="AM13" s="31" t="s">
        <v>85</v>
      </c>
      <c r="AN13" s="31" t="s">
        <v>427</v>
      </c>
      <c r="AO13" s="31">
        <v>82</v>
      </c>
      <c r="AP13" s="31" t="s">
        <v>461</v>
      </c>
      <c r="AQ13" s="31" t="s">
        <v>95</v>
      </c>
      <c r="AR13" s="31" t="s">
        <v>461</v>
      </c>
      <c r="AS13" s="31">
        <v>1430</v>
      </c>
      <c r="AT13" s="31" t="s">
        <v>462</v>
      </c>
      <c r="AU13" s="31">
        <v>1904640.85</v>
      </c>
      <c r="AV13" s="31">
        <v>1453995.37</v>
      </c>
      <c r="AW13" s="55">
        <v>42528</v>
      </c>
      <c r="AX13" s="31" t="s">
        <v>457</v>
      </c>
      <c r="AZ13" s="31">
        <v>1264975.96</v>
      </c>
      <c r="BA13" s="31">
        <v>86.999999259999996</v>
      </c>
      <c r="BB13" s="31">
        <v>1</v>
      </c>
      <c r="BC13" s="31">
        <v>375</v>
      </c>
      <c r="BD13" s="31">
        <v>382655</v>
      </c>
      <c r="BE13" s="31" t="s">
        <v>422</v>
      </c>
      <c r="BF13" s="31">
        <v>0</v>
      </c>
      <c r="BG13" s="31">
        <v>235514.23</v>
      </c>
      <c r="BH13" s="31">
        <v>0</v>
      </c>
      <c r="BI13" s="31">
        <v>0</v>
      </c>
      <c r="BJ13" s="31">
        <v>235514.23</v>
      </c>
    </row>
    <row r="14" spans="1:62">
      <c r="A14" s="24" t="s">
        <v>60</v>
      </c>
      <c r="B14" s="31">
        <v>1006363</v>
      </c>
      <c r="C14" s="31" t="s">
        <v>96</v>
      </c>
      <c r="D14" s="31" t="s">
        <v>82</v>
      </c>
      <c r="E14" s="31" t="s">
        <v>64</v>
      </c>
      <c r="F14" s="24" t="str">
        <f>IF(Tabela1[[#This Row],[Data Prevista de Conclusão da Obra]]&lt;$C$1,"Atrasada","-")</f>
        <v>-</v>
      </c>
      <c r="G14" s="53" t="s">
        <v>64</v>
      </c>
      <c r="H14" s="24">
        <f>IF(Tabela1[[#This Row],[Levant OS - Jun/17]]=Tabela1[[#This Row],[Situação2]],0,1)</f>
        <v>0</v>
      </c>
      <c r="I14" s="31" t="s">
        <v>85</v>
      </c>
      <c r="J14" s="31" t="s">
        <v>86</v>
      </c>
      <c r="K14" s="31">
        <v>89500000</v>
      </c>
      <c r="M14" s="31" t="s">
        <v>463</v>
      </c>
      <c r="N14" s="31" t="s">
        <v>97</v>
      </c>
      <c r="O14" s="31" t="s">
        <v>464</v>
      </c>
      <c r="P14" s="31" t="s">
        <v>408</v>
      </c>
      <c r="Q14" s="31">
        <v>0</v>
      </c>
      <c r="R14" s="24" t="s">
        <v>59</v>
      </c>
      <c r="S14" s="31" t="s">
        <v>409</v>
      </c>
      <c r="T14" s="31" t="s">
        <v>424</v>
      </c>
      <c r="U14" s="31" t="s">
        <v>290</v>
      </c>
      <c r="V14" s="31" t="s">
        <v>411</v>
      </c>
      <c r="W14" s="31">
        <v>1888084.32</v>
      </c>
      <c r="X14" s="31" t="s">
        <v>412</v>
      </c>
      <c r="Y14" s="31">
        <v>83074302000131</v>
      </c>
      <c r="Z14" s="31">
        <v>281200</v>
      </c>
      <c r="AA14" s="31" t="s">
        <v>448</v>
      </c>
      <c r="AB14" s="31" t="s">
        <v>449</v>
      </c>
      <c r="AC14" s="31" t="s">
        <v>450</v>
      </c>
      <c r="AD14" s="31" t="s">
        <v>451</v>
      </c>
      <c r="AE14" s="31" t="s">
        <v>452</v>
      </c>
      <c r="AF14" s="31" t="s">
        <v>453</v>
      </c>
      <c r="AG14" s="31">
        <v>89500000</v>
      </c>
      <c r="AH14" s="31" t="s">
        <v>454</v>
      </c>
      <c r="AJ14" s="31">
        <v>195</v>
      </c>
      <c r="AK14" s="31" t="s">
        <v>421</v>
      </c>
      <c r="AM14" s="31" t="s">
        <v>85</v>
      </c>
      <c r="AV14" s="31">
        <v>1888084.32</v>
      </c>
      <c r="AZ14" s="31">
        <v>372049.64</v>
      </c>
      <c r="BA14" s="31">
        <v>19.705138989999998</v>
      </c>
      <c r="BB14" s="31">
        <v>1</v>
      </c>
      <c r="BC14" s="31">
        <v>375</v>
      </c>
      <c r="BD14" s="31">
        <v>417025</v>
      </c>
      <c r="BE14" s="31" t="s">
        <v>422</v>
      </c>
      <c r="BF14" s="31">
        <v>0</v>
      </c>
      <c r="BG14" s="31">
        <v>475128.87</v>
      </c>
      <c r="BH14" s="31">
        <v>0</v>
      </c>
      <c r="BI14" s="31">
        <v>0</v>
      </c>
      <c r="BJ14" s="31">
        <v>475128.87</v>
      </c>
    </row>
    <row r="15" spans="1:62">
      <c r="A15" s="24" t="s">
        <v>60</v>
      </c>
      <c r="B15" s="31">
        <v>1004300</v>
      </c>
      <c r="C15" s="31" t="s">
        <v>99</v>
      </c>
      <c r="D15" s="31" t="s">
        <v>22</v>
      </c>
      <c r="E15" s="31" t="s">
        <v>64</v>
      </c>
      <c r="F15" s="24" t="str">
        <f>IF(Tabela1[[#This Row],[Data Prevista de Conclusão da Obra]]&lt;$C$1,"Atrasada","-")</f>
        <v>-</v>
      </c>
      <c r="G15" s="53" t="s">
        <v>58</v>
      </c>
      <c r="H15" s="24">
        <f>IF(Tabela1[[#This Row],[Levant OS - Jun/17]]=Tabela1[[#This Row],[Situação2]],0,1)</f>
        <v>1</v>
      </c>
      <c r="I15" s="31" t="s">
        <v>98</v>
      </c>
      <c r="J15" s="31" t="s">
        <v>55</v>
      </c>
      <c r="K15" s="31">
        <v>87309818</v>
      </c>
      <c r="L15" s="31" t="s">
        <v>465</v>
      </c>
      <c r="M15" s="31" t="s">
        <v>466</v>
      </c>
      <c r="N15" s="31" t="s">
        <v>100</v>
      </c>
      <c r="O15" s="50">
        <v>43102</v>
      </c>
      <c r="P15" s="31" t="s">
        <v>408</v>
      </c>
      <c r="Q15" s="31">
        <v>0</v>
      </c>
      <c r="R15" s="24" t="s">
        <v>59</v>
      </c>
      <c r="S15" s="31" t="s">
        <v>409</v>
      </c>
      <c r="T15" s="31" t="s">
        <v>424</v>
      </c>
      <c r="U15" s="31" t="s">
        <v>290</v>
      </c>
      <c r="V15" s="31" t="s">
        <v>411</v>
      </c>
      <c r="W15" s="31">
        <v>1927667.98</v>
      </c>
      <c r="X15" s="31" t="s">
        <v>412</v>
      </c>
      <c r="Y15" s="31">
        <v>75904524000106</v>
      </c>
      <c r="Z15" s="31">
        <v>280819</v>
      </c>
      <c r="AA15" s="31" t="s">
        <v>467</v>
      </c>
      <c r="AB15" s="31" t="s">
        <v>468</v>
      </c>
      <c r="AC15" s="31" t="s">
        <v>469</v>
      </c>
      <c r="AD15" s="31" t="s">
        <v>470</v>
      </c>
      <c r="AE15" s="31" t="s">
        <v>471</v>
      </c>
      <c r="AF15" s="31" t="s">
        <v>472</v>
      </c>
      <c r="AG15" s="31">
        <v>87301140</v>
      </c>
      <c r="AH15" s="31" t="s">
        <v>473</v>
      </c>
      <c r="AI15" s="31" t="s">
        <v>474</v>
      </c>
      <c r="AJ15" s="31">
        <v>1487</v>
      </c>
      <c r="AK15" s="31" t="s">
        <v>421</v>
      </c>
      <c r="AM15" s="31" t="s">
        <v>98</v>
      </c>
      <c r="AN15" s="31" t="s">
        <v>427</v>
      </c>
      <c r="AO15" s="31">
        <v>4</v>
      </c>
      <c r="AP15" s="31" t="s">
        <v>475</v>
      </c>
      <c r="AV15" s="31">
        <v>1927667.98</v>
      </c>
      <c r="AZ15" s="31">
        <v>372599.64</v>
      </c>
      <c r="BA15" s="31">
        <v>19.329036160000001</v>
      </c>
      <c r="BB15" s="31">
        <v>1</v>
      </c>
      <c r="BC15" s="31">
        <v>406</v>
      </c>
      <c r="BD15" s="31">
        <v>576824</v>
      </c>
      <c r="BE15" s="31" t="s">
        <v>422</v>
      </c>
      <c r="BF15" s="31">
        <v>0</v>
      </c>
      <c r="BG15" s="31">
        <v>359117.53</v>
      </c>
      <c r="BH15" s="31">
        <v>0</v>
      </c>
      <c r="BI15" s="31">
        <v>0</v>
      </c>
      <c r="BJ15" s="31">
        <v>359117.53</v>
      </c>
    </row>
    <row r="16" spans="1:62">
      <c r="A16" s="24" t="s">
        <v>60</v>
      </c>
      <c r="B16" s="31">
        <v>1004301</v>
      </c>
      <c r="C16" s="31" t="s">
        <v>102</v>
      </c>
      <c r="D16" s="31" t="s">
        <v>22</v>
      </c>
      <c r="E16" s="31" t="s">
        <v>64</v>
      </c>
      <c r="F16" s="24" t="str">
        <f>IF(Tabela1[[#This Row],[Data Prevista de Conclusão da Obra]]&lt;$C$1,"Atrasada","-")</f>
        <v>-</v>
      </c>
      <c r="G16" s="53" t="s">
        <v>58</v>
      </c>
      <c r="H16" s="24">
        <f>IF(Tabela1[[#This Row],[Levant OS - Jun/17]]=Tabela1[[#This Row],[Situação2]],0,1)</f>
        <v>1</v>
      </c>
      <c r="I16" s="31" t="s">
        <v>98</v>
      </c>
      <c r="J16" s="31" t="s">
        <v>55</v>
      </c>
      <c r="K16" s="31">
        <v>87308638</v>
      </c>
      <c r="L16" s="31" t="s">
        <v>476</v>
      </c>
      <c r="M16" s="31" t="s">
        <v>477</v>
      </c>
      <c r="N16" s="31" t="s">
        <v>100</v>
      </c>
      <c r="O16" s="50">
        <v>43102</v>
      </c>
      <c r="P16" s="31" t="s">
        <v>408</v>
      </c>
      <c r="Q16" s="31">
        <v>0</v>
      </c>
      <c r="R16" s="24" t="s">
        <v>59</v>
      </c>
      <c r="S16" s="31" t="s">
        <v>409</v>
      </c>
      <c r="T16" s="31" t="s">
        <v>424</v>
      </c>
      <c r="U16" s="31" t="s">
        <v>290</v>
      </c>
      <c r="V16" s="31" t="s">
        <v>411</v>
      </c>
      <c r="W16" s="31">
        <v>1927667.98</v>
      </c>
      <c r="X16" s="31" t="s">
        <v>412</v>
      </c>
      <c r="Y16" s="31">
        <v>75904524000106</v>
      </c>
      <c r="Z16" s="31">
        <v>280819</v>
      </c>
      <c r="AA16" s="31" t="s">
        <v>467</v>
      </c>
      <c r="AB16" s="31" t="s">
        <v>468</v>
      </c>
      <c r="AC16" s="31" t="s">
        <v>469</v>
      </c>
      <c r="AD16" s="31" t="s">
        <v>470</v>
      </c>
      <c r="AE16" s="31" t="s">
        <v>471</v>
      </c>
      <c r="AF16" s="31" t="s">
        <v>472</v>
      </c>
      <c r="AG16" s="31">
        <v>87301140</v>
      </c>
      <c r="AH16" s="31" t="s">
        <v>473</v>
      </c>
      <c r="AI16" s="31" t="s">
        <v>474</v>
      </c>
      <c r="AJ16" s="31">
        <v>1487</v>
      </c>
      <c r="AK16" s="31" t="s">
        <v>421</v>
      </c>
      <c r="AM16" s="31" t="s">
        <v>98</v>
      </c>
      <c r="AN16" s="31" t="s">
        <v>427</v>
      </c>
      <c r="AO16" s="31">
        <v>7842015</v>
      </c>
      <c r="AP16" s="31" t="s">
        <v>478</v>
      </c>
      <c r="AR16" s="31" t="s">
        <v>479</v>
      </c>
      <c r="AV16" s="31">
        <v>1927667.98</v>
      </c>
      <c r="AZ16" s="31">
        <v>374805.39</v>
      </c>
      <c r="BA16" s="31">
        <v>19.443461989999999</v>
      </c>
      <c r="BB16" s="31">
        <v>1</v>
      </c>
      <c r="BC16" s="31">
        <v>406</v>
      </c>
      <c r="BD16" s="31">
        <v>576824</v>
      </c>
      <c r="BE16" s="31" t="s">
        <v>422</v>
      </c>
      <c r="BF16" s="31">
        <v>0</v>
      </c>
      <c r="BG16" s="31">
        <v>359117.53</v>
      </c>
      <c r="BH16" s="31">
        <v>0</v>
      </c>
      <c r="BI16" s="31">
        <v>0</v>
      </c>
      <c r="BJ16" s="31">
        <v>359117.53</v>
      </c>
    </row>
    <row r="17" spans="1:62">
      <c r="A17" s="24" t="s">
        <v>60</v>
      </c>
      <c r="B17" s="31">
        <v>1010390</v>
      </c>
      <c r="C17" s="31" t="s">
        <v>105</v>
      </c>
      <c r="D17" s="31" t="s">
        <v>22</v>
      </c>
      <c r="E17" s="31" t="s">
        <v>67</v>
      </c>
      <c r="F17" s="24" t="str">
        <f>IF(Tabela1[[#This Row],[Data Prevista de Conclusão da Obra]]&lt;$C$1,"Atrasada","-")</f>
        <v>-</v>
      </c>
      <c r="G17" s="53" t="s">
        <v>58</v>
      </c>
      <c r="H17" s="24">
        <f>IF(Tabela1[[#This Row],[Levant OS - Jun/17]]=Tabela1[[#This Row],[Situação2]],0,1)</f>
        <v>1</v>
      </c>
      <c r="I17" s="31" t="s">
        <v>98</v>
      </c>
      <c r="J17" s="31" t="s">
        <v>55</v>
      </c>
      <c r="K17" s="31">
        <v>87310050</v>
      </c>
      <c r="L17" s="31" t="s">
        <v>480</v>
      </c>
      <c r="M17" s="31" t="s">
        <v>481</v>
      </c>
      <c r="N17" s="31" t="s">
        <v>106</v>
      </c>
      <c r="O17" s="31" t="s">
        <v>482</v>
      </c>
      <c r="P17" s="31" t="s">
        <v>408</v>
      </c>
      <c r="Q17" s="31">
        <v>36.94</v>
      </c>
      <c r="R17" s="24" t="s">
        <v>59</v>
      </c>
      <c r="S17" s="31" t="s">
        <v>409</v>
      </c>
      <c r="T17" s="31" t="s">
        <v>483</v>
      </c>
      <c r="U17" s="31" t="s">
        <v>290</v>
      </c>
      <c r="V17" s="31" t="s">
        <v>411</v>
      </c>
      <c r="W17" s="31">
        <v>1021589.39</v>
      </c>
      <c r="X17" s="31" t="s">
        <v>412</v>
      </c>
      <c r="Y17" s="31">
        <v>75904524000106</v>
      </c>
      <c r="Z17" s="31">
        <v>280819</v>
      </c>
      <c r="AA17" s="31" t="s">
        <v>467</v>
      </c>
      <c r="AB17" s="31" t="s">
        <v>468</v>
      </c>
      <c r="AC17" s="31" t="s">
        <v>469</v>
      </c>
      <c r="AD17" s="31" t="s">
        <v>470</v>
      </c>
      <c r="AE17" s="31" t="s">
        <v>471</v>
      </c>
      <c r="AF17" s="31" t="s">
        <v>472</v>
      </c>
      <c r="AG17" s="31">
        <v>87301140</v>
      </c>
      <c r="AH17" s="31" t="s">
        <v>473</v>
      </c>
      <c r="AI17" s="31" t="s">
        <v>474</v>
      </c>
      <c r="AJ17" s="31">
        <v>1487</v>
      </c>
      <c r="AK17" s="31" t="s">
        <v>421</v>
      </c>
      <c r="AM17" s="31" t="s">
        <v>98</v>
      </c>
      <c r="AV17" s="31">
        <v>1021589.39</v>
      </c>
      <c r="AZ17" s="31">
        <v>296260.93</v>
      </c>
      <c r="BA17" s="31">
        <v>29.00000065</v>
      </c>
      <c r="BB17" s="31">
        <v>1</v>
      </c>
      <c r="BC17" s="31">
        <v>406</v>
      </c>
      <c r="BD17" s="31">
        <v>582905</v>
      </c>
      <c r="BE17" s="31" t="s">
        <v>422</v>
      </c>
      <c r="BF17" s="31">
        <v>0</v>
      </c>
      <c r="BG17" s="31">
        <v>11494.63</v>
      </c>
      <c r="BH17" s="31">
        <v>0</v>
      </c>
      <c r="BI17" s="31">
        <v>0</v>
      </c>
      <c r="BJ17" s="31">
        <v>11494.63</v>
      </c>
    </row>
    <row r="18" spans="1:62">
      <c r="A18" s="24" t="s">
        <v>60</v>
      </c>
      <c r="B18" s="31">
        <v>1004230</v>
      </c>
      <c r="C18" s="31" t="s">
        <v>109</v>
      </c>
      <c r="D18" s="31" t="s">
        <v>58</v>
      </c>
      <c r="E18" s="31" t="s">
        <v>58</v>
      </c>
      <c r="F18" s="24" t="str">
        <f>IF(Tabela1[[#This Row],[Data Prevista de Conclusão da Obra]]&lt;$C$1,"Atrasada","-")</f>
        <v>-</v>
      </c>
      <c r="G18" s="53" t="s">
        <v>67</v>
      </c>
      <c r="H18" s="24">
        <f>IF(Tabela1[[#This Row],[Levant OS - Jun/17]]=Tabela1[[#This Row],[Situação2]],0,1)</f>
        <v>1</v>
      </c>
      <c r="I18" s="31" t="s">
        <v>108</v>
      </c>
      <c r="J18" s="31" t="s">
        <v>55</v>
      </c>
      <c r="K18" s="31">
        <v>85822000</v>
      </c>
      <c r="L18" s="31" t="s">
        <v>484</v>
      </c>
      <c r="M18" s="31" t="s">
        <v>485</v>
      </c>
      <c r="N18" s="31" t="s">
        <v>110</v>
      </c>
      <c r="O18" s="31" t="s">
        <v>486</v>
      </c>
      <c r="P18" s="31" t="s">
        <v>408</v>
      </c>
      <c r="Q18" s="31">
        <v>65.180000000000007</v>
      </c>
      <c r="R18" s="50">
        <v>43015</v>
      </c>
      <c r="S18" s="31" t="s">
        <v>409</v>
      </c>
      <c r="T18" s="31" t="s">
        <v>483</v>
      </c>
      <c r="U18" s="31" t="s">
        <v>290</v>
      </c>
      <c r="V18" s="31" t="s">
        <v>411</v>
      </c>
      <c r="W18" s="31">
        <v>998599.01</v>
      </c>
      <c r="X18" s="31" t="s">
        <v>412</v>
      </c>
      <c r="Y18" s="31">
        <v>76208867000107</v>
      </c>
      <c r="AA18" s="31" t="s">
        <v>487</v>
      </c>
      <c r="AB18" s="31" t="s">
        <v>488</v>
      </c>
      <c r="AC18" s="31" t="s">
        <v>489</v>
      </c>
      <c r="AD18" s="31" t="s">
        <v>451</v>
      </c>
      <c r="AE18" s="31" t="s">
        <v>490</v>
      </c>
      <c r="AF18" s="31" t="s">
        <v>491</v>
      </c>
      <c r="AG18" s="31">
        <v>85807900</v>
      </c>
      <c r="AH18" s="31" t="s">
        <v>492</v>
      </c>
      <c r="AJ18" s="31">
        <v>5000</v>
      </c>
      <c r="AK18" s="31" t="s">
        <v>493</v>
      </c>
      <c r="AM18" s="31" t="s">
        <v>108</v>
      </c>
      <c r="AN18" s="31" t="s">
        <v>494</v>
      </c>
      <c r="AO18" s="31">
        <v>22</v>
      </c>
      <c r="AP18" s="55">
        <v>41831</v>
      </c>
      <c r="AQ18" s="31" t="s">
        <v>495</v>
      </c>
      <c r="AR18" s="31" t="s">
        <v>496</v>
      </c>
      <c r="AS18" s="31">
        <v>907</v>
      </c>
      <c r="AT18" s="55">
        <v>43015</v>
      </c>
      <c r="AU18" s="31">
        <v>1269649.76</v>
      </c>
      <c r="AV18" s="31">
        <v>998599.01</v>
      </c>
      <c r="AW18" s="55">
        <v>42950</v>
      </c>
      <c r="AX18" s="31" t="s">
        <v>457</v>
      </c>
      <c r="AZ18" s="31">
        <v>519271.48</v>
      </c>
      <c r="BA18" s="31">
        <v>51.999999359999997</v>
      </c>
      <c r="BB18" s="31">
        <v>1</v>
      </c>
      <c r="BC18" s="31">
        <v>4693</v>
      </c>
      <c r="BD18" s="31">
        <v>253251</v>
      </c>
      <c r="BE18" s="31" t="s">
        <v>497</v>
      </c>
      <c r="BF18" s="31">
        <v>0</v>
      </c>
      <c r="BG18" s="31">
        <v>81.39</v>
      </c>
      <c r="BH18" s="31">
        <v>0</v>
      </c>
      <c r="BI18" s="31">
        <v>0</v>
      </c>
      <c r="BJ18" s="31">
        <v>81.39</v>
      </c>
    </row>
    <row r="19" spans="1:62">
      <c r="A19" s="24" t="s">
        <v>60</v>
      </c>
      <c r="B19" s="31">
        <v>1005696</v>
      </c>
      <c r="C19" s="31" t="s">
        <v>111</v>
      </c>
      <c r="D19" s="31" t="s">
        <v>82</v>
      </c>
      <c r="E19" s="31" t="s">
        <v>64</v>
      </c>
      <c r="F19" s="24" t="str">
        <f>IF(Tabela1[[#This Row],[Data Prevista de Conclusão da Obra]]&lt;$C$1,"Atrasada","-")</f>
        <v>-</v>
      </c>
      <c r="G19" s="53" t="s">
        <v>64</v>
      </c>
      <c r="H19" s="24">
        <f>IF(Tabela1[[#This Row],[Levant OS - Jun/17]]=Tabela1[[#This Row],[Situação2]],0,1)</f>
        <v>0</v>
      </c>
      <c r="I19" s="31" t="s">
        <v>108</v>
      </c>
      <c r="J19" s="31" t="s">
        <v>55</v>
      </c>
      <c r="K19" s="31">
        <v>85804050</v>
      </c>
      <c r="L19" s="31" t="s">
        <v>498</v>
      </c>
      <c r="M19" s="31" t="s">
        <v>499</v>
      </c>
      <c r="N19" s="31" t="s">
        <v>112</v>
      </c>
      <c r="O19" s="31" t="s">
        <v>500</v>
      </c>
      <c r="P19" s="31" t="s">
        <v>408</v>
      </c>
      <c r="Q19" s="31">
        <v>0</v>
      </c>
      <c r="R19" s="24" t="s">
        <v>59</v>
      </c>
      <c r="S19" s="31" t="s">
        <v>409</v>
      </c>
      <c r="T19" s="31" t="s">
        <v>424</v>
      </c>
      <c r="U19" s="31" t="s">
        <v>290</v>
      </c>
      <c r="V19" s="31" t="s">
        <v>411</v>
      </c>
      <c r="W19" s="31">
        <v>1927667.97</v>
      </c>
      <c r="X19" s="31" t="s">
        <v>412</v>
      </c>
      <c r="Y19" s="31">
        <v>76208867000107</v>
      </c>
      <c r="AA19" s="31" t="s">
        <v>487</v>
      </c>
      <c r="AB19" s="31" t="s">
        <v>488</v>
      </c>
      <c r="AC19" s="31" t="s">
        <v>489</v>
      </c>
      <c r="AD19" s="31" t="s">
        <v>451</v>
      </c>
      <c r="AE19" s="31" t="s">
        <v>490</v>
      </c>
      <c r="AF19" s="31" t="s">
        <v>491</v>
      </c>
      <c r="AG19" s="31">
        <v>85807900</v>
      </c>
      <c r="AH19" s="31" t="s">
        <v>492</v>
      </c>
      <c r="AJ19" s="31">
        <v>5000</v>
      </c>
      <c r="AK19" s="31" t="s">
        <v>493</v>
      </c>
      <c r="AM19" s="31" t="s">
        <v>108</v>
      </c>
      <c r="AV19" s="31">
        <v>1927667.97</v>
      </c>
      <c r="AZ19" s="31">
        <v>375680.39</v>
      </c>
      <c r="BA19" s="31">
        <v>19.48885362</v>
      </c>
      <c r="BB19" s="31">
        <v>1</v>
      </c>
      <c r="BC19" s="31">
        <v>4693</v>
      </c>
      <c r="BD19" s="31">
        <v>254444</v>
      </c>
      <c r="BE19" s="31" t="s">
        <v>497</v>
      </c>
      <c r="BF19" s="31">
        <v>0</v>
      </c>
      <c r="BG19" s="31">
        <v>0</v>
      </c>
      <c r="BH19" s="31">
        <v>470238.16</v>
      </c>
      <c r="BI19" s="31">
        <v>0</v>
      </c>
      <c r="BJ19" s="31">
        <v>470238.16</v>
      </c>
    </row>
    <row r="20" spans="1:62">
      <c r="A20" s="24" t="s">
        <v>60</v>
      </c>
      <c r="B20" s="31">
        <v>1006985</v>
      </c>
      <c r="C20" s="31" t="s">
        <v>113</v>
      </c>
      <c r="E20" s="31" t="s">
        <v>64</v>
      </c>
      <c r="F20" s="24" t="str">
        <f>IF(Tabela1[[#This Row],[Data Prevista de Conclusão da Obra]]&lt;$C$1,"Atrasada","-")</f>
        <v>-</v>
      </c>
      <c r="G20" s="53" t="s">
        <v>64</v>
      </c>
      <c r="H20" s="24">
        <f>IF(Tabela1[[#This Row],[Levant OS - Jun/17]]=Tabela1[[#This Row],[Situação2]],0,1)</f>
        <v>0</v>
      </c>
      <c r="I20" s="31" t="s">
        <v>108</v>
      </c>
      <c r="J20" s="31" t="s">
        <v>55</v>
      </c>
      <c r="K20" s="31">
        <v>85818500</v>
      </c>
      <c r="L20" s="31" t="s">
        <v>501</v>
      </c>
      <c r="M20" s="31" t="s">
        <v>502</v>
      </c>
      <c r="N20" s="31" t="s">
        <v>114</v>
      </c>
      <c r="O20" s="31" t="s">
        <v>503</v>
      </c>
      <c r="P20" s="31" t="s">
        <v>408</v>
      </c>
      <c r="Q20" s="31">
        <v>0</v>
      </c>
      <c r="R20" s="24" t="s">
        <v>59</v>
      </c>
      <c r="S20" s="31" t="s">
        <v>409</v>
      </c>
      <c r="T20" s="31" t="s">
        <v>424</v>
      </c>
      <c r="U20" s="31" t="s">
        <v>290</v>
      </c>
      <c r="V20" s="31" t="s">
        <v>411</v>
      </c>
      <c r="W20" s="31">
        <v>1927667.97</v>
      </c>
      <c r="X20" s="31" t="s">
        <v>412</v>
      </c>
      <c r="Y20" s="31">
        <v>76208867000107</v>
      </c>
      <c r="AA20" s="31" t="s">
        <v>487</v>
      </c>
      <c r="AB20" s="31" t="s">
        <v>488</v>
      </c>
      <c r="AC20" s="31" t="s">
        <v>489</v>
      </c>
      <c r="AD20" s="31" t="s">
        <v>451</v>
      </c>
      <c r="AE20" s="31" t="s">
        <v>490</v>
      </c>
      <c r="AF20" s="31" t="s">
        <v>491</v>
      </c>
      <c r="AG20" s="31">
        <v>85807900</v>
      </c>
      <c r="AH20" s="31" t="s">
        <v>492</v>
      </c>
      <c r="AJ20" s="31">
        <v>5000</v>
      </c>
      <c r="AK20" s="31" t="s">
        <v>493</v>
      </c>
      <c r="AM20" s="31" t="s">
        <v>108</v>
      </c>
      <c r="AV20" s="31">
        <v>1927667.97</v>
      </c>
      <c r="AZ20" s="31">
        <v>373585</v>
      </c>
      <c r="BA20" s="31">
        <v>19.380152850000002</v>
      </c>
      <c r="BB20" s="31">
        <v>1</v>
      </c>
      <c r="BC20" s="31">
        <v>4693</v>
      </c>
      <c r="BD20" s="31">
        <v>255165</v>
      </c>
      <c r="BE20" s="31" t="s">
        <v>497</v>
      </c>
      <c r="BF20" s="31">
        <v>0</v>
      </c>
      <c r="BG20" s="31">
        <v>0</v>
      </c>
      <c r="BH20" s="31">
        <v>459988.81</v>
      </c>
      <c r="BI20" s="31">
        <v>0</v>
      </c>
      <c r="BJ20" s="31">
        <v>459988.81</v>
      </c>
    </row>
    <row r="21" spans="1:62">
      <c r="A21" s="24" t="s">
        <v>60</v>
      </c>
      <c r="B21" s="31">
        <v>1016714</v>
      </c>
      <c r="C21" s="31" t="s">
        <v>115</v>
      </c>
      <c r="D21" s="31" t="s">
        <v>58</v>
      </c>
      <c r="E21" s="31" t="s">
        <v>58</v>
      </c>
      <c r="F21" s="24" t="str">
        <f>IF(Tabela1[[#This Row],[Data Prevista de Conclusão da Obra]]&lt;$C$1,"Atrasada","-")</f>
        <v>-</v>
      </c>
      <c r="G21" s="53" t="s">
        <v>58</v>
      </c>
      <c r="H21" s="24">
        <f>IF(Tabela1[[#This Row],[Levant OS - Jun/17]]=Tabela1[[#This Row],[Situação2]],0,1)</f>
        <v>0</v>
      </c>
      <c r="I21" s="31" t="s">
        <v>108</v>
      </c>
      <c r="J21" s="31" t="s">
        <v>55</v>
      </c>
      <c r="K21" s="31">
        <v>85823000</v>
      </c>
      <c r="L21" s="31" t="s">
        <v>504</v>
      </c>
      <c r="M21" s="31" t="s">
        <v>505</v>
      </c>
      <c r="N21" s="31" t="s">
        <v>117</v>
      </c>
      <c r="O21" s="50">
        <v>43015</v>
      </c>
      <c r="P21" s="31" t="s">
        <v>408</v>
      </c>
      <c r="Q21" s="31">
        <v>76.91</v>
      </c>
      <c r="R21" s="56">
        <v>42904</v>
      </c>
      <c r="S21" s="31" t="s">
        <v>409</v>
      </c>
      <c r="T21" s="31" t="s">
        <v>483</v>
      </c>
      <c r="U21" s="31" t="s">
        <v>290</v>
      </c>
      <c r="V21" s="31" t="s">
        <v>506</v>
      </c>
      <c r="W21" s="31">
        <v>998599.01</v>
      </c>
      <c r="X21" s="31" t="s">
        <v>412</v>
      </c>
      <c r="Y21" s="31">
        <v>76208867000107</v>
      </c>
      <c r="AA21" s="31" t="s">
        <v>487</v>
      </c>
      <c r="AB21" s="31" t="s">
        <v>488</v>
      </c>
      <c r="AC21" s="31" t="s">
        <v>489</v>
      </c>
      <c r="AD21" s="31" t="s">
        <v>451</v>
      </c>
      <c r="AE21" s="31" t="s">
        <v>490</v>
      </c>
      <c r="AF21" s="31" t="s">
        <v>491</v>
      </c>
      <c r="AG21" s="31">
        <v>85807900</v>
      </c>
      <c r="AH21" s="31" t="s">
        <v>492</v>
      </c>
      <c r="AJ21" s="31">
        <v>5000</v>
      </c>
      <c r="AK21" s="31" t="s">
        <v>493</v>
      </c>
      <c r="AM21" s="31" t="s">
        <v>108</v>
      </c>
      <c r="AN21" s="31" t="s">
        <v>494</v>
      </c>
      <c r="AO21" s="31">
        <v>352014</v>
      </c>
      <c r="AP21" s="31" t="s">
        <v>507</v>
      </c>
      <c r="AQ21" s="31" t="s">
        <v>118</v>
      </c>
      <c r="AR21" s="31" t="s">
        <v>508</v>
      </c>
      <c r="AS21" s="31">
        <v>915</v>
      </c>
      <c r="AT21" s="31" t="s">
        <v>509</v>
      </c>
      <c r="AU21" s="31">
        <v>1186692.6599999999</v>
      </c>
      <c r="AV21" s="31">
        <v>998599.01</v>
      </c>
      <c r="AW21" s="31" t="s">
        <v>510</v>
      </c>
      <c r="AX21" s="31" t="s">
        <v>457</v>
      </c>
      <c r="AZ21" s="31">
        <v>569201.43000000005</v>
      </c>
      <c r="BA21" s="31">
        <v>56.999999299999999</v>
      </c>
      <c r="BB21" s="31">
        <v>1</v>
      </c>
      <c r="BC21" s="31">
        <v>4693</v>
      </c>
      <c r="BD21" s="31">
        <v>264148</v>
      </c>
      <c r="BE21" s="31" t="s">
        <v>497</v>
      </c>
      <c r="BF21" s="31">
        <v>0</v>
      </c>
      <c r="BG21" s="31">
        <v>72639.210000000006</v>
      </c>
      <c r="BH21" s="31">
        <v>0</v>
      </c>
      <c r="BI21" s="31">
        <v>0</v>
      </c>
      <c r="BJ21" s="31">
        <v>72639.210000000006</v>
      </c>
    </row>
    <row r="22" spans="1:62">
      <c r="A22" s="24" t="s">
        <v>60</v>
      </c>
      <c r="B22" s="31">
        <v>1006367</v>
      </c>
      <c r="C22" s="31" t="s">
        <v>120</v>
      </c>
      <c r="D22" s="31" t="s">
        <v>22</v>
      </c>
      <c r="E22" s="31" t="s">
        <v>64</v>
      </c>
      <c r="F22" s="24" t="str">
        <f>IF(Tabela1[[#This Row],[Data Prevista de Conclusão da Obra]]&lt;$C$1,"Atrasada","-")</f>
        <v>-</v>
      </c>
      <c r="G22" s="53" t="s">
        <v>58</v>
      </c>
      <c r="H22" s="24">
        <f>IF(Tabela1[[#This Row],[Levant OS - Jun/17]]=Tabela1[[#This Row],[Situação2]],0,1)</f>
        <v>1</v>
      </c>
      <c r="I22" s="31" t="s">
        <v>119</v>
      </c>
      <c r="J22" s="31" t="s">
        <v>86</v>
      </c>
      <c r="K22" s="31">
        <v>89800000</v>
      </c>
      <c r="L22" s="31" t="s">
        <v>511</v>
      </c>
      <c r="M22" s="31" t="s">
        <v>512</v>
      </c>
      <c r="N22" s="31" t="s">
        <v>122</v>
      </c>
      <c r="O22" s="50">
        <v>43103</v>
      </c>
      <c r="P22" s="31" t="s">
        <v>408</v>
      </c>
      <c r="Q22" s="31">
        <v>0</v>
      </c>
      <c r="R22" s="24" t="s">
        <v>59</v>
      </c>
      <c r="S22" s="31" t="s">
        <v>409</v>
      </c>
      <c r="T22" s="31" t="s">
        <v>424</v>
      </c>
      <c r="U22" s="31" t="s">
        <v>290</v>
      </c>
      <c r="V22" s="31" t="s">
        <v>411</v>
      </c>
      <c r="W22" s="31">
        <v>1888084.32</v>
      </c>
      <c r="X22" s="31" t="s">
        <v>412</v>
      </c>
      <c r="Y22" s="31">
        <v>83021808000182</v>
      </c>
      <c r="Z22" s="31">
        <v>281214</v>
      </c>
      <c r="AA22" s="31" t="s">
        <v>513</v>
      </c>
      <c r="AB22" s="31" t="s">
        <v>514</v>
      </c>
      <c r="AC22" s="31" t="s">
        <v>515</v>
      </c>
      <c r="AD22" s="31" t="s">
        <v>451</v>
      </c>
      <c r="AE22" s="31" t="s">
        <v>516</v>
      </c>
      <c r="AF22" s="31" t="s">
        <v>517</v>
      </c>
      <c r="AG22" s="31">
        <v>89812000</v>
      </c>
      <c r="AH22" s="31" t="s">
        <v>518</v>
      </c>
      <c r="AI22" s="31" t="s">
        <v>519</v>
      </c>
      <c r="AJ22" s="31">
        <v>957</v>
      </c>
      <c r="AK22" s="31" t="s">
        <v>421</v>
      </c>
      <c r="AM22" s="31" t="s">
        <v>119</v>
      </c>
      <c r="AN22" s="31" t="s">
        <v>427</v>
      </c>
      <c r="AO22" s="31">
        <v>1942016</v>
      </c>
      <c r="AP22" s="55">
        <v>42380</v>
      </c>
      <c r="AV22" s="31">
        <v>1888084.32</v>
      </c>
      <c r="AZ22" s="31">
        <v>372799.64</v>
      </c>
      <c r="BA22" s="31">
        <v>19.744861790000002</v>
      </c>
      <c r="BB22" s="31">
        <v>1</v>
      </c>
      <c r="BC22" s="31">
        <v>321</v>
      </c>
      <c r="BD22" s="31">
        <v>840599</v>
      </c>
      <c r="BE22" s="31" t="s">
        <v>422</v>
      </c>
      <c r="BF22" s="31">
        <v>0</v>
      </c>
      <c r="BG22" s="31">
        <v>0</v>
      </c>
      <c r="BH22" s="31">
        <v>0</v>
      </c>
      <c r="BI22" s="31">
        <v>0</v>
      </c>
      <c r="BJ22" s="31">
        <v>0</v>
      </c>
    </row>
    <row r="23" spans="1:62">
      <c r="A23" s="24" t="s">
        <v>60</v>
      </c>
      <c r="B23" s="31">
        <v>1009202</v>
      </c>
      <c r="C23" s="31" t="s">
        <v>125</v>
      </c>
      <c r="D23" s="31" t="s">
        <v>82</v>
      </c>
      <c r="E23" s="31" t="s">
        <v>64</v>
      </c>
      <c r="F23" s="24" t="str">
        <f>IF(Tabela1[[#This Row],[Data Prevista de Conclusão da Obra]]&lt;$C$1,"Atrasada","-")</f>
        <v>-</v>
      </c>
      <c r="G23" s="53" t="s">
        <v>64</v>
      </c>
      <c r="H23" s="24">
        <f>IF(Tabela1[[#This Row],[Levant OS - Jun/17]]=Tabela1[[#This Row],[Situação2]],0,1)</f>
        <v>0</v>
      </c>
      <c r="I23" s="31" t="s">
        <v>124</v>
      </c>
      <c r="J23" s="31" t="s">
        <v>55</v>
      </c>
      <c r="K23" s="31">
        <v>85853709</v>
      </c>
      <c r="L23" s="31" t="s">
        <v>520</v>
      </c>
      <c r="M23" s="31" t="s">
        <v>521</v>
      </c>
      <c r="N23" s="31" t="s">
        <v>127</v>
      </c>
      <c r="O23" s="31" t="s">
        <v>437</v>
      </c>
      <c r="P23" s="31" t="s">
        <v>408</v>
      </c>
      <c r="Q23" s="31">
        <v>0</v>
      </c>
      <c r="R23" s="24" t="s">
        <v>59</v>
      </c>
      <c r="S23" s="31" t="s">
        <v>409</v>
      </c>
      <c r="T23" s="31" t="s">
        <v>410</v>
      </c>
      <c r="U23" s="31" t="s">
        <v>290</v>
      </c>
      <c r="V23" s="31" t="s">
        <v>411</v>
      </c>
      <c r="W23" s="31">
        <v>1267584.72</v>
      </c>
      <c r="X23" s="31" t="s">
        <v>412</v>
      </c>
      <c r="Y23" s="31">
        <v>76206606000140</v>
      </c>
      <c r="Z23" s="31" t="s">
        <v>522</v>
      </c>
      <c r="AA23" s="31" t="s">
        <v>523</v>
      </c>
      <c r="AB23" s="31" t="s">
        <v>524</v>
      </c>
      <c r="AC23" s="31" t="s">
        <v>525</v>
      </c>
      <c r="AD23" s="31" t="s">
        <v>526</v>
      </c>
      <c r="AE23" s="31" t="s">
        <v>527</v>
      </c>
      <c r="AF23" s="31" t="s">
        <v>528</v>
      </c>
      <c r="AG23" s="31">
        <v>85851340</v>
      </c>
      <c r="AH23" s="31" t="s">
        <v>529</v>
      </c>
      <c r="AJ23" s="31">
        <v>280</v>
      </c>
      <c r="AK23" s="31" t="s">
        <v>421</v>
      </c>
      <c r="AM23" s="31" t="s">
        <v>124</v>
      </c>
      <c r="AV23" s="31">
        <v>1267584.72</v>
      </c>
      <c r="AZ23" s="31">
        <v>370547.14</v>
      </c>
      <c r="BA23" s="31">
        <v>29.232534480000002</v>
      </c>
      <c r="BB23" s="31">
        <v>1</v>
      </c>
      <c r="BC23" s="31">
        <v>140</v>
      </c>
      <c r="BD23" s="31" t="s">
        <v>530</v>
      </c>
      <c r="BE23" s="31" t="s">
        <v>422</v>
      </c>
      <c r="BF23" s="31">
        <v>0</v>
      </c>
      <c r="BG23" s="31">
        <v>1885989.12</v>
      </c>
      <c r="BH23" s="31">
        <v>0</v>
      </c>
      <c r="BI23" s="31">
        <v>0</v>
      </c>
      <c r="BJ23" s="31">
        <v>1885989.12</v>
      </c>
    </row>
    <row r="24" spans="1:62">
      <c r="A24" s="24" t="s">
        <v>60</v>
      </c>
      <c r="B24" s="31">
        <v>1009203</v>
      </c>
      <c r="C24" s="31" t="s">
        <v>128</v>
      </c>
      <c r="D24" s="31" t="s">
        <v>82</v>
      </c>
      <c r="E24" s="31" t="s">
        <v>64</v>
      </c>
      <c r="F24" s="24" t="str">
        <f>IF(Tabela1[[#This Row],[Data Prevista de Conclusão da Obra]]&lt;$C$1,"Atrasada","-")</f>
        <v>-</v>
      </c>
      <c r="G24" s="53" t="s">
        <v>64</v>
      </c>
      <c r="H24" s="24">
        <f>IF(Tabela1[[#This Row],[Levant OS - Jun/17]]=Tabela1[[#This Row],[Situação2]],0,1)</f>
        <v>0</v>
      </c>
      <c r="I24" s="31" t="s">
        <v>124</v>
      </c>
      <c r="J24" s="31" t="s">
        <v>55</v>
      </c>
      <c r="K24" s="31">
        <v>85870701</v>
      </c>
      <c r="L24" s="31" t="s">
        <v>531</v>
      </c>
      <c r="M24" s="31" t="s">
        <v>532</v>
      </c>
      <c r="N24" s="31" t="s">
        <v>127</v>
      </c>
      <c r="O24" s="31" t="s">
        <v>437</v>
      </c>
      <c r="P24" s="31" t="s">
        <v>408</v>
      </c>
      <c r="Q24" s="31">
        <v>0</v>
      </c>
      <c r="R24" s="24" t="s">
        <v>59</v>
      </c>
      <c r="S24" s="31" t="s">
        <v>409</v>
      </c>
      <c r="T24" s="31" t="s">
        <v>424</v>
      </c>
      <c r="U24" s="31" t="s">
        <v>290</v>
      </c>
      <c r="V24" s="31" t="s">
        <v>411</v>
      </c>
      <c r="W24" s="31">
        <v>1927667.98</v>
      </c>
      <c r="X24" s="31" t="s">
        <v>412</v>
      </c>
      <c r="Y24" s="31">
        <v>76206606000140</v>
      </c>
      <c r="Z24" s="31" t="s">
        <v>522</v>
      </c>
      <c r="AA24" s="31" t="s">
        <v>523</v>
      </c>
      <c r="AB24" s="31" t="s">
        <v>524</v>
      </c>
      <c r="AC24" s="31" t="s">
        <v>525</v>
      </c>
      <c r="AD24" s="31" t="s">
        <v>526</v>
      </c>
      <c r="AE24" s="31" t="s">
        <v>527</v>
      </c>
      <c r="AF24" s="31" t="s">
        <v>528</v>
      </c>
      <c r="AG24" s="31">
        <v>85851340</v>
      </c>
      <c r="AH24" s="31" t="s">
        <v>529</v>
      </c>
      <c r="AJ24" s="31">
        <v>280</v>
      </c>
      <c r="AK24" s="31" t="s">
        <v>421</v>
      </c>
      <c r="AM24" s="31" t="s">
        <v>124</v>
      </c>
      <c r="AV24" s="31">
        <v>1927667.98</v>
      </c>
      <c r="AZ24" s="31">
        <v>372799.64</v>
      </c>
      <c r="BA24" s="31">
        <v>19.339411389999999</v>
      </c>
      <c r="BB24" s="31">
        <v>1</v>
      </c>
      <c r="BC24" s="31">
        <v>140</v>
      </c>
      <c r="BD24" s="31" t="s">
        <v>530</v>
      </c>
      <c r="BE24" s="31" t="s">
        <v>422</v>
      </c>
      <c r="BF24" s="31">
        <v>0</v>
      </c>
      <c r="BG24" s="31">
        <v>1885989.12</v>
      </c>
      <c r="BH24" s="31">
        <v>0</v>
      </c>
      <c r="BI24" s="31">
        <v>0</v>
      </c>
      <c r="BJ24" s="31">
        <v>1885989.12</v>
      </c>
    </row>
    <row r="25" spans="1:62">
      <c r="A25" s="24" t="s">
        <v>60</v>
      </c>
      <c r="B25" s="31">
        <v>1009204</v>
      </c>
      <c r="C25" s="31" t="s">
        <v>129</v>
      </c>
      <c r="D25" s="31" t="s">
        <v>82</v>
      </c>
      <c r="E25" s="31" t="s">
        <v>64</v>
      </c>
      <c r="F25" s="24" t="str">
        <f>IF(Tabela1[[#This Row],[Data Prevista de Conclusão da Obra]]&lt;$C$1,"Atrasada","-")</f>
        <v>-</v>
      </c>
      <c r="G25" s="53" t="s">
        <v>64</v>
      </c>
      <c r="H25" s="24">
        <f>IF(Tabela1[[#This Row],[Levant OS - Jun/17]]=Tabela1[[#This Row],[Situação2]],0,1)</f>
        <v>0</v>
      </c>
      <c r="I25" s="31" t="s">
        <v>124</v>
      </c>
      <c r="J25" s="31" t="s">
        <v>55</v>
      </c>
      <c r="K25" s="31">
        <v>85862500</v>
      </c>
      <c r="L25" s="31" t="s">
        <v>533</v>
      </c>
      <c r="M25" s="31" t="s">
        <v>534</v>
      </c>
      <c r="N25" s="31" t="s">
        <v>127</v>
      </c>
      <c r="O25" s="31" t="s">
        <v>437</v>
      </c>
      <c r="P25" s="31" t="s">
        <v>408</v>
      </c>
      <c r="Q25" s="31">
        <v>0</v>
      </c>
      <c r="R25" s="24" t="s">
        <v>59</v>
      </c>
      <c r="S25" s="31" t="s">
        <v>409</v>
      </c>
      <c r="T25" s="31" t="s">
        <v>424</v>
      </c>
      <c r="U25" s="31" t="s">
        <v>290</v>
      </c>
      <c r="V25" s="31" t="s">
        <v>411</v>
      </c>
      <c r="W25" s="31">
        <v>1927667.98</v>
      </c>
      <c r="X25" s="31" t="s">
        <v>412</v>
      </c>
      <c r="Y25" s="31">
        <v>76206606000140</v>
      </c>
      <c r="Z25" s="31" t="s">
        <v>522</v>
      </c>
      <c r="AA25" s="31" t="s">
        <v>523</v>
      </c>
      <c r="AB25" s="31" t="s">
        <v>524</v>
      </c>
      <c r="AC25" s="31" t="s">
        <v>525</v>
      </c>
      <c r="AD25" s="31" t="s">
        <v>526</v>
      </c>
      <c r="AE25" s="31" t="s">
        <v>527</v>
      </c>
      <c r="AF25" s="31" t="s">
        <v>528</v>
      </c>
      <c r="AG25" s="31">
        <v>85851340</v>
      </c>
      <c r="AH25" s="31" t="s">
        <v>529</v>
      </c>
      <c r="AJ25" s="31">
        <v>280</v>
      </c>
      <c r="AK25" s="31" t="s">
        <v>421</v>
      </c>
      <c r="AM25" s="31" t="s">
        <v>124</v>
      </c>
      <c r="AV25" s="31">
        <v>1927667.98</v>
      </c>
      <c r="AZ25" s="31">
        <v>370547.14</v>
      </c>
      <c r="BA25" s="31">
        <v>19.222560359999999</v>
      </c>
      <c r="BB25" s="31">
        <v>1</v>
      </c>
      <c r="BC25" s="31">
        <v>140</v>
      </c>
      <c r="BD25" s="31" t="s">
        <v>530</v>
      </c>
      <c r="BE25" s="31" t="s">
        <v>422</v>
      </c>
      <c r="BF25" s="31">
        <v>0</v>
      </c>
      <c r="BG25" s="31">
        <v>1885989.12</v>
      </c>
      <c r="BH25" s="31">
        <v>0</v>
      </c>
      <c r="BI25" s="31">
        <v>0</v>
      </c>
      <c r="BJ25" s="31">
        <v>1885989.12</v>
      </c>
    </row>
    <row r="26" spans="1:62">
      <c r="A26" s="24" t="s">
        <v>60</v>
      </c>
      <c r="B26" s="31">
        <v>1009205</v>
      </c>
      <c r="C26" s="31" t="s">
        <v>130</v>
      </c>
      <c r="D26" s="31" t="s">
        <v>82</v>
      </c>
      <c r="E26" s="31" t="s">
        <v>64</v>
      </c>
      <c r="F26" s="24" t="str">
        <f>IF(Tabela1[[#This Row],[Data Prevista de Conclusão da Obra]]&lt;$C$1,"Atrasada","-")</f>
        <v>-</v>
      </c>
      <c r="G26" s="53" t="s">
        <v>64</v>
      </c>
      <c r="H26" s="24">
        <f>IF(Tabela1[[#This Row],[Levant OS - Jun/17]]=Tabela1[[#This Row],[Situação2]],0,1)</f>
        <v>0</v>
      </c>
      <c r="I26" s="31" t="s">
        <v>124</v>
      </c>
      <c r="J26" s="31" t="s">
        <v>55</v>
      </c>
      <c r="K26" s="31">
        <v>85855782</v>
      </c>
      <c r="L26" s="31" t="s">
        <v>535</v>
      </c>
      <c r="M26" s="31" t="s">
        <v>536</v>
      </c>
      <c r="N26" s="31" t="s">
        <v>127</v>
      </c>
      <c r="O26" s="31" t="s">
        <v>437</v>
      </c>
      <c r="P26" s="31" t="s">
        <v>408</v>
      </c>
      <c r="Q26" s="31">
        <v>0</v>
      </c>
      <c r="R26" s="24" t="s">
        <v>59</v>
      </c>
      <c r="S26" s="31" t="s">
        <v>409</v>
      </c>
      <c r="T26" s="31" t="s">
        <v>410</v>
      </c>
      <c r="U26" s="31" t="s">
        <v>290</v>
      </c>
      <c r="V26" s="31" t="s">
        <v>411</v>
      </c>
      <c r="W26" s="31">
        <v>1267584.72</v>
      </c>
      <c r="X26" s="31" t="s">
        <v>412</v>
      </c>
      <c r="Y26" s="31">
        <v>76206606000140</v>
      </c>
      <c r="Z26" s="31" t="s">
        <v>522</v>
      </c>
      <c r="AA26" s="31" t="s">
        <v>523</v>
      </c>
      <c r="AB26" s="31" t="s">
        <v>524</v>
      </c>
      <c r="AC26" s="31" t="s">
        <v>525</v>
      </c>
      <c r="AD26" s="31" t="s">
        <v>526</v>
      </c>
      <c r="AE26" s="31" t="s">
        <v>527</v>
      </c>
      <c r="AF26" s="31" t="s">
        <v>528</v>
      </c>
      <c r="AG26" s="31">
        <v>85851340</v>
      </c>
      <c r="AH26" s="31" t="s">
        <v>529</v>
      </c>
      <c r="AJ26" s="31">
        <v>280</v>
      </c>
      <c r="AK26" s="31" t="s">
        <v>421</v>
      </c>
      <c r="AM26" s="31" t="s">
        <v>124</v>
      </c>
      <c r="AV26" s="31">
        <v>1267584.72</v>
      </c>
      <c r="AZ26" s="31">
        <v>370549.25</v>
      </c>
      <c r="BA26" s="31">
        <v>29.232700940000001</v>
      </c>
      <c r="BB26" s="31">
        <v>1</v>
      </c>
      <c r="BC26" s="31">
        <v>140</v>
      </c>
      <c r="BD26" s="31" t="s">
        <v>530</v>
      </c>
      <c r="BE26" s="31" t="s">
        <v>422</v>
      </c>
      <c r="BF26" s="31">
        <v>0</v>
      </c>
      <c r="BG26" s="31">
        <v>1885989.12</v>
      </c>
      <c r="BH26" s="31">
        <v>0</v>
      </c>
      <c r="BI26" s="31">
        <v>0</v>
      </c>
      <c r="BJ26" s="31">
        <v>1885989.12</v>
      </c>
    </row>
    <row r="27" spans="1:62">
      <c r="A27" s="24" t="s">
        <v>60</v>
      </c>
      <c r="B27" s="31">
        <v>1011101</v>
      </c>
      <c r="C27" s="31" t="s">
        <v>131</v>
      </c>
      <c r="D27" s="31" t="s">
        <v>82</v>
      </c>
      <c r="E27" s="31" t="s">
        <v>64</v>
      </c>
      <c r="F27" s="24" t="str">
        <f>IF(Tabela1[[#This Row],[Data Prevista de Conclusão da Obra]]&lt;$C$1,"Atrasada","-")</f>
        <v>-</v>
      </c>
      <c r="G27" s="53" t="s">
        <v>64</v>
      </c>
      <c r="H27" s="24">
        <f>IF(Tabela1[[#This Row],[Levant OS - Jun/17]]=Tabela1[[#This Row],[Situação2]],0,1)</f>
        <v>0</v>
      </c>
      <c r="I27" s="31" t="s">
        <v>124</v>
      </c>
      <c r="J27" s="31" t="s">
        <v>55</v>
      </c>
      <c r="K27" s="31">
        <v>85857050</v>
      </c>
      <c r="L27" s="31" t="s">
        <v>537</v>
      </c>
      <c r="M27" s="31" t="s">
        <v>538</v>
      </c>
      <c r="N27" s="31" t="s">
        <v>132</v>
      </c>
      <c r="O27" s="50">
        <v>43104</v>
      </c>
      <c r="P27" s="31" t="s">
        <v>408</v>
      </c>
      <c r="Q27" s="31">
        <v>0</v>
      </c>
      <c r="R27" s="24" t="s">
        <v>59</v>
      </c>
      <c r="S27" s="31" t="s">
        <v>409</v>
      </c>
      <c r="T27" s="31" t="s">
        <v>410</v>
      </c>
      <c r="U27" s="31" t="s">
        <v>290</v>
      </c>
      <c r="V27" s="31" t="s">
        <v>411</v>
      </c>
      <c r="W27" s="31">
        <v>1267584.72</v>
      </c>
      <c r="X27" s="31" t="s">
        <v>412</v>
      </c>
      <c r="Y27" s="31">
        <v>76206606000140</v>
      </c>
      <c r="Z27" s="31" t="s">
        <v>522</v>
      </c>
      <c r="AA27" s="31" t="s">
        <v>523</v>
      </c>
      <c r="AB27" s="31" t="s">
        <v>524</v>
      </c>
      <c r="AC27" s="31" t="s">
        <v>525</v>
      </c>
      <c r="AD27" s="31" t="s">
        <v>526</v>
      </c>
      <c r="AE27" s="31" t="s">
        <v>527</v>
      </c>
      <c r="AF27" s="31" t="s">
        <v>528</v>
      </c>
      <c r="AG27" s="31">
        <v>85851340</v>
      </c>
      <c r="AH27" s="31" t="s">
        <v>529</v>
      </c>
      <c r="AJ27" s="31">
        <v>280</v>
      </c>
      <c r="AK27" s="31" t="s">
        <v>421</v>
      </c>
      <c r="AM27" s="31" t="s">
        <v>124</v>
      </c>
      <c r="AV27" s="31">
        <v>1267584.72</v>
      </c>
      <c r="BB27" s="31">
        <v>1</v>
      </c>
      <c r="BC27" s="31">
        <v>140</v>
      </c>
      <c r="BD27" s="31">
        <v>925314</v>
      </c>
      <c r="BE27" s="31" t="s">
        <v>422</v>
      </c>
      <c r="BF27" s="31">
        <v>0</v>
      </c>
      <c r="BG27" s="31">
        <v>0</v>
      </c>
      <c r="BH27" s="31">
        <v>0</v>
      </c>
      <c r="BI27" s="31">
        <v>0</v>
      </c>
      <c r="BJ27" s="31">
        <v>0</v>
      </c>
    </row>
    <row r="28" spans="1:62">
      <c r="A28" s="24" t="s">
        <v>60</v>
      </c>
      <c r="B28" s="31">
        <v>1012814</v>
      </c>
      <c r="C28" s="31" t="s">
        <v>133</v>
      </c>
      <c r="D28" s="31" t="s">
        <v>82</v>
      </c>
      <c r="E28" s="31" t="s">
        <v>64</v>
      </c>
      <c r="F28" s="24" t="str">
        <f>IF(Tabela1[[#This Row],[Data Prevista de Conclusão da Obra]]&lt;$C$1,"Atrasada","-")</f>
        <v>-</v>
      </c>
      <c r="G28" s="53" t="s">
        <v>64</v>
      </c>
      <c r="H28" s="24">
        <f>IF(Tabela1[[#This Row],[Levant OS - Jun/17]]=Tabela1[[#This Row],[Situação2]],0,1)</f>
        <v>0</v>
      </c>
      <c r="I28" s="31" t="s">
        <v>124</v>
      </c>
      <c r="J28" s="31" t="s">
        <v>55</v>
      </c>
      <c r="K28" s="31">
        <v>85869380</v>
      </c>
      <c r="L28" s="31" t="s">
        <v>539</v>
      </c>
      <c r="M28" s="31" t="s">
        <v>540</v>
      </c>
      <c r="N28" s="31" t="s">
        <v>134</v>
      </c>
      <c r="O28" s="31" t="s">
        <v>541</v>
      </c>
      <c r="P28" s="31" t="s">
        <v>408</v>
      </c>
      <c r="Q28" s="31">
        <v>0</v>
      </c>
      <c r="R28" s="24" t="s">
        <v>59</v>
      </c>
      <c r="S28" s="31" t="s">
        <v>409</v>
      </c>
      <c r="T28" s="31" t="s">
        <v>424</v>
      </c>
      <c r="U28" s="31" t="s">
        <v>290</v>
      </c>
      <c r="V28" s="31" t="s">
        <v>411</v>
      </c>
      <c r="W28" s="31">
        <v>1927667.98</v>
      </c>
      <c r="X28" s="31" t="s">
        <v>412</v>
      </c>
      <c r="Y28" s="31">
        <v>76206606000140</v>
      </c>
      <c r="Z28" s="31" t="s">
        <v>522</v>
      </c>
      <c r="AA28" s="31" t="s">
        <v>523</v>
      </c>
      <c r="AB28" s="31" t="s">
        <v>524</v>
      </c>
      <c r="AC28" s="31" t="s">
        <v>525</v>
      </c>
      <c r="AD28" s="31" t="s">
        <v>526</v>
      </c>
      <c r="AE28" s="31" t="s">
        <v>527</v>
      </c>
      <c r="AF28" s="31" t="s">
        <v>528</v>
      </c>
      <c r="AG28" s="31">
        <v>85851340</v>
      </c>
      <c r="AH28" s="31" t="s">
        <v>529</v>
      </c>
      <c r="AJ28" s="31">
        <v>280</v>
      </c>
      <c r="AK28" s="31" t="s">
        <v>421</v>
      </c>
      <c r="AM28" s="31" t="s">
        <v>124</v>
      </c>
      <c r="AV28" s="31">
        <v>1927667.98</v>
      </c>
      <c r="BB28" s="31">
        <v>1</v>
      </c>
      <c r="BC28" s="31">
        <v>140</v>
      </c>
      <c r="BD28" s="31">
        <v>925322</v>
      </c>
      <c r="BE28" s="31" t="s">
        <v>422</v>
      </c>
      <c r="BF28" s="31">
        <v>0</v>
      </c>
      <c r="BG28" s="31">
        <v>0</v>
      </c>
      <c r="BH28" s="31">
        <v>0</v>
      </c>
      <c r="BI28" s="31">
        <v>0</v>
      </c>
      <c r="BJ28" s="31">
        <v>0</v>
      </c>
    </row>
    <row r="29" spans="1:62">
      <c r="A29" s="24" t="s">
        <v>60</v>
      </c>
      <c r="B29" s="31">
        <v>1012815</v>
      </c>
      <c r="C29" s="31" t="s">
        <v>135</v>
      </c>
      <c r="D29" s="31" t="s">
        <v>82</v>
      </c>
      <c r="E29" s="31" t="s">
        <v>64</v>
      </c>
      <c r="F29" s="24" t="str">
        <f>IF(Tabela1[[#This Row],[Data Prevista de Conclusão da Obra]]&lt;$C$1,"Atrasada","-")</f>
        <v>-</v>
      </c>
      <c r="G29" s="53" t="s">
        <v>64</v>
      </c>
      <c r="H29" s="24">
        <f>IF(Tabela1[[#This Row],[Levant OS - Jun/17]]=Tabela1[[#This Row],[Situação2]],0,1)</f>
        <v>0</v>
      </c>
      <c r="I29" s="31" t="s">
        <v>124</v>
      </c>
      <c r="J29" s="31" t="s">
        <v>55</v>
      </c>
      <c r="K29" s="31">
        <v>85862530</v>
      </c>
      <c r="L29" s="31" t="s">
        <v>542</v>
      </c>
      <c r="M29" s="31" t="s">
        <v>543</v>
      </c>
      <c r="N29" s="31" t="s">
        <v>134</v>
      </c>
      <c r="O29" s="31" t="s">
        <v>541</v>
      </c>
      <c r="P29" s="31" t="s">
        <v>408</v>
      </c>
      <c r="Q29" s="31">
        <v>0</v>
      </c>
      <c r="R29" s="24" t="s">
        <v>59</v>
      </c>
      <c r="S29" s="31" t="s">
        <v>409</v>
      </c>
      <c r="T29" s="31" t="s">
        <v>424</v>
      </c>
      <c r="U29" s="31" t="s">
        <v>290</v>
      </c>
      <c r="V29" s="31" t="s">
        <v>411</v>
      </c>
      <c r="W29" s="31">
        <v>1927667.98</v>
      </c>
      <c r="X29" s="31" t="s">
        <v>412</v>
      </c>
      <c r="Y29" s="31">
        <v>76206606000140</v>
      </c>
      <c r="Z29" s="31" t="s">
        <v>522</v>
      </c>
      <c r="AA29" s="31" t="s">
        <v>523</v>
      </c>
      <c r="AB29" s="31" t="s">
        <v>524</v>
      </c>
      <c r="AC29" s="31" t="s">
        <v>525</v>
      </c>
      <c r="AD29" s="31" t="s">
        <v>526</v>
      </c>
      <c r="AE29" s="31" t="s">
        <v>527</v>
      </c>
      <c r="AF29" s="31" t="s">
        <v>528</v>
      </c>
      <c r="AG29" s="31">
        <v>85851340</v>
      </c>
      <c r="AH29" s="31" t="s">
        <v>529</v>
      </c>
      <c r="AJ29" s="31">
        <v>280</v>
      </c>
      <c r="AK29" s="31" t="s">
        <v>421</v>
      </c>
      <c r="AM29" s="31" t="s">
        <v>124</v>
      </c>
      <c r="AV29" s="31">
        <v>1927667.98</v>
      </c>
      <c r="BB29" s="31">
        <v>1</v>
      </c>
      <c r="BC29" s="31">
        <v>140</v>
      </c>
      <c r="BD29" s="31">
        <v>925322</v>
      </c>
      <c r="BE29" s="31" t="s">
        <v>422</v>
      </c>
      <c r="BF29" s="31">
        <v>0</v>
      </c>
      <c r="BG29" s="31">
        <v>0</v>
      </c>
      <c r="BH29" s="31">
        <v>0</v>
      </c>
      <c r="BI29" s="31">
        <v>0</v>
      </c>
      <c r="BJ29" s="31">
        <v>0</v>
      </c>
    </row>
    <row r="30" spans="1:62">
      <c r="A30" s="24" t="s">
        <v>78</v>
      </c>
      <c r="B30" s="31">
        <v>1012816</v>
      </c>
      <c r="C30" s="31" t="s">
        <v>136</v>
      </c>
      <c r="D30" s="31" t="s">
        <v>137</v>
      </c>
      <c r="E30" s="31" t="s">
        <v>64</v>
      </c>
      <c r="F30" s="24" t="str">
        <f>IF(Tabela1[[#This Row],[Data Prevista de Conclusão da Obra]]&lt;$C$1,"Atrasada","-")</f>
        <v>-</v>
      </c>
      <c r="G30" s="53" t="s">
        <v>64</v>
      </c>
      <c r="H30" s="24">
        <f>IF(Tabela1[[#This Row],[Levant OS - Jun/17]]=Tabela1[[#This Row],[Situação2]],0,1)</f>
        <v>0</v>
      </c>
      <c r="I30" s="31" t="s">
        <v>124</v>
      </c>
      <c r="J30" s="31" t="s">
        <v>55</v>
      </c>
      <c r="K30" s="31">
        <v>85862426</v>
      </c>
      <c r="L30" s="31" t="s">
        <v>544</v>
      </c>
      <c r="M30" s="31" t="s">
        <v>545</v>
      </c>
      <c r="N30" s="31" t="s">
        <v>134</v>
      </c>
      <c r="O30" s="31" t="s">
        <v>541</v>
      </c>
      <c r="P30" s="31" t="s">
        <v>408</v>
      </c>
      <c r="Q30" s="31">
        <v>0</v>
      </c>
      <c r="R30" s="24" t="s">
        <v>59</v>
      </c>
      <c r="S30" s="31" t="s">
        <v>409</v>
      </c>
      <c r="T30" s="31" t="s">
        <v>546</v>
      </c>
      <c r="U30" s="31" t="s">
        <v>290</v>
      </c>
      <c r="V30" s="31" t="s">
        <v>411</v>
      </c>
      <c r="W30" s="31">
        <v>1493426.54</v>
      </c>
      <c r="X30" s="31" t="s">
        <v>412</v>
      </c>
      <c r="Y30" s="31">
        <v>76206606000140</v>
      </c>
      <c r="Z30" s="31" t="s">
        <v>522</v>
      </c>
      <c r="AA30" s="31" t="s">
        <v>523</v>
      </c>
      <c r="AB30" s="31" t="s">
        <v>524</v>
      </c>
      <c r="AC30" s="31" t="s">
        <v>525</v>
      </c>
      <c r="AD30" s="31" t="s">
        <v>526</v>
      </c>
      <c r="AE30" s="31" t="s">
        <v>527</v>
      </c>
      <c r="AF30" s="31" t="s">
        <v>528</v>
      </c>
      <c r="AG30" s="31">
        <v>85851340</v>
      </c>
      <c r="AH30" s="31" t="s">
        <v>529</v>
      </c>
      <c r="AJ30" s="31">
        <v>280</v>
      </c>
      <c r="AK30" s="31" t="s">
        <v>421</v>
      </c>
      <c r="AM30" s="31" t="s">
        <v>124</v>
      </c>
      <c r="AV30" s="31">
        <v>1493426.54</v>
      </c>
      <c r="BB30" s="31">
        <v>1</v>
      </c>
      <c r="BC30" s="31">
        <v>140</v>
      </c>
      <c r="BD30" s="31">
        <v>925322</v>
      </c>
      <c r="BE30" s="31" t="s">
        <v>422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</row>
    <row r="31" spans="1:62">
      <c r="A31" s="24" t="s">
        <v>60</v>
      </c>
      <c r="B31" s="31">
        <v>1006081</v>
      </c>
      <c r="C31" s="31" t="s">
        <v>139</v>
      </c>
      <c r="D31" s="31" t="s">
        <v>58</v>
      </c>
      <c r="E31" s="31" t="s">
        <v>58</v>
      </c>
      <c r="F31" s="24" t="str">
        <f>IF(Tabela1[[#This Row],[Data Prevista de Conclusão da Obra]]&lt;$C$1,"Atrasada","-")</f>
        <v>-</v>
      </c>
      <c r="G31" s="53" t="s">
        <v>58</v>
      </c>
      <c r="H31" s="24">
        <f>IF(Tabela1[[#This Row],[Levant OS - Jun/17]]=Tabela1[[#This Row],[Situação2]],0,1)</f>
        <v>0</v>
      </c>
      <c r="I31" s="31" t="s">
        <v>138</v>
      </c>
      <c r="J31" s="31" t="s">
        <v>55</v>
      </c>
      <c r="K31" s="31">
        <v>87360000</v>
      </c>
      <c r="L31" s="31" t="s">
        <v>547</v>
      </c>
      <c r="M31" s="31" t="s">
        <v>548</v>
      </c>
      <c r="N31" s="31" t="s">
        <v>141</v>
      </c>
      <c r="O31" s="31" t="s">
        <v>549</v>
      </c>
      <c r="P31" s="31" t="s">
        <v>408</v>
      </c>
      <c r="Q31" s="31">
        <v>7.96</v>
      </c>
      <c r="R31" s="50">
        <v>43002</v>
      </c>
      <c r="S31" s="31" t="s">
        <v>409</v>
      </c>
      <c r="T31" s="31" t="s">
        <v>424</v>
      </c>
      <c r="U31" s="31" t="s">
        <v>290</v>
      </c>
      <c r="V31" s="31" t="s">
        <v>411</v>
      </c>
      <c r="W31" s="31">
        <v>1927667.97</v>
      </c>
      <c r="X31" s="31" t="s">
        <v>412</v>
      </c>
      <c r="Y31" s="31">
        <v>78198975000163</v>
      </c>
      <c r="Z31" s="31">
        <v>280873</v>
      </c>
      <c r="AA31" s="31" t="s">
        <v>550</v>
      </c>
      <c r="AB31" s="31" t="s">
        <v>551</v>
      </c>
      <c r="AC31" s="31" t="s">
        <v>552</v>
      </c>
      <c r="AD31" s="31" t="s">
        <v>553</v>
      </c>
      <c r="AE31" s="31" t="s">
        <v>554</v>
      </c>
      <c r="AF31" s="31" t="s">
        <v>554</v>
      </c>
      <c r="AG31" s="31">
        <v>87360000</v>
      </c>
      <c r="AH31" s="31" t="s">
        <v>555</v>
      </c>
      <c r="AJ31" s="31">
        <v>280</v>
      </c>
      <c r="AK31" s="31" t="s">
        <v>556</v>
      </c>
      <c r="AM31" s="31" t="s">
        <v>138</v>
      </c>
      <c r="AN31" s="31" t="s">
        <v>427</v>
      </c>
      <c r="AO31" s="31">
        <v>42016</v>
      </c>
      <c r="AP31" s="31" t="s">
        <v>557</v>
      </c>
      <c r="AQ31" s="31" t="s">
        <v>558</v>
      </c>
      <c r="AR31" s="31" t="s">
        <v>559</v>
      </c>
      <c r="AS31" s="31">
        <v>365</v>
      </c>
      <c r="AT31" s="31" t="s">
        <v>560</v>
      </c>
      <c r="AU31" s="31">
        <v>1792394.35</v>
      </c>
      <c r="AV31" s="31">
        <v>1927667.97</v>
      </c>
      <c r="AW31" s="55">
        <v>42890</v>
      </c>
      <c r="AX31" s="31" t="s">
        <v>457</v>
      </c>
      <c r="AZ31" s="31">
        <v>372424.64</v>
      </c>
      <c r="BA31" s="31">
        <v>19.31995783</v>
      </c>
      <c r="BB31" s="31">
        <v>1</v>
      </c>
      <c r="BC31" s="31">
        <v>847</v>
      </c>
      <c r="BD31" s="31">
        <v>360260</v>
      </c>
      <c r="BE31" s="31" t="s">
        <v>422</v>
      </c>
      <c r="BF31" s="31">
        <v>0</v>
      </c>
      <c r="BG31" s="31">
        <v>413303.35</v>
      </c>
      <c r="BH31" s="31">
        <v>0</v>
      </c>
      <c r="BI31" s="31">
        <v>0</v>
      </c>
      <c r="BJ31" s="31">
        <v>413303.35</v>
      </c>
    </row>
    <row r="32" spans="1:62">
      <c r="A32" s="24" t="s">
        <v>60</v>
      </c>
      <c r="B32" s="31">
        <v>1010867</v>
      </c>
      <c r="C32" s="31" t="s">
        <v>142</v>
      </c>
      <c r="D32" s="31" t="s">
        <v>58</v>
      </c>
      <c r="E32" s="31" t="s">
        <v>58</v>
      </c>
      <c r="F32" s="24" t="str">
        <f>IF(Tabela1[[#This Row],[Data Prevista de Conclusão da Obra]]&lt;$C$1,"Atrasada","-")</f>
        <v>-</v>
      </c>
      <c r="G32" s="53" t="s">
        <v>58</v>
      </c>
      <c r="H32" s="24">
        <f>IF(Tabela1[[#This Row],[Levant OS - Jun/17]]=Tabela1[[#This Row],[Situação2]],0,1)</f>
        <v>0</v>
      </c>
      <c r="I32" s="31" t="s">
        <v>138</v>
      </c>
      <c r="J32" s="31" t="s">
        <v>55</v>
      </c>
      <c r="K32" s="31">
        <v>87360000</v>
      </c>
      <c r="L32" s="31" t="s">
        <v>547</v>
      </c>
      <c r="M32" s="31" t="s">
        <v>561</v>
      </c>
      <c r="N32" s="31" t="s">
        <v>144</v>
      </c>
      <c r="O32" s="31" t="s">
        <v>562</v>
      </c>
      <c r="P32" s="31" t="s">
        <v>408</v>
      </c>
      <c r="Q32" s="31">
        <v>57.16</v>
      </c>
      <c r="R32" s="50">
        <v>42906</v>
      </c>
      <c r="S32" s="31" t="s">
        <v>409</v>
      </c>
      <c r="T32" s="31" t="s">
        <v>443</v>
      </c>
      <c r="U32" s="31" t="s">
        <v>290</v>
      </c>
      <c r="V32" s="31" t="s">
        <v>411</v>
      </c>
      <c r="W32" s="31">
        <v>3533595.15</v>
      </c>
      <c r="X32" s="31" t="s">
        <v>412</v>
      </c>
      <c r="Y32" s="31">
        <v>78198975000163</v>
      </c>
      <c r="Z32" s="31">
        <v>280873</v>
      </c>
      <c r="AA32" s="31" t="s">
        <v>550</v>
      </c>
      <c r="AB32" s="31" t="s">
        <v>551</v>
      </c>
      <c r="AC32" s="31" t="s">
        <v>552</v>
      </c>
      <c r="AD32" s="31" t="s">
        <v>553</v>
      </c>
      <c r="AE32" s="31" t="s">
        <v>554</v>
      </c>
      <c r="AF32" s="31" t="s">
        <v>554</v>
      </c>
      <c r="AG32" s="31">
        <v>87360000</v>
      </c>
      <c r="AH32" s="31" t="s">
        <v>555</v>
      </c>
      <c r="AJ32" s="31">
        <v>280</v>
      </c>
      <c r="AK32" s="31" t="s">
        <v>556</v>
      </c>
      <c r="AM32" s="31" t="s">
        <v>138</v>
      </c>
      <c r="AN32" s="31" t="s">
        <v>427</v>
      </c>
      <c r="AO32" s="31">
        <v>22015</v>
      </c>
      <c r="AP32" s="31" t="s">
        <v>563</v>
      </c>
      <c r="AQ32" s="31" t="s">
        <v>564</v>
      </c>
      <c r="AR32" s="31" t="s">
        <v>565</v>
      </c>
      <c r="AS32" s="31">
        <v>579</v>
      </c>
      <c r="AT32" s="31" t="s">
        <v>566</v>
      </c>
      <c r="AU32" s="31">
        <v>3344840.24</v>
      </c>
      <c r="AV32" s="31">
        <v>3533595.15</v>
      </c>
      <c r="AW32" s="31" t="s">
        <v>510</v>
      </c>
      <c r="AX32" s="31" t="s">
        <v>457</v>
      </c>
      <c r="AZ32" s="31">
        <v>1978813.3</v>
      </c>
      <c r="BA32" s="31">
        <v>56.00000051</v>
      </c>
      <c r="BB32" s="31">
        <v>1</v>
      </c>
      <c r="BC32" s="31">
        <v>847</v>
      </c>
      <c r="BD32" s="31">
        <v>361372</v>
      </c>
      <c r="BE32" s="31" t="s">
        <v>422</v>
      </c>
      <c r="BF32" s="31">
        <v>0</v>
      </c>
      <c r="BG32" s="31">
        <v>918.49</v>
      </c>
      <c r="BH32" s="31">
        <v>0</v>
      </c>
      <c r="BI32" s="31">
        <v>0</v>
      </c>
      <c r="BJ32" s="31">
        <v>918.49</v>
      </c>
    </row>
    <row r="33" spans="1:62">
      <c r="A33" s="24" t="s">
        <v>78</v>
      </c>
      <c r="B33" s="31">
        <v>13408</v>
      </c>
      <c r="C33" s="31" t="s">
        <v>147</v>
      </c>
      <c r="D33" s="31" t="s">
        <v>82</v>
      </c>
      <c r="E33" s="31" t="s">
        <v>64</v>
      </c>
      <c r="F33" s="24" t="str">
        <f>IF(Tabela1[[#This Row],[Data Prevista de Conclusão da Obra]]&lt;$C$1,"Atrasada","-")</f>
        <v>-</v>
      </c>
      <c r="G33" s="53" t="s">
        <v>64</v>
      </c>
      <c r="H33" s="24">
        <f>IF(Tabela1[[#This Row],[Levant OS - Jun/17]]=Tabela1[[#This Row],[Situação2]],0,1)</f>
        <v>0</v>
      </c>
      <c r="I33" s="31" t="s">
        <v>145</v>
      </c>
      <c r="J33" s="31" t="s">
        <v>146</v>
      </c>
      <c r="K33" s="31">
        <v>94340000</v>
      </c>
      <c r="N33" s="31" t="s">
        <v>148</v>
      </c>
      <c r="P33" s="31" t="s">
        <v>408</v>
      </c>
      <c r="Q33" s="31">
        <v>0</v>
      </c>
      <c r="R33" s="24" t="s">
        <v>59</v>
      </c>
      <c r="S33" s="31" t="s">
        <v>409</v>
      </c>
      <c r="T33" s="31" t="s">
        <v>546</v>
      </c>
      <c r="U33" s="31" t="s">
        <v>290</v>
      </c>
      <c r="V33" s="31" t="s">
        <v>411</v>
      </c>
      <c r="W33" s="31">
        <v>914410.54</v>
      </c>
      <c r="X33" s="31" t="s">
        <v>412</v>
      </c>
      <c r="Y33" s="31">
        <v>87890992000158</v>
      </c>
      <c r="AA33" s="31" t="s">
        <v>567</v>
      </c>
      <c r="AB33" s="31" t="s">
        <v>568</v>
      </c>
      <c r="AC33" s="31" t="s">
        <v>569</v>
      </c>
      <c r="AD33" s="31" t="s">
        <v>553</v>
      </c>
      <c r="AE33" s="31" t="s">
        <v>570</v>
      </c>
      <c r="AF33" s="31" t="s">
        <v>571</v>
      </c>
      <c r="AG33" s="31">
        <v>94000000</v>
      </c>
      <c r="AH33" s="31" t="s">
        <v>572</v>
      </c>
      <c r="AJ33" s="31">
        <v>1350</v>
      </c>
      <c r="AK33" s="31" t="s">
        <v>573</v>
      </c>
      <c r="AM33" s="31" t="s">
        <v>145</v>
      </c>
      <c r="AU33" s="31">
        <v>0</v>
      </c>
      <c r="AV33" s="31">
        <v>914410.54</v>
      </c>
      <c r="BB33" s="31">
        <v>1</v>
      </c>
      <c r="BC33" s="31">
        <v>883</v>
      </c>
      <c r="BD33" s="31">
        <v>458864</v>
      </c>
      <c r="BE33" s="31" t="s">
        <v>422</v>
      </c>
      <c r="BF33" s="31">
        <v>0</v>
      </c>
      <c r="BG33" s="31">
        <v>969429.91</v>
      </c>
      <c r="BH33" s="31">
        <v>0</v>
      </c>
      <c r="BI33" s="31">
        <v>0</v>
      </c>
      <c r="BJ33" s="31">
        <v>969429.91</v>
      </c>
    </row>
    <row r="34" spans="1:62">
      <c r="A34" s="24" t="s">
        <v>78</v>
      </c>
      <c r="B34" s="31">
        <v>19651</v>
      </c>
      <c r="C34" s="31" t="s">
        <v>149</v>
      </c>
      <c r="D34" s="31" t="s">
        <v>67</v>
      </c>
      <c r="E34" s="31" t="s">
        <v>67</v>
      </c>
      <c r="F34" s="24" t="str">
        <f>IF(Tabela1[[#This Row],[Data Prevista de Conclusão da Obra]]&lt;$C$1,"Atrasada","-")</f>
        <v>-</v>
      </c>
      <c r="G34" s="53" t="s">
        <v>58</v>
      </c>
      <c r="H34" s="24">
        <f>IF(Tabela1[[#This Row],[Levant OS - Jun/17]]=Tabela1[[#This Row],[Situação2]],0,1)</f>
        <v>1</v>
      </c>
      <c r="I34" s="31" t="s">
        <v>145</v>
      </c>
      <c r="J34" s="31" t="s">
        <v>146</v>
      </c>
      <c r="K34" s="31">
        <v>94120280</v>
      </c>
      <c r="L34" s="31" t="s">
        <v>574</v>
      </c>
      <c r="M34" s="31" t="s">
        <v>575</v>
      </c>
      <c r="N34" s="31" t="s">
        <v>151</v>
      </c>
      <c r="O34" s="31" t="s">
        <v>576</v>
      </c>
      <c r="P34" s="31" t="s">
        <v>408</v>
      </c>
      <c r="Q34" s="31">
        <v>25.74</v>
      </c>
      <c r="R34" s="50">
        <v>42916</v>
      </c>
      <c r="S34" s="31" t="s">
        <v>409</v>
      </c>
      <c r="T34" s="31" t="s">
        <v>546</v>
      </c>
      <c r="U34" s="31" t="s">
        <v>290</v>
      </c>
      <c r="V34" s="31" t="s">
        <v>411</v>
      </c>
      <c r="W34" s="31">
        <v>1492930.41</v>
      </c>
      <c r="X34" s="31" t="s">
        <v>412</v>
      </c>
      <c r="Y34" s="31">
        <v>87890992000158</v>
      </c>
      <c r="AA34" s="31" t="s">
        <v>567</v>
      </c>
      <c r="AB34" s="31" t="s">
        <v>568</v>
      </c>
      <c r="AC34" s="31" t="s">
        <v>569</v>
      </c>
      <c r="AD34" s="31" t="s">
        <v>553</v>
      </c>
      <c r="AE34" s="31" t="s">
        <v>570</v>
      </c>
      <c r="AF34" s="31" t="s">
        <v>571</v>
      </c>
      <c r="AG34" s="31">
        <v>94000000</v>
      </c>
      <c r="AH34" s="31" t="s">
        <v>572</v>
      </c>
      <c r="AJ34" s="31">
        <v>1350</v>
      </c>
      <c r="AK34" s="31" t="s">
        <v>573</v>
      </c>
      <c r="AM34" s="31" t="s">
        <v>145</v>
      </c>
      <c r="AR34" s="31" t="s">
        <v>577</v>
      </c>
      <c r="AS34" s="31">
        <v>924</v>
      </c>
      <c r="AT34" s="31" t="s">
        <v>578</v>
      </c>
      <c r="AU34" s="31">
        <v>1492930.41</v>
      </c>
      <c r="AV34" s="31">
        <v>1492930.41</v>
      </c>
      <c r="AW34" s="31" t="s">
        <v>579</v>
      </c>
      <c r="AX34" s="31" t="s">
        <v>429</v>
      </c>
      <c r="AY34" s="31" t="s">
        <v>580</v>
      </c>
      <c r="AZ34" s="31">
        <v>749180.92</v>
      </c>
      <c r="BA34" s="31">
        <v>50.181905</v>
      </c>
      <c r="BB34" s="31">
        <v>1</v>
      </c>
      <c r="BC34" s="31">
        <v>883</v>
      </c>
      <c r="BD34" s="31">
        <v>488178</v>
      </c>
      <c r="BE34" s="31" t="s">
        <v>422</v>
      </c>
      <c r="BF34" s="31">
        <v>0</v>
      </c>
      <c r="BG34" s="31">
        <v>711565.09</v>
      </c>
      <c r="BH34" s="31">
        <v>0</v>
      </c>
      <c r="BI34" s="31">
        <v>0</v>
      </c>
      <c r="BJ34" s="31">
        <v>711565.09</v>
      </c>
    </row>
    <row r="35" spans="1:62">
      <c r="A35" s="24" t="s">
        <v>78</v>
      </c>
      <c r="B35" s="31">
        <v>19874</v>
      </c>
      <c r="C35" s="31" t="s">
        <v>154</v>
      </c>
      <c r="D35" s="31" t="s">
        <v>67</v>
      </c>
      <c r="E35" s="31" t="s">
        <v>67</v>
      </c>
      <c r="F35" s="24" t="str">
        <f>IF(Tabela1[[#This Row],[Data Prevista de Conclusão da Obra]]&lt;$C$1,"Atrasada","-")</f>
        <v>-</v>
      </c>
      <c r="G35" s="53" t="s">
        <v>67</v>
      </c>
      <c r="H35" s="24">
        <f>IF(Tabela1[[#This Row],[Levant OS - Jun/17]]=Tabela1[[#This Row],[Situação2]],0,1)</f>
        <v>0</v>
      </c>
      <c r="I35" s="31" t="s">
        <v>145</v>
      </c>
      <c r="J35" s="31" t="s">
        <v>146</v>
      </c>
      <c r="K35" s="31">
        <v>94010000</v>
      </c>
      <c r="L35" s="31" t="s">
        <v>581</v>
      </c>
      <c r="M35" s="31" t="s">
        <v>582</v>
      </c>
      <c r="N35" s="31" t="s">
        <v>155</v>
      </c>
      <c r="O35" s="31" t="s">
        <v>407</v>
      </c>
      <c r="P35" s="31" t="s">
        <v>408</v>
      </c>
      <c r="Q35" s="31">
        <v>35.799999999999997</v>
      </c>
      <c r="R35" s="50">
        <v>43100</v>
      </c>
      <c r="S35" s="31" t="s">
        <v>409</v>
      </c>
      <c r="T35" s="31" t="s">
        <v>583</v>
      </c>
      <c r="U35" s="31" t="s">
        <v>290</v>
      </c>
      <c r="V35" s="31" t="s">
        <v>411</v>
      </c>
      <c r="W35" s="31">
        <v>786913.29</v>
      </c>
      <c r="X35" s="31" t="s">
        <v>412</v>
      </c>
      <c r="Y35" s="31">
        <v>87890992000158</v>
      </c>
      <c r="AA35" s="31" t="s">
        <v>567</v>
      </c>
      <c r="AB35" s="31" t="s">
        <v>568</v>
      </c>
      <c r="AC35" s="31" t="s">
        <v>569</v>
      </c>
      <c r="AD35" s="31" t="s">
        <v>553</v>
      </c>
      <c r="AE35" s="31" t="s">
        <v>570</v>
      </c>
      <c r="AF35" s="31" t="s">
        <v>571</v>
      </c>
      <c r="AG35" s="31">
        <v>94000000</v>
      </c>
      <c r="AH35" s="31" t="s">
        <v>572</v>
      </c>
      <c r="AJ35" s="31">
        <v>1350</v>
      </c>
      <c r="AK35" s="31" t="s">
        <v>573</v>
      </c>
      <c r="AM35" s="31" t="s">
        <v>145</v>
      </c>
      <c r="AR35" s="31" t="s">
        <v>577</v>
      </c>
      <c r="AS35" s="31">
        <v>924</v>
      </c>
      <c r="AT35" s="31" t="s">
        <v>578</v>
      </c>
      <c r="AU35" s="31">
        <v>786913.29</v>
      </c>
      <c r="AV35" s="31">
        <v>786913.29</v>
      </c>
      <c r="AW35" s="31" t="s">
        <v>584</v>
      </c>
      <c r="AX35" s="31" t="s">
        <v>429</v>
      </c>
      <c r="AY35" s="31" t="s">
        <v>580</v>
      </c>
      <c r="AZ35" s="31">
        <v>389635.12</v>
      </c>
      <c r="BA35" s="31">
        <v>49.514365169999998</v>
      </c>
      <c r="BB35" s="31">
        <v>1</v>
      </c>
      <c r="BC35" s="31">
        <v>883</v>
      </c>
      <c r="BD35" s="31">
        <v>467375</v>
      </c>
      <c r="BE35" s="31" t="s">
        <v>422</v>
      </c>
      <c r="BF35" s="31">
        <v>0</v>
      </c>
      <c r="BG35" s="31">
        <v>216569.97</v>
      </c>
      <c r="BH35" s="31">
        <v>0</v>
      </c>
      <c r="BI35" s="31">
        <v>0</v>
      </c>
      <c r="BJ35" s="31">
        <v>216569.97</v>
      </c>
    </row>
    <row r="36" spans="1:62">
      <c r="A36" s="24" t="s">
        <v>78</v>
      </c>
      <c r="B36" s="31">
        <v>24614</v>
      </c>
      <c r="C36" s="31" t="s">
        <v>156</v>
      </c>
      <c r="D36" s="31" t="s">
        <v>67</v>
      </c>
      <c r="E36" s="31" t="s">
        <v>67</v>
      </c>
      <c r="F36" s="24" t="str">
        <f>IF(Tabela1[[#This Row],[Data Prevista de Conclusão da Obra]]&lt;$C$1,"Atrasada","-")</f>
        <v>-</v>
      </c>
      <c r="G36" s="53" t="s">
        <v>58</v>
      </c>
      <c r="H36" s="24">
        <f>IF(Tabela1[[#This Row],[Levant OS - Jun/17]]=Tabela1[[#This Row],[Situação2]],0,1)</f>
        <v>1</v>
      </c>
      <c r="I36" s="31" t="s">
        <v>145</v>
      </c>
      <c r="J36" s="31" t="s">
        <v>146</v>
      </c>
      <c r="K36" s="31">
        <v>94010000</v>
      </c>
      <c r="L36" s="31" t="s">
        <v>585</v>
      </c>
      <c r="M36" s="31" t="s">
        <v>586</v>
      </c>
      <c r="N36" s="31" t="s">
        <v>157</v>
      </c>
      <c r="O36" s="31" t="s">
        <v>587</v>
      </c>
      <c r="P36" s="31" t="s">
        <v>408</v>
      </c>
      <c r="Q36" s="31">
        <v>25.63</v>
      </c>
      <c r="R36" s="50">
        <v>42916</v>
      </c>
      <c r="S36" s="31" t="s">
        <v>409</v>
      </c>
      <c r="T36" s="31" t="s">
        <v>546</v>
      </c>
      <c r="U36" s="31" t="s">
        <v>290</v>
      </c>
      <c r="V36" s="31" t="s">
        <v>411</v>
      </c>
      <c r="W36" s="31">
        <v>1506646.31</v>
      </c>
      <c r="X36" s="31" t="s">
        <v>412</v>
      </c>
      <c r="Y36" s="31">
        <v>87890992000158</v>
      </c>
      <c r="AA36" s="31" t="s">
        <v>567</v>
      </c>
      <c r="AB36" s="31" t="s">
        <v>568</v>
      </c>
      <c r="AC36" s="31" t="s">
        <v>569</v>
      </c>
      <c r="AD36" s="31" t="s">
        <v>553</v>
      </c>
      <c r="AE36" s="31" t="s">
        <v>570</v>
      </c>
      <c r="AF36" s="31" t="s">
        <v>571</v>
      </c>
      <c r="AG36" s="31">
        <v>94000000</v>
      </c>
      <c r="AH36" s="31" t="s">
        <v>572</v>
      </c>
      <c r="AJ36" s="31">
        <v>1350</v>
      </c>
      <c r="AK36" s="31" t="s">
        <v>573</v>
      </c>
      <c r="AM36" s="31" t="s">
        <v>145</v>
      </c>
      <c r="AR36" s="55">
        <v>41285</v>
      </c>
      <c r="AS36" s="31">
        <v>881</v>
      </c>
      <c r="AT36" s="31" t="s">
        <v>578</v>
      </c>
      <c r="AU36" s="31">
        <v>1506646.31</v>
      </c>
      <c r="AV36" s="31">
        <v>1506646.31</v>
      </c>
      <c r="AW36" s="31" t="s">
        <v>579</v>
      </c>
      <c r="AX36" s="31" t="s">
        <v>429</v>
      </c>
      <c r="AY36" s="31" t="s">
        <v>580</v>
      </c>
      <c r="AZ36" s="31">
        <v>481997.87</v>
      </c>
      <c r="BA36" s="31">
        <v>31.991441309999999</v>
      </c>
      <c r="BB36" s="31">
        <v>1</v>
      </c>
      <c r="BC36" s="31">
        <v>883</v>
      </c>
      <c r="BD36" s="31">
        <v>512699</v>
      </c>
      <c r="BE36" s="31" t="s">
        <v>422</v>
      </c>
      <c r="BF36" s="31">
        <v>0</v>
      </c>
      <c r="BG36" s="31">
        <v>1191622.8700000001</v>
      </c>
      <c r="BH36" s="31">
        <v>0</v>
      </c>
      <c r="BI36" s="31">
        <v>0</v>
      </c>
      <c r="BJ36" s="31">
        <v>1191622.8700000001</v>
      </c>
    </row>
    <row r="37" spans="1:62">
      <c r="A37" s="24" t="s">
        <v>78</v>
      </c>
      <c r="B37" s="31">
        <v>24615</v>
      </c>
      <c r="C37" s="31" t="s">
        <v>158</v>
      </c>
      <c r="D37" s="31" t="s">
        <v>67</v>
      </c>
      <c r="E37" s="31" t="s">
        <v>67</v>
      </c>
      <c r="F37" s="24" t="str">
        <f>IF(Tabela1[[#This Row],[Data Prevista de Conclusão da Obra]]&lt;$C$1,"Atrasada","-")</f>
        <v>-</v>
      </c>
      <c r="G37" s="53" t="s">
        <v>67</v>
      </c>
      <c r="H37" s="24">
        <f>IF(Tabela1[[#This Row],[Levant OS - Jun/17]]=Tabela1[[#This Row],[Situação2]],0,1)</f>
        <v>0</v>
      </c>
      <c r="I37" s="31" t="s">
        <v>145</v>
      </c>
      <c r="J37" s="31" t="s">
        <v>146</v>
      </c>
      <c r="K37" s="31">
        <v>94010000</v>
      </c>
      <c r="L37" s="31" t="s">
        <v>588</v>
      </c>
      <c r="M37" s="31" t="s">
        <v>589</v>
      </c>
      <c r="N37" s="31" t="s">
        <v>157</v>
      </c>
      <c r="O37" s="31" t="s">
        <v>587</v>
      </c>
      <c r="P37" s="31" t="s">
        <v>408</v>
      </c>
      <c r="Q37" s="31">
        <v>28.62</v>
      </c>
      <c r="R37" s="50">
        <v>43100</v>
      </c>
      <c r="S37" s="31" t="s">
        <v>409</v>
      </c>
      <c r="T37" s="31" t="s">
        <v>583</v>
      </c>
      <c r="U37" s="31" t="s">
        <v>290</v>
      </c>
      <c r="V37" s="31" t="s">
        <v>411</v>
      </c>
      <c r="W37" s="31">
        <v>788965.49</v>
      </c>
      <c r="X37" s="31" t="s">
        <v>412</v>
      </c>
      <c r="Y37" s="31">
        <v>87890992000158</v>
      </c>
      <c r="AA37" s="31" t="s">
        <v>567</v>
      </c>
      <c r="AB37" s="31" t="s">
        <v>568</v>
      </c>
      <c r="AC37" s="31" t="s">
        <v>569</v>
      </c>
      <c r="AD37" s="31" t="s">
        <v>553</v>
      </c>
      <c r="AE37" s="31" t="s">
        <v>570</v>
      </c>
      <c r="AF37" s="31" t="s">
        <v>571</v>
      </c>
      <c r="AG37" s="31">
        <v>94000000</v>
      </c>
      <c r="AH37" s="31" t="s">
        <v>572</v>
      </c>
      <c r="AJ37" s="31">
        <v>1350</v>
      </c>
      <c r="AK37" s="31" t="s">
        <v>573</v>
      </c>
      <c r="AM37" s="31" t="s">
        <v>145</v>
      </c>
      <c r="AR37" s="55">
        <v>41285</v>
      </c>
      <c r="AS37" s="31">
        <v>881</v>
      </c>
      <c r="AT37" s="31" t="s">
        <v>578</v>
      </c>
      <c r="AU37" s="31">
        <v>788965.49</v>
      </c>
      <c r="AV37" s="31">
        <v>788965.49</v>
      </c>
      <c r="AW37" s="31" t="s">
        <v>584</v>
      </c>
      <c r="AX37" s="31" t="s">
        <v>429</v>
      </c>
      <c r="AY37" s="31" t="s">
        <v>580</v>
      </c>
      <c r="AZ37" s="31">
        <v>135918.87</v>
      </c>
      <c r="BA37" s="31">
        <v>17.227479750000001</v>
      </c>
      <c r="BB37" s="31">
        <v>1</v>
      </c>
      <c r="BC37" s="31">
        <v>883</v>
      </c>
      <c r="BD37" s="31">
        <v>512699</v>
      </c>
      <c r="BE37" s="31" t="s">
        <v>422</v>
      </c>
      <c r="BF37" s="31">
        <v>0</v>
      </c>
      <c r="BG37" s="31">
        <v>1191622.8700000001</v>
      </c>
      <c r="BH37" s="31">
        <v>0</v>
      </c>
      <c r="BI37" s="31">
        <v>0</v>
      </c>
      <c r="BJ37" s="31">
        <v>1191622.8700000001</v>
      </c>
    </row>
    <row r="38" spans="1:62">
      <c r="A38" s="24" t="s">
        <v>78</v>
      </c>
      <c r="B38" s="31">
        <v>24616</v>
      </c>
      <c r="C38" s="31" t="s">
        <v>159</v>
      </c>
      <c r="D38" s="31" t="s">
        <v>67</v>
      </c>
      <c r="E38" s="31" t="s">
        <v>67</v>
      </c>
      <c r="F38" s="24" t="str">
        <f>IF(Tabela1[[#This Row],[Data Prevista de Conclusão da Obra]]&lt;$C$1,"Atrasada","-")</f>
        <v>-</v>
      </c>
      <c r="G38" s="53" t="s">
        <v>67</v>
      </c>
      <c r="H38" s="24">
        <f>IF(Tabela1[[#This Row],[Levant OS - Jun/17]]=Tabela1[[#This Row],[Situação2]],0,1)</f>
        <v>0</v>
      </c>
      <c r="I38" s="31" t="s">
        <v>145</v>
      </c>
      <c r="J38" s="31" t="s">
        <v>146</v>
      </c>
      <c r="K38" s="31">
        <v>94010000</v>
      </c>
      <c r="L38" s="31" t="s">
        <v>590</v>
      </c>
      <c r="M38" s="31" t="s">
        <v>591</v>
      </c>
      <c r="N38" s="31" t="s">
        <v>157</v>
      </c>
      <c r="O38" s="31" t="s">
        <v>587</v>
      </c>
      <c r="P38" s="31" t="s">
        <v>408</v>
      </c>
      <c r="Q38" s="31">
        <v>7.06</v>
      </c>
      <c r="R38" s="50">
        <v>43100</v>
      </c>
      <c r="S38" s="31" t="s">
        <v>409</v>
      </c>
      <c r="T38" s="31" t="s">
        <v>546</v>
      </c>
      <c r="U38" s="31" t="s">
        <v>290</v>
      </c>
      <c r="V38" s="31" t="s">
        <v>411</v>
      </c>
      <c r="W38" s="31">
        <v>1492750.71</v>
      </c>
      <c r="X38" s="31" t="s">
        <v>412</v>
      </c>
      <c r="Y38" s="31">
        <v>87890992000158</v>
      </c>
      <c r="AA38" s="31" t="s">
        <v>567</v>
      </c>
      <c r="AB38" s="31" t="s">
        <v>568</v>
      </c>
      <c r="AC38" s="31" t="s">
        <v>569</v>
      </c>
      <c r="AD38" s="31" t="s">
        <v>553</v>
      </c>
      <c r="AE38" s="31" t="s">
        <v>570</v>
      </c>
      <c r="AF38" s="31" t="s">
        <v>571</v>
      </c>
      <c r="AG38" s="31">
        <v>94000000</v>
      </c>
      <c r="AH38" s="31" t="s">
        <v>572</v>
      </c>
      <c r="AJ38" s="31">
        <v>1350</v>
      </c>
      <c r="AK38" s="31" t="s">
        <v>573</v>
      </c>
      <c r="AM38" s="31" t="s">
        <v>145</v>
      </c>
      <c r="AR38" s="55">
        <v>41285</v>
      </c>
      <c r="AS38" s="31">
        <v>881</v>
      </c>
      <c r="AT38" s="31" t="s">
        <v>578</v>
      </c>
      <c r="AU38" s="31">
        <v>1492750.71</v>
      </c>
      <c r="AV38" s="31">
        <v>1492750.71</v>
      </c>
      <c r="AW38" s="31" t="s">
        <v>584</v>
      </c>
      <c r="AX38" s="31" t="s">
        <v>429</v>
      </c>
      <c r="AY38" s="31" t="s">
        <v>580</v>
      </c>
      <c r="AZ38" s="31">
        <v>581997.87</v>
      </c>
      <c r="BA38" s="31">
        <v>38.988282910000002</v>
      </c>
      <c r="BB38" s="31">
        <v>1</v>
      </c>
      <c r="BC38" s="31">
        <v>883</v>
      </c>
      <c r="BD38" s="31">
        <v>512699</v>
      </c>
      <c r="BE38" s="31" t="s">
        <v>422</v>
      </c>
      <c r="BF38" s="31">
        <v>0</v>
      </c>
      <c r="BG38" s="31">
        <v>1191622.8700000001</v>
      </c>
      <c r="BH38" s="31">
        <v>0</v>
      </c>
      <c r="BI38" s="31">
        <v>0</v>
      </c>
      <c r="BJ38" s="31">
        <v>1191622.8700000001</v>
      </c>
    </row>
    <row r="39" spans="1:62">
      <c r="A39" s="24" t="s">
        <v>78</v>
      </c>
      <c r="B39" s="31">
        <v>24617</v>
      </c>
      <c r="C39" s="31" t="s">
        <v>160</v>
      </c>
      <c r="D39" s="31" t="s">
        <v>137</v>
      </c>
      <c r="E39" s="31" t="s">
        <v>64</v>
      </c>
      <c r="F39" s="24" t="str">
        <f>IF(Tabela1[[#This Row],[Data Prevista de Conclusão da Obra]]&lt;$C$1,"Atrasada","-")</f>
        <v>-</v>
      </c>
      <c r="G39" s="53" t="s">
        <v>64</v>
      </c>
      <c r="H39" s="24">
        <f>IF(Tabela1[[#This Row],[Levant OS - Jun/17]]=Tabela1[[#This Row],[Situação2]],0,1)</f>
        <v>0</v>
      </c>
      <c r="I39" s="31" t="s">
        <v>145</v>
      </c>
      <c r="J39" s="31" t="s">
        <v>146</v>
      </c>
      <c r="K39" s="31">
        <v>94090090</v>
      </c>
      <c r="L39" s="31" t="s">
        <v>592</v>
      </c>
      <c r="M39" s="31" t="s">
        <v>593</v>
      </c>
      <c r="N39" s="31" t="s">
        <v>157</v>
      </c>
      <c r="O39" s="31" t="s">
        <v>587</v>
      </c>
      <c r="P39" s="31" t="s">
        <v>408</v>
      </c>
      <c r="Q39" s="31">
        <v>0</v>
      </c>
      <c r="R39" s="24" t="s">
        <v>59</v>
      </c>
      <c r="S39" s="31" t="s">
        <v>409</v>
      </c>
      <c r="T39" s="31" t="s">
        <v>546</v>
      </c>
      <c r="U39" s="31" t="s">
        <v>290</v>
      </c>
      <c r="V39" s="31" t="s">
        <v>411</v>
      </c>
      <c r="W39" s="31">
        <v>1490024.98</v>
      </c>
      <c r="X39" s="31" t="s">
        <v>412</v>
      </c>
      <c r="Y39" s="31">
        <v>87890992000158</v>
      </c>
      <c r="AA39" s="31" t="s">
        <v>567</v>
      </c>
      <c r="AB39" s="31" t="s">
        <v>568</v>
      </c>
      <c r="AC39" s="31" t="s">
        <v>569</v>
      </c>
      <c r="AD39" s="31" t="s">
        <v>553</v>
      </c>
      <c r="AE39" s="31" t="s">
        <v>570</v>
      </c>
      <c r="AF39" s="31" t="s">
        <v>571</v>
      </c>
      <c r="AG39" s="31">
        <v>94000000</v>
      </c>
      <c r="AH39" s="31" t="s">
        <v>572</v>
      </c>
      <c r="AJ39" s="31">
        <v>1350</v>
      </c>
      <c r="AK39" s="31" t="s">
        <v>573</v>
      </c>
      <c r="AM39" s="31" t="s">
        <v>145</v>
      </c>
      <c r="AR39" s="55">
        <v>41285</v>
      </c>
      <c r="AU39" s="31">
        <v>0</v>
      </c>
      <c r="AV39" s="31">
        <v>1490024.98</v>
      </c>
      <c r="AZ39" s="31">
        <v>290998.93</v>
      </c>
      <c r="BA39" s="31">
        <v>19.529802109999999</v>
      </c>
      <c r="BB39" s="31">
        <v>1</v>
      </c>
      <c r="BC39" s="31">
        <v>883</v>
      </c>
      <c r="BD39" s="31">
        <v>512699</v>
      </c>
      <c r="BE39" s="31" t="s">
        <v>422</v>
      </c>
      <c r="BF39" s="31">
        <v>0</v>
      </c>
      <c r="BG39" s="31">
        <v>1191622.8700000001</v>
      </c>
      <c r="BH39" s="31">
        <v>0</v>
      </c>
      <c r="BI39" s="31">
        <v>0</v>
      </c>
      <c r="BJ39" s="31">
        <v>1191622.8700000001</v>
      </c>
    </row>
    <row r="40" spans="1:62">
      <c r="A40" s="24" t="s">
        <v>78</v>
      </c>
      <c r="B40" s="31">
        <v>24618</v>
      </c>
      <c r="C40" s="31" t="s">
        <v>161</v>
      </c>
      <c r="D40" s="31" t="s">
        <v>67</v>
      </c>
      <c r="E40" s="31" t="s">
        <v>67</v>
      </c>
      <c r="F40" s="24" t="str">
        <f>IF(Tabela1[[#This Row],[Data Prevista de Conclusão da Obra]]&lt;$C$1,"Atrasada","-")</f>
        <v>-</v>
      </c>
      <c r="G40" s="53" t="s">
        <v>58</v>
      </c>
      <c r="H40" s="24">
        <f>IF(Tabela1[[#This Row],[Levant OS - Jun/17]]=Tabela1[[#This Row],[Situação2]],0,1)</f>
        <v>1</v>
      </c>
      <c r="I40" s="31" t="s">
        <v>145</v>
      </c>
      <c r="J40" s="31" t="s">
        <v>146</v>
      </c>
      <c r="K40" s="31">
        <v>94110357</v>
      </c>
      <c r="L40" s="31" t="s">
        <v>594</v>
      </c>
      <c r="M40" s="31" t="s">
        <v>595</v>
      </c>
      <c r="N40" s="31" t="s">
        <v>157</v>
      </c>
      <c r="O40" s="31" t="s">
        <v>587</v>
      </c>
      <c r="P40" s="31" t="s">
        <v>408</v>
      </c>
      <c r="Q40" s="31">
        <v>74.540000000000006</v>
      </c>
      <c r="R40" s="50">
        <v>42916</v>
      </c>
      <c r="S40" s="31" t="s">
        <v>409</v>
      </c>
      <c r="T40" s="31" t="s">
        <v>546</v>
      </c>
      <c r="U40" s="31" t="s">
        <v>290</v>
      </c>
      <c r="V40" s="31" t="s">
        <v>411</v>
      </c>
      <c r="W40" s="31">
        <v>1494292.81</v>
      </c>
      <c r="X40" s="31" t="s">
        <v>412</v>
      </c>
      <c r="Y40" s="31">
        <v>87890992000158</v>
      </c>
      <c r="AA40" s="31" t="s">
        <v>567</v>
      </c>
      <c r="AB40" s="31" t="s">
        <v>568</v>
      </c>
      <c r="AC40" s="31" t="s">
        <v>569</v>
      </c>
      <c r="AD40" s="31" t="s">
        <v>553</v>
      </c>
      <c r="AE40" s="31" t="s">
        <v>570</v>
      </c>
      <c r="AF40" s="31" t="s">
        <v>571</v>
      </c>
      <c r="AG40" s="31">
        <v>94000000</v>
      </c>
      <c r="AH40" s="31" t="s">
        <v>572</v>
      </c>
      <c r="AJ40" s="31">
        <v>1350</v>
      </c>
      <c r="AK40" s="31" t="s">
        <v>573</v>
      </c>
      <c r="AM40" s="31" t="s">
        <v>145</v>
      </c>
      <c r="AR40" s="55">
        <v>41285</v>
      </c>
      <c r="AS40" s="31">
        <v>881</v>
      </c>
      <c r="AT40" s="31" t="s">
        <v>578</v>
      </c>
      <c r="AU40" s="31">
        <v>1494292.81</v>
      </c>
      <c r="AV40" s="31">
        <v>1494292.81</v>
      </c>
      <c r="AW40" s="31" t="s">
        <v>579</v>
      </c>
      <c r="AX40" s="31" t="s">
        <v>429</v>
      </c>
      <c r="AY40" s="31" t="s">
        <v>580</v>
      </c>
      <c r="AZ40" s="31">
        <v>746370.08</v>
      </c>
      <c r="BA40" s="31">
        <v>49.948047330000001</v>
      </c>
      <c r="BB40" s="31">
        <v>1</v>
      </c>
      <c r="BC40" s="31">
        <v>883</v>
      </c>
      <c r="BD40" s="31">
        <v>512699</v>
      </c>
      <c r="BE40" s="31" t="s">
        <v>422</v>
      </c>
      <c r="BF40" s="31">
        <v>0</v>
      </c>
      <c r="BG40" s="31">
        <v>1191622.8700000001</v>
      </c>
      <c r="BH40" s="31">
        <v>0</v>
      </c>
      <c r="BI40" s="31">
        <v>0</v>
      </c>
      <c r="BJ40" s="31">
        <v>1191622.8700000001</v>
      </c>
    </row>
    <row r="41" spans="1:62">
      <c r="A41" s="24" t="s">
        <v>78</v>
      </c>
      <c r="B41" s="31">
        <v>1010678</v>
      </c>
      <c r="C41" s="31" t="s">
        <v>162</v>
      </c>
      <c r="D41" s="31" t="s">
        <v>137</v>
      </c>
      <c r="E41" s="31" t="s">
        <v>64</v>
      </c>
      <c r="F41" s="24" t="str">
        <f>IF(Tabela1[[#This Row],[Data Prevista de Conclusão da Obra]]&lt;$C$1,"Atrasada","-")</f>
        <v>-</v>
      </c>
      <c r="G41" s="53" t="s">
        <v>64</v>
      </c>
      <c r="H41" s="24">
        <f>IF(Tabela1[[#This Row],[Levant OS - Jun/17]]=Tabela1[[#This Row],[Situação2]],0,1)</f>
        <v>0</v>
      </c>
      <c r="I41" s="31" t="s">
        <v>145</v>
      </c>
      <c r="J41" s="31" t="s">
        <v>146</v>
      </c>
      <c r="K41" s="31">
        <v>94030020</v>
      </c>
      <c r="L41" s="31" t="s">
        <v>596</v>
      </c>
      <c r="M41" s="31" t="s">
        <v>597</v>
      </c>
      <c r="N41" s="31" t="s">
        <v>164</v>
      </c>
      <c r="O41" s="31" t="s">
        <v>598</v>
      </c>
      <c r="P41" s="31" t="s">
        <v>408</v>
      </c>
      <c r="Q41" s="31">
        <v>0</v>
      </c>
      <c r="R41" s="24" t="s">
        <v>59</v>
      </c>
      <c r="S41" s="31" t="s">
        <v>409</v>
      </c>
      <c r="T41" s="31" t="s">
        <v>546</v>
      </c>
      <c r="U41" s="31" t="s">
        <v>290</v>
      </c>
      <c r="V41" s="31" t="s">
        <v>411</v>
      </c>
      <c r="W41" s="31">
        <v>1511310.41</v>
      </c>
      <c r="X41" s="31" t="s">
        <v>412</v>
      </c>
      <c r="Y41" s="31">
        <v>87890992000158</v>
      </c>
      <c r="AA41" s="31" t="s">
        <v>567</v>
      </c>
      <c r="AB41" s="31" t="s">
        <v>568</v>
      </c>
      <c r="AC41" s="31" t="s">
        <v>569</v>
      </c>
      <c r="AD41" s="31" t="s">
        <v>553</v>
      </c>
      <c r="AE41" s="31" t="s">
        <v>570</v>
      </c>
      <c r="AF41" s="31" t="s">
        <v>571</v>
      </c>
      <c r="AG41" s="31">
        <v>94000000</v>
      </c>
      <c r="AH41" s="31" t="s">
        <v>572</v>
      </c>
      <c r="AJ41" s="31">
        <v>1350</v>
      </c>
      <c r="AK41" s="31" t="s">
        <v>573</v>
      </c>
      <c r="AM41" s="31" t="s">
        <v>145</v>
      </c>
      <c r="AR41" s="31" t="s">
        <v>599</v>
      </c>
      <c r="AV41" s="31">
        <v>1511310.41</v>
      </c>
      <c r="AZ41" s="31">
        <v>442853.29</v>
      </c>
      <c r="BA41" s="31">
        <v>24.569194639999999</v>
      </c>
      <c r="BB41" s="31">
        <v>1</v>
      </c>
      <c r="BC41" s="31">
        <v>883</v>
      </c>
      <c r="BD41" s="31">
        <v>579653</v>
      </c>
      <c r="BE41" s="31" t="s">
        <v>422</v>
      </c>
      <c r="BF41" s="31">
        <v>0</v>
      </c>
      <c r="BG41" s="31">
        <v>1688548.38</v>
      </c>
      <c r="BH41" s="31">
        <v>0</v>
      </c>
      <c r="BI41" s="31">
        <v>0</v>
      </c>
      <c r="BJ41" s="31">
        <v>1688548.38</v>
      </c>
    </row>
    <row r="42" spans="1:62">
      <c r="A42" s="24" t="s">
        <v>60</v>
      </c>
      <c r="B42" s="31">
        <v>1010679</v>
      </c>
      <c r="C42" s="31" t="s">
        <v>165</v>
      </c>
      <c r="D42" s="31" t="s">
        <v>58</v>
      </c>
      <c r="E42" s="31" t="s">
        <v>58</v>
      </c>
      <c r="F42" s="24" t="str">
        <f>IF(Tabela1[[#This Row],[Data Prevista de Conclusão da Obra]]&lt;$C$1,"Atrasada","-")</f>
        <v>-</v>
      </c>
      <c r="G42" s="53" t="s">
        <v>58</v>
      </c>
      <c r="H42" s="24">
        <f>IF(Tabela1[[#This Row],[Levant OS - Jun/17]]=Tabela1[[#This Row],[Situação2]],0,1)</f>
        <v>0</v>
      </c>
      <c r="I42" s="31" t="s">
        <v>145</v>
      </c>
      <c r="J42" s="31" t="s">
        <v>146</v>
      </c>
      <c r="K42" s="31">
        <v>94155180</v>
      </c>
      <c r="L42" s="31" t="s">
        <v>600</v>
      </c>
      <c r="M42" s="31" t="s">
        <v>601</v>
      </c>
      <c r="N42" s="31" t="s">
        <v>164</v>
      </c>
      <c r="O42" s="31" t="s">
        <v>598</v>
      </c>
      <c r="P42" s="31" t="s">
        <v>408</v>
      </c>
      <c r="Q42" s="31">
        <v>16.93</v>
      </c>
      <c r="R42" s="50">
        <v>43406</v>
      </c>
      <c r="S42" s="31" t="s">
        <v>409</v>
      </c>
      <c r="T42" s="31" t="s">
        <v>424</v>
      </c>
      <c r="U42" s="31" t="s">
        <v>290</v>
      </c>
      <c r="V42" s="31" t="s">
        <v>411</v>
      </c>
      <c r="W42" s="31">
        <v>1802473.77</v>
      </c>
      <c r="X42" s="31" t="s">
        <v>412</v>
      </c>
      <c r="Y42" s="31">
        <v>87890992000158</v>
      </c>
      <c r="AA42" s="31" t="s">
        <v>567</v>
      </c>
      <c r="AB42" s="31" t="s">
        <v>568</v>
      </c>
      <c r="AC42" s="31" t="s">
        <v>569</v>
      </c>
      <c r="AD42" s="31" t="s">
        <v>553</v>
      </c>
      <c r="AE42" s="31" t="s">
        <v>570</v>
      </c>
      <c r="AF42" s="31" t="s">
        <v>571</v>
      </c>
      <c r="AG42" s="31">
        <v>94000000</v>
      </c>
      <c r="AH42" s="31" t="s">
        <v>572</v>
      </c>
      <c r="AJ42" s="31">
        <v>1350</v>
      </c>
      <c r="AK42" s="31" t="s">
        <v>573</v>
      </c>
      <c r="AM42" s="31" t="s">
        <v>145</v>
      </c>
      <c r="AN42" s="31" t="s">
        <v>427</v>
      </c>
      <c r="AO42" s="31">
        <v>6</v>
      </c>
      <c r="AP42" s="55">
        <v>42679</v>
      </c>
      <c r="AQ42" s="31" t="s">
        <v>167</v>
      </c>
      <c r="AR42" s="31" t="s">
        <v>602</v>
      </c>
      <c r="AS42" s="31">
        <v>304</v>
      </c>
      <c r="AT42" s="31" t="s">
        <v>603</v>
      </c>
      <c r="AU42" s="31">
        <v>1907668.21</v>
      </c>
      <c r="AV42" s="31">
        <v>1802473.77</v>
      </c>
      <c r="AW42" s="55">
        <v>43012</v>
      </c>
      <c r="AX42" s="31" t="s">
        <v>457</v>
      </c>
      <c r="AZ42" s="31">
        <v>373185.1</v>
      </c>
      <c r="BA42" s="31">
        <v>20.704051580000002</v>
      </c>
      <c r="BB42" s="31">
        <v>1</v>
      </c>
      <c r="BC42" s="31">
        <v>883</v>
      </c>
      <c r="BD42" s="31">
        <v>579653</v>
      </c>
      <c r="BE42" s="31" t="s">
        <v>422</v>
      </c>
      <c r="BF42" s="31">
        <v>0</v>
      </c>
      <c r="BG42" s="31">
        <v>1688548.38</v>
      </c>
      <c r="BH42" s="31">
        <v>0</v>
      </c>
      <c r="BI42" s="31">
        <v>0</v>
      </c>
      <c r="BJ42" s="31">
        <v>1688548.38</v>
      </c>
    </row>
    <row r="43" spans="1:62">
      <c r="A43" s="24" t="s">
        <v>78</v>
      </c>
      <c r="B43" s="31">
        <v>1010680</v>
      </c>
      <c r="C43" s="31" t="s">
        <v>168</v>
      </c>
      <c r="D43" s="31" t="s">
        <v>137</v>
      </c>
      <c r="E43" s="31" t="s">
        <v>64</v>
      </c>
      <c r="F43" s="24" t="str">
        <f>IF(Tabela1[[#This Row],[Data Prevista de Conclusão da Obra]]&lt;$C$1,"Atrasada","-")</f>
        <v>-</v>
      </c>
      <c r="G43" s="53" t="s">
        <v>64</v>
      </c>
      <c r="H43" s="24">
        <f>IF(Tabela1[[#This Row],[Levant OS - Jun/17]]=Tabela1[[#This Row],[Situação2]],0,1)</f>
        <v>0</v>
      </c>
      <c r="I43" s="31" t="s">
        <v>145</v>
      </c>
      <c r="J43" s="31" t="s">
        <v>146</v>
      </c>
      <c r="K43" s="31">
        <v>94075310</v>
      </c>
      <c r="L43" s="31" t="s">
        <v>604</v>
      </c>
      <c r="M43" s="31" t="s">
        <v>605</v>
      </c>
      <c r="N43" s="31" t="s">
        <v>164</v>
      </c>
      <c r="O43" s="31" t="s">
        <v>598</v>
      </c>
      <c r="P43" s="31" t="s">
        <v>408</v>
      </c>
      <c r="Q43" s="31">
        <v>0</v>
      </c>
      <c r="R43" s="24" t="s">
        <v>59</v>
      </c>
      <c r="S43" s="31" t="s">
        <v>409</v>
      </c>
      <c r="T43" s="31" t="s">
        <v>546</v>
      </c>
      <c r="U43" s="31" t="s">
        <v>290</v>
      </c>
      <c r="V43" s="31" t="s">
        <v>411</v>
      </c>
      <c r="W43" s="31">
        <v>1497835.71</v>
      </c>
      <c r="X43" s="31" t="s">
        <v>412</v>
      </c>
      <c r="Y43" s="31">
        <v>87890992000158</v>
      </c>
      <c r="AA43" s="31" t="s">
        <v>567</v>
      </c>
      <c r="AB43" s="31" t="s">
        <v>568</v>
      </c>
      <c r="AC43" s="31" t="s">
        <v>569</v>
      </c>
      <c r="AD43" s="31" t="s">
        <v>553</v>
      </c>
      <c r="AE43" s="31" t="s">
        <v>570</v>
      </c>
      <c r="AF43" s="31" t="s">
        <v>571</v>
      </c>
      <c r="AG43" s="31">
        <v>94000000</v>
      </c>
      <c r="AH43" s="31" t="s">
        <v>572</v>
      </c>
      <c r="AJ43" s="31">
        <v>1350</v>
      </c>
      <c r="AK43" s="31" t="s">
        <v>573</v>
      </c>
      <c r="AM43" s="31" t="s">
        <v>145</v>
      </c>
      <c r="AV43" s="31">
        <v>1497835.71</v>
      </c>
      <c r="AZ43" s="31">
        <v>374458.93</v>
      </c>
      <c r="BA43" s="31">
        <v>25.00000017</v>
      </c>
      <c r="BB43" s="31">
        <v>1</v>
      </c>
      <c r="BC43" s="31">
        <v>883</v>
      </c>
      <c r="BD43" s="31">
        <v>579653</v>
      </c>
      <c r="BE43" s="31" t="s">
        <v>422</v>
      </c>
      <c r="BF43" s="31">
        <v>0</v>
      </c>
      <c r="BG43" s="31">
        <v>1688548.38</v>
      </c>
      <c r="BH43" s="31">
        <v>0</v>
      </c>
      <c r="BI43" s="31">
        <v>0</v>
      </c>
      <c r="BJ43" s="31">
        <v>1688548.38</v>
      </c>
    </row>
    <row r="44" spans="1:62">
      <c r="A44" s="24" t="s">
        <v>60</v>
      </c>
      <c r="B44" s="31">
        <v>1010681</v>
      </c>
      <c r="C44" s="31" t="s">
        <v>170</v>
      </c>
      <c r="D44" s="31" t="s">
        <v>58</v>
      </c>
      <c r="E44" s="31" t="s">
        <v>58</v>
      </c>
      <c r="F44" s="24" t="str">
        <f>IF(Tabela1[[#This Row],[Data Prevista de Conclusão da Obra]]&lt;$C$1,"Atrasada","-")</f>
        <v>-</v>
      </c>
      <c r="G44" s="53" t="s">
        <v>58</v>
      </c>
      <c r="H44" s="24">
        <f>IF(Tabela1[[#This Row],[Levant OS - Jun/17]]=Tabela1[[#This Row],[Situação2]],0,1)</f>
        <v>0</v>
      </c>
      <c r="I44" s="31" t="s">
        <v>145</v>
      </c>
      <c r="J44" s="31" t="s">
        <v>146</v>
      </c>
      <c r="K44" s="31">
        <v>94015171</v>
      </c>
      <c r="L44" s="31" t="s">
        <v>606</v>
      </c>
      <c r="M44" s="31" t="s">
        <v>607</v>
      </c>
      <c r="N44" s="31" t="s">
        <v>171</v>
      </c>
      <c r="O44" s="31" t="s">
        <v>598</v>
      </c>
      <c r="P44" s="31" t="s">
        <v>408</v>
      </c>
      <c r="Q44" s="31">
        <v>16.28</v>
      </c>
      <c r="R44" s="50">
        <v>43034</v>
      </c>
      <c r="S44" s="31" t="s">
        <v>409</v>
      </c>
      <c r="T44" s="31" t="s">
        <v>424</v>
      </c>
      <c r="U44" s="31" t="s">
        <v>290</v>
      </c>
      <c r="V44" s="31" t="s">
        <v>411</v>
      </c>
      <c r="W44" s="31">
        <v>1802473.77</v>
      </c>
      <c r="X44" s="31" t="s">
        <v>412</v>
      </c>
      <c r="Y44" s="31">
        <v>87890992000158</v>
      </c>
      <c r="AA44" s="31" t="s">
        <v>567</v>
      </c>
      <c r="AB44" s="31" t="s">
        <v>568</v>
      </c>
      <c r="AC44" s="31" t="s">
        <v>569</v>
      </c>
      <c r="AD44" s="31" t="s">
        <v>553</v>
      </c>
      <c r="AE44" s="31" t="s">
        <v>570</v>
      </c>
      <c r="AF44" s="31" t="s">
        <v>571</v>
      </c>
      <c r="AG44" s="31">
        <v>94000000</v>
      </c>
      <c r="AH44" s="31" t="s">
        <v>572</v>
      </c>
      <c r="AJ44" s="31">
        <v>1350</v>
      </c>
      <c r="AK44" s="31" t="s">
        <v>573</v>
      </c>
      <c r="AM44" s="31" t="s">
        <v>145</v>
      </c>
      <c r="AN44" s="31" t="s">
        <v>427</v>
      </c>
      <c r="AO44" s="31">
        <v>15</v>
      </c>
      <c r="AP44" s="31" t="s">
        <v>608</v>
      </c>
      <c r="AQ44" s="31" t="s">
        <v>172</v>
      </c>
      <c r="AR44" s="31" t="s">
        <v>609</v>
      </c>
      <c r="AS44" s="31">
        <v>374</v>
      </c>
      <c r="AT44" s="31" t="s">
        <v>610</v>
      </c>
      <c r="AU44" s="31">
        <v>1773665.11</v>
      </c>
      <c r="AV44" s="31">
        <v>1802473.77</v>
      </c>
      <c r="AW44" s="31" t="s">
        <v>611</v>
      </c>
      <c r="AX44" s="31" t="s">
        <v>457</v>
      </c>
      <c r="AZ44" s="31">
        <v>371929.59999999998</v>
      </c>
      <c r="BA44" s="31">
        <v>20.634397310000001</v>
      </c>
      <c r="BB44" s="31">
        <v>1</v>
      </c>
      <c r="BC44" s="31">
        <v>883</v>
      </c>
      <c r="BD44" s="31">
        <v>579807</v>
      </c>
      <c r="BE44" s="31" t="s">
        <v>422</v>
      </c>
      <c r="BF44" s="31">
        <v>0</v>
      </c>
      <c r="BG44" s="31">
        <v>746584.94</v>
      </c>
      <c r="BH44" s="31">
        <v>0</v>
      </c>
      <c r="BI44" s="31">
        <v>0</v>
      </c>
      <c r="BJ44" s="31">
        <v>746584.94</v>
      </c>
    </row>
    <row r="45" spans="1:62">
      <c r="A45" s="24" t="s">
        <v>78</v>
      </c>
      <c r="B45" s="31">
        <v>1010682</v>
      </c>
      <c r="C45" s="31" t="s">
        <v>173</v>
      </c>
      <c r="D45" s="31" t="s">
        <v>137</v>
      </c>
      <c r="E45" s="31" t="s">
        <v>64</v>
      </c>
      <c r="F45" s="24" t="str">
        <f>IF(Tabela1[[#This Row],[Data Prevista de Conclusão da Obra]]&lt;$C$1,"Atrasada","-")</f>
        <v>-</v>
      </c>
      <c r="G45" s="53" t="s">
        <v>64</v>
      </c>
      <c r="H45" s="24">
        <f>IF(Tabela1[[#This Row],[Levant OS - Jun/17]]=Tabela1[[#This Row],[Situação2]],0,1)</f>
        <v>0</v>
      </c>
      <c r="I45" s="31" t="s">
        <v>145</v>
      </c>
      <c r="J45" s="31" t="s">
        <v>146</v>
      </c>
      <c r="K45" s="31">
        <v>94180295</v>
      </c>
      <c r="L45" s="31" t="s">
        <v>612</v>
      </c>
      <c r="M45" s="31" t="s">
        <v>613</v>
      </c>
      <c r="N45" s="31" t="s">
        <v>171</v>
      </c>
      <c r="O45" s="31" t="s">
        <v>598</v>
      </c>
      <c r="P45" s="31" t="s">
        <v>408</v>
      </c>
      <c r="Q45" s="31">
        <v>0</v>
      </c>
      <c r="R45" s="24" t="s">
        <v>59</v>
      </c>
      <c r="S45" s="31" t="s">
        <v>409</v>
      </c>
      <c r="T45" s="31" t="s">
        <v>546</v>
      </c>
      <c r="U45" s="31" t="s">
        <v>290</v>
      </c>
      <c r="V45" s="31" t="s">
        <v>411</v>
      </c>
      <c r="W45" s="31">
        <v>1495655.41</v>
      </c>
      <c r="X45" s="31" t="s">
        <v>412</v>
      </c>
      <c r="Y45" s="31">
        <v>87890992000158</v>
      </c>
      <c r="AA45" s="31" t="s">
        <v>567</v>
      </c>
      <c r="AB45" s="31" t="s">
        <v>568</v>
      </c>
      <c r="AC45" s="31" t="s">
        <v>569</v>
      </c>
      <c r="AD45" s="31" t="s">
        <v>553</v>
      </c>
      <c r="AE45" s="31" t="s">
        <v>570</v>
      </c>
      <c r="AF45" s="31" t="s">
        <v>571</v>
      </c>
      <c r="AG45" s="31">
        <v>94000000</v>
      </c>
      <c r="AH45" s="31" t="s">
        <v>572</v>
      </c>
      <c r="AJ45" s="31">
        <v>1350</v>
      </c>
      <c r="AK45" s="31" t="s">
        <v>573</v>
      </c>
      <c r="AM45" s="31" t="s">
        <v>145</v>
      </c>
      <c r="AV45" s="31">
        <v>1495655.41</v>
      </c>
      <c r="AZ45" s="31">
        <v>373913.85</v>
      </c>
      <c r="BA45" s="31">
        <v>24.99999983</v>
      </c>
      <c r="BB45" s="31">
        <v>1</v>
      </c>
      <c r="BC45" s="31">
        <v>883</v>
      </c>
      <c r="BD45" s="31">
        <v>579807</v>
      </c>
      <c r="BE45" s="31" t="s">
        <v>422</v>
      </c>
      <c r="BF45" s="31">
        <v>0</v>
      </c>
      <c r="BG45" s="31">
        <v>746584.94</v>
      </c>
      <c r="BH45" s="31">
        <v>0</v>
      </c>
      <c r="BI45" s="31">
        <v>0</v>
      </c>
      <c r="BJ45" s="31">
        <v>746584.94</v>
      </c>
    </row>
    <row r="46" spans="1:62">
      <c r="A46" s="24" t="s">
        <v>60</v>
      </c>
      <c r="B46" s="31">
        <v>1011012</v>
      </c>
      <c r="C46" s="31" t="s">
        <v>174</v>
      </c>
      <c r="D46" s="31" t="s">
        <v>58</v>
      </c>
      <c r="E46" s="31" t="s">
        <v>58</v>
      </c>
      <c r="F46" s="24" t="str">
        <f>IF(Tabela1[[#This Row],[Data Prevista de Conclusão da Obra]]&lt;$C$1,"Atrasada","-")</f>
        <v>-</v>
      </c>
      <c r="G46" s="53" t="s">
        <v>58</v>
      </c>
      <c r="H46" s="24">
        <f>IF(Tabela1[[#This Row],[Levant OS - Jun/17]]=Tabela1[[#This Row],[Situação2]],0,1)</f>
        <v>0</v>
      </c>
      <c r="I46" s="31" t="s">
        <v>145</v>
      </c>
      <c r="J46" s="31" t="s">
        <v>146</v>
      </c>
      <c r="K46" s="31">
        <v>94000970</v>
      </c>
      <c r="L46" s="31" t="s">
        <v>614</v>
      </c>
      <c r="M46" s="31" t="s">
        <v>615</v>
      </c>
      <c r="N46" s="31" t="s">
        <v>175</v>
      </c>
      <c r="O46" s="50">
        <v>42984</v>
      </c>
      <c r="P46" s="31" t="s">
        <v>408</v>
      </c>
      <c r="Q46" s="31">
        <v>7.9</v>
      </c>
      <c r="R46" s="50">
        <v>43034</v>
      </c>
      <c r="S46" s="31" t="s">
        <v>409</v>
      </c>
      <c r="T46" s="31" t="s">
        <v>410</v>
      </c>
      <c r="U46" s="31" t="s">
        <v>290</v>
      </c>
      <c r="V46" s="31" t="s">
        <v>411</v>
      </c>
      <c r="W46" s="31">
        <v>1196771.3899999999</v>
      </c>
      <c r="X46" s="31" t="s">
        <v>412</v>
      </c>
      <c r="Y46" s="31">
        <v>87890992000158</v>
      </c>
      <c r="AA46" s="31" t="s">
        <v>567</v>
      </c>
      <c r="AB46" s="31" t="s">
        <v>568</v>
      </c>
      <c r="AC46" s="31" t="s">
        <v>569</v>
      </c>
      <c r="AD46" s="31" t="s">
        <v>553</v>
      </c>
      <c r="AE46" s="31" t="s">
        <v>570</v>
      </c>
      <c r="AF46" s="31" t="s">
        <v>571</v>
      </c>
      <c r="AG46" s="31">
        <v>94000000</v>
      </c>
      <c r="AH46" s="31" t="s">
        <v>572</v>
      </c>
      <c r="AJ46" s="31">
        <v>1350</v>
      </c>
      <c r="AK46" s="31" t="s">
        <v>573</v>
      </c>
      <c r="AM46" s="31" t="s">
        <v>145</v>
      </c>
      <c r="AN46" s="31" t="s">
        <v>427</v>
      </c>
      <c r="AO46" s="31">
        <v>15</v>
      </c>
      <c r="AP46" s="31" t="s">
        <v>608</v>
      </c>
      <c r="AQ46" s="31" t="s">
        <v>172</v>
      </c>
      <c r="AR46" s="31" t="s">
        <v>609</v>
      </c>
      <c r="AS46" s="31">
        <v>374</v>
      </c>
      <c r="AT46" s="31" t="s">
        <v>610</v>
      </c>
      <c r="AU46" s="31">
        <v>1228851.31</v>
      </c>
      <c r="AV46" s="31">
        <v>1196771.3899999999</v>
      </c>
      <c r="AW46" s="55">
        <v>42771</v>
      </c>
      <c r="AX46" s="31" t="s">
        <v>457</v>
      </c>
      <c r="AZ46" s="31">
        <v>179515.71</v>
      </c>
      <c r="BA46" s="31">
        <v>15.00000007</v>
      </c>
      <c r="BB46" s="31">
        <v>1</v>
      </c>
      <c r="BC46" s="31">
        <v>883</v>
      </c>
      <c r="BD46" s="31">
        <v>677132</v>
      </c>
      <c r="BE46" s="31" t="s">
        <v>422</v>
      </c>
      <c r="BF46" s="31">
        <v>0</v>
      </c>
      <c r="BG46" s="31">
        <v>0</v>
      </c>
      <c r="BH46" s="31">
        <v>0</v>
      </c>
      <c r="BI46" s="31">
        <v>0</v>
      </c>
      <c r="BJ46" s="31">
        <v>0</v>
      </c>
    </row>
    <row r="47" spans="1:62">
      <c r="A47" s="24" t="s">
        <v>60</v>
      </c>
      <c r="B47" s="31">
        <v>1011013</v>
      </c>
      <c r="C47" s="31" t="s">
        <v>176</v>
      </c>
      <c r="D47" s="31" t="s">
        <v>58</v>
      </c>
      <c r="E47" s="31" t="s">
        <v>58</v>
      </c>
      <c r="F47" s="24" t="str">
        <f>IF(Tabela1[[#This Row],[Data Prevista de Conclusão da Obra]]&lt;$C$1,"Atrasada","-")</f>
        <v>-</v>
      </c>
      <c r="G47" s="53" t="s">
        <v>58</v>
      </c>
      <c r="H47" s="24">
        <f>IF(Tabela1[[#This Row],[Levant OS - Jun/17]]=Tabela1[[#This Row],[Situação2]],0,1)</f>
        <v>0</v>
      </c>
      <c r="I47" s="31" t="s">
        <v>145</v>
      </c>
      <c r="J47" s="31" t="s">
        <v>146</v>
      </c>
      <c r="K47" s="31">
        <v>94015290</v>
      </c>
      <c r="L47" s="31" t="s">
        <v>616</v>
      </c>
      <c r="M47" s="31" t="s">
        <v>617</v>
      </c>
      <c r="N47" s="31" t="s">
        <v>175</v>
      </c>
      <c r="O47" s="50">
        <v>42984</v>
      </c>
      <c r="P47" s="31" t="s">
        <v>408</v>
      </c>
      <c r="Q47" s="31">
        <v>9.65</v>
      </c>
      <c r="R47" s="50">
        <v>43043</v>
      </c>
      <c r="S47" s="31" t="s">
        <v>409</v>
      </c>
      <c r="T47" s="31" t="s">
        <v>424</v>
      </c>
      <c r="U47" s="31" t="s">
        <v>290</v>
      </c>
      <c r="V47" s="31" t="s">
        <v>411</v>
      </c>
      <c r="W47" s="31">
        <v>1802473.77</v>
      </c>
      <c r="X47" s="31" t="s">
        <v>412</v>
      </c>
      <c r="Y47" s="31">
        <v>87890992000158</v>
      </c>
      <c r="AA47" s="31" t="s">
        <v>567</v>
      </c>
      <c r="AB47" s="31" t="s">
        <v>568</v>
      </c>
      <c r="AC47" s="31" t="s">
        <v>569</v>
      </c>
      <c r="AD47" s="31" t="s">
        <v>553</v>
      </c>
      <c r="AE47" s="31" t="s">
        <v>570</v>
      </c>
      <c r="AF47" s="31" t="s">
        <v>571</v>
      </c>
      <c r="AG47" s="31">
        <v>94000000</v>
      </c>
      <c r="AH47" s="31" t="s">
        <v>572</v>
      </c>
      <c r="AJ47" s="31">
        <v>1350</v>
      </c>
      <c r="AK47" s="31" t="s">
        <v>573</v>
      </c>
      <c r="AM47" s="31" t="s">
        <v>145</v>
      </c>
      <c r="AN47" s="31" t="s">
        <v>427</v>
      </c>
      <c r="AO47" s="31">
        <v>6</v>
      </c>
      <c r="AP47" s="55">
        <v>42679</v>
      </c>
      <c r="AQ47" s="31" t="s">
        <v>167</v>
      </c>
      <c r="AR47" s="31" t="s">
        <v>602</v>
      </c>
      <c r="AS47" s="31">
        <v>304</v>
      </c>
      <c r="AT47" s="31" t="s">
        <v>603</v>
      </c>
      <c r="AU47" s="31">
        <v>1960836.04</v>
      </c>
      <c r="AV47" s="31">
        <v>1802473.77</v>
      </c>
      <c r="AW47" s="55">
        <v>42920</v>
      </c>
      <c r="AX47" s="31" t="s">
        <v>457</v>
      </c>
      <c r="AZ47" s="31">
        <v>108148.43</v>
      </c>
      <c r="BA47" s="31">
        <v>6.0000001960000002</v>
      </c>
      <c r="BB47" s="31">
        <v>1</v>
      </c>
      <c r="BC47" s="31">
        <v>883</v>
      </c>
      <c r="BD47" s="31">
        <v>677132</v>
      </c>
      <c r="BE47" s="31" t="s">
        <v>422</v>
      </c>
      <c r="BF47" s="31">
        <v>0</v>
      </c>
      <c r="BG47" s="31">
        <v>0</v>
      </c>
      <c r="BH47" s="31">
        <v>0</v>
      </c>
      <c r="BI47" s="31">
        <v>0</v>
      </c>
      <c r="BJ47" s="31">
        <v>0</v>
      </c>
    </row>
    <row r="48" spans="1:62">
      <c r="A48" s="24" t="s">
        <v>78</v>
      </c>
      <c r="B48" s="31">
        <v>25284</v>
      </c>
      <c r="C48" s="31" t="s">
        <v>178</v>
      </c>
      <c r="D48" s="31" t="s">
        <v>58</v>
      </c>
      <c r="E48" s="31" t="s">
        <v>58</v>
      </c>
      <c r="F48" s="24" t="str">
        <f>IF(Tabela1[[#This Row],[Data Prevista de Conclusão da Obra]]&lt;$C$1,"Atrasada","-")</f>
        <v>Atrasada</v>
      </c>
      <c r="G48" s="53" t="s">
        <v>89</v>
      </c>
      <c r="H48" s="24">
        <f>IF(Tabela1[[#This Row],[Levant OS - Jun/17]]=Tabela1[[#This Row],[Situação2]],0,1)</f>
        <v>1</v>
      </c>
      <c r="I48" s="31" t="s">
        <v>177</v>
      </c>
      <c r="J48" s="31" t="s">
        <v>55</v>
      </c>
      <c r="N48" s="31" t="s">
        <v>180</v>
      </c>
      <c r="O48" s="31" t="s">
        <v>618</v>
      </c>
      <c r="P48" s="31" t="s">
        <v>408</v>
      </c>
      <c r="Q48" s="31">
        <v>94.12</v>
      </c>
      <c r="R48" s="50">
        <v>42825</v>
      </c>
      <c r="S48" s="31" t="s">
        <v>409</v>
      </c>
      <c r="T48" s="31" t="s">
        <v>447</v>
      </c>
      <c r="U48" s="31" t="s">
        <v>290</v>
      </c>
      <c r="V48" s="31" t="s">
        <v>411</v>
      </c>
      <c r="W48" s="31">
        <v>1368907.76</v>
      </c>
      <c r="X48" s="31" t="s">
        <v>412</v>
      </c>
      <c r="Y48" s="31">
        <v>76178037000176</v>
      </c>
      <c r="Z48" s="31" t="s">
        <v>522</v>
      </c>
      <c r="AA48" s="31" t="s">
        <v>619</v>
      </c>
      <c r="AB48" s="31" t="s">
        <v>620</v>
      </c>
      <c r="AC48" s="31" t="s">
        <v>621</v>
      </c>
      <c r="AD48" s="31" t="s">
        <v>553</v>
      </c>
      <c r="AE48" s="31" t="s">
        <v>622</v>
      </c>
      <c r="AF48" s="31" t="s">
        <v>623</v>
      </c>
      <c r="AG48" s="31">
        <v>85010210</v>
      </c>
      <c r="AH48" s="31" t="s">
        <v>624</v>
      </c>
      <c r="AJ48" s="31">
        <v>2777</v>
      </c>
      <c r="AK48" s="31" t="s">
        <v>421</v>
      </c>
      <c r="AM48" s="31" t="s">
        <v>177</v>
      </c>
      <c r="AN48" s="31" t="s">
        <v>494</v>
      </c>
      <c r="AO48" s="31">
        <v>82015</v>
      </c>
      <c r="AP48" s="55">
        <v>42316</v>
      </c>
      <c r="AQ48" s="31" t="s">
        <v>181</v>
      </c>
      <c r="AR48" s="55">
        <v>42346</v>
      </c>
      <c r="AS48" s="31">
        <v>597</v>
      </c>
      <c r="AT48" s="31" t="s">
        <v>625</v>
      </c>
      <c r="AU48" s="31">
        <v>515992.26</v>
      </c>
      <c r="AV48" s="31">
        <v>1368907.76</v>
      </c>
      <c r="AW48" s="31" t="s">
        <v>626</v>
      </c>
      <c r="AX48" s="31" t="s">
        <v>457</v>
      </c>
      <c r="AZ48" s="31">
        <v>1095126.2</v>
      </c>
      <c r="BA48" s="31">
        <v>79.99999966</v>
      </c>
      <c r="BB48" s="31">
        <v>1</v>
      </c>
      <c r="BC48" s="31">
        <v>299</v>
      </c>
      <c r="BD48" s="31">
        <v>693324</v>
      </c>
      <c r="BE48" s="31" t="s">
        <v>422</v>
      </c>
      <c r="BF48" s="31">
        <v>0</v>
      </c>
      <c r="BG48" s="31">
        <v>1163.68</v>
      </c>
      <c r="BH48" s="31">
        <v>0</v>
      </c>
      <c r="BI48" s="31">
        <v>0</v>
      </c>
      <c r="BJ48" s="31">
        <v>1163.68</v>
      </c>
    </row>
    <row r="49" spans="1:62">
      <c r="A49" s="24" t="s">
        <v>78</v>
      </c>
      <c r="B49" s="31">
        <v>25286</v>
      </c>
      <c r="C49" s="31" t="s">
        <v>182</v>
      </c>
      <c r="D49" s="57" t="s">
        <v>58</v>
      </c>
      <c r="E49" s="57" t="s">
        <v>58</v>
      </c>
      <c r="F49" s="24" t="str">
        <f>IF(Tabela1[[#This Row],[Data Prevista de Conclusão da Obra]]&lt;$C$1,"Atrasada","-")</f>
        <v>-</v>
      </c>
      <c r="G49" s="53" t="s">
        <v>89</v>
      </c>
      <c r="H49" s="24">
        <f>IF(Tabela1[[#This Row],[Levant OS - Jun/17]]=Tabela1[[#This Row],[Situação2]],0,1)</f>
        <v>1</v>
      </c>
      <c r="I49" s="31" t="s">
        <v>177</v>
      </c>
      <c r="J49" s="31" t="s">
        <v>55</v>
      </c>
      <c r="K49" s="31">
        <v>85064340</v>
      </c>
      <c r="L49" s="31" t="s">
        <v>627</v>
      </c>
      <c r="M49" s="31" t="s">
        <v>628</v>
      </c>
      <c r="N49" s="31" t="s">
        <v>180</v>
      </c>
      <c r="O49" s="31" t="s">
        <v>618</v>
      </c>
      <c r="P49" s="31" t="s">
        <v>408</v>
      </c>
      <c r="Q49" s="31">
        <v>86.76</v>
      </c>
      <c r="R49" s="50">
        <v>42951</v>
      </c>
      <c r="S49" s="31" t="s">
        <v>409</v>
      </c>
      <c r="T49" s="31" t="s">
        <v>447</v>
      </c>
      <c r="U49" s="31" t="s">
        <v>290</v>
      </c>
      <c r="V49" s="31" t="s">
        <v>411</v>
      </c>
      <c r="W49" s="31">
        <v>1332862.8600000001</v>
      </c>
      <c r="X49" s="31" t="s">
        <v>412</v>
      </c>
      <c r="Y49" s="31">
        <v>76178037000176</v>
      </c>
      <c r="Z49" s="31" t="s">
        <v>522</v>
      </c>
      <c r="AA49" s="31" t="s">
        <v>619</v>
      </c>
      <c r="AB49" s="31" t="s">
        <v>620</v>
      </c>
      <c r="AC49" s="31" t="s">
        <v>621</v>
      </c>
      <c r="AD49" s="31" t="s">
        <v>553</v>
      </c>
      <c r="AE49" s="31" t="s">
        <v>622</v>
      </c>
      <c r="AF49" s="31" t="s">
        <v>623</v>
      </c>
      <c r="AG49" s="31">
        <v>85010210</v>
      </c>
      <c r="AH49" s="31" t="s">
        <v>624</v>
      </c>
      <c r="AJ49" s="31">
        <v>2777</v>
      </c>
      <c r="AK49" s="31" t="s">
        <v>421</v>
      </c>
      <c r="AM49" s="31" t="s">
        <v>177</v>
      </c>
      <c r="AN49" s="31" t="s">
        <v>427</v>
      </c>
      <c r="AO49" s="31">
        <v>42012</v>
      </c>
      <c r="AP49" s="55">
        <v>41190</v>
      </c>
      <c r="AQ49" s="31" t="s">
        <v>185</v>
      </c>
      <c r="AR49" s="31" t="s">
        <v>629</v>
      </c>
      <c r="AS49" s="31">
        <v>1578</v>
      </c>
      <c r="AT49" s="31" t="s">
        <v>630</v>
      </c>
      <c r="AU49" s="31">
        <v>1222050.67</v>
      </c>
      <c r="AV49" s="31">
        <v>1332862.8600000001</v>
      </c>
      <c r="AW49" s="55">
        <v>42950</v>
      </c>
      <c r="AX49" s="31" t="s">
        <v>457</v>
      </c>
      <c r="AZ49" s="31">
        <v>775437.69</v>
      </c>
      <c r="BA49" s="31">
        <v>58.178355449999998</v>
      </c>
      <c r="BB49" s="31">
        <v>1</v>
      </c>
      <c r="BC49" s="31">
        <v>299</v>
      </c>
      <c r="BD49" s="31">
        <v>693324</v>
      </c>
      <c r="BE49" s="31" t="s">
        <v>422</v>
      </c>
      <c r="BF49" s="31">
        <v>0</v>
      </c>
      <c r="BG49" s="31">
        <v>1163.68</v>
      </c>
      <c r="BH49" s="31">
        <v>0</v>
      </c>
      <c r="BI49" s="31">
        <v>0</v>
      </c>
      <c r="BJ49" s="31">
        <v>1163.68</v>
      </c>
    </row>
    <row r="50" spans="1:62">
      <c r="A50" s="24" t="s">
        <v>60</v>
      </c>
      <c r="B50" s="31">
        <v>1005588</v>
      </c>
      <c r="C50" s="31" t="s">
        <v>186</v>
      </c>
      <c r="D50" s="31" t="s">
        <v>22</v>
      </c>
      <c r="E50" s="31" t="s">
        <v>64</v>
      </c>
      <c r="F50" s="24" t="str">
        <f>IF(Tabela1[[#This Row],[Data Prevista de Conclusão da Obra]]&lt;$C$1,"Atrasada","-")</f>
        <v>-</v>
      </c>
      <c r="G50" s="53" t="s">
        <v>58</v>
      </c>
      <c r="H50" s="24">
        <f>IF(Tabela1[[#This Row],[Levant OS - Jun/17]]=Tabela1[[#This Row],[Situação2]],0,1)</f>
        <v>1</v>
      </c>
      <c r="I50" s="31" t="s">
        <v>177</v>
      </c>
      <c r="J50" s="31" t="s">
        <v>55</v>
      </c>
      <c r="K50" s="31">
        <v>85031050</v>
      </c>
      <c r="L50" s="31" t="s">
        <v>631</v>
      </c>
      <c r="M50" s="31" t="s">
        <v>187</v>
      </c>
      <c r="N50" s="31" t="s">
        <v>189</v>
      </c>
      <c r="O50" s="50">
        <v>43018</v>
      </c>
      <c r="P50" s="31" t="s">
        <v>408</v>
      </c>
      <c r="Q50" s="31">
        <v>0</v>
      </c>
      <c r="R50" s="24" t="s">
        <v>59</v>
      </c>
      <c r="S50" s="31" t="s">
        <v>409</v>
      </c>
      <c r="T50" s="31" t="s">
        <v>424</v>
      </c>
      <c r="U50" s="31" t="s">
        <v>290</v>
      </c>
      <c r="V50" s="31" t="s">
        <v>411</v>
      </c>
      <c r="W50" s="31">
        <v>1927667.98</v>
      </c>
      <c r="X50" s="31" t="s">
        <v>412</v>
      </c>
      <c r="Y50" s="31">
        <v>76178037000176</v>
      </c>
      <c r="Z50" s="31" t="s">
        <v>522</v>
      </c>
      <c r="AA50" s="31" t="s">
        <v>619</v>
      </c>
      <c r="AB50" s="31" t="s">
        <v>620</v>
      </c>
      <c r="AC50" s="31" t="s">
        <v>621</v>
      </c>
      <c r="AD50" s="31" t="s">
        <v>553</v>
      </c>
      <c r="AE50" s="31" t="s">
        <v>622</v>
      </c>
      <c r="AF50" s="31" t="s">
        <v>623</v>
      </c>
      <c r="AG50" s="31">
        <v>85010210</v>
      </c>
      <c r="AH50" s="31" t="s">
        <v>624</v>
      </c>
      <c r="AJ50" s="31">
        <v>2777</v>
      </c>
      <c r="AK50" s="31" t="s">
        <v>421</v>
      </c>
      <c r="AM50" s="31" t="s">
        <v>177</v>
      </c>
      <c r="AN50" s="31" t="s">
        <v>427</v>
      </c>
      <c r="AO50" s="31">
        <v>10</v>
      </c>
      <c r="AP50" s="31" t="s">
        <v>632</v>
      </c>
      <c r="AV50" s="31">
        <v>1927667.98</v>
      </c>
      <c r="AZ50" s="31">
        <v>371299.64</v>
      </c>
      <c r="BA50" s="31">
        <v>19.261597160000001</v>
      </c>
      <c r="BB50" s="31">
        <v>1</v>
      </c>
      <c r="BC50" s="31">
        <v>299</v>
      </c>
      <c r="BD50" s="31">
        <v>742589</v>
      </c>
      <c r="BE50" s="31" t="s">
        <v>422</v>
      </c>
      <c r="BF50" s="31">
        <v>0</v>
      </c>
      <c r="BG50" s="31">
        <v>461470.66</v>
      </c>
      <c r="BH50" s="31">
        <v>0</v>
      </c>
      <c r="BI50" s="31">
        <v>0</v>
      </c>
      <c r="BJ50" s="31">
        <v>461470.66</v>
      </c>
    </row>
    <row r="51" spans="1:62">
      <c r="A51" s="24" t="s">
        <v>78</v>
      </c>
      <c r="B51" s="31">
        <v>25130</v>
      </c>
      <c r="C51" s="31" t="s">
        <v>62</v>
      </c>
      <c r="D51" s="31" t="s">
        <v>58</v>
      </c>
      <c r="E51" s="31" t="s">
        <v>58</v>
      </c>
      <c r="F51" s="24" t="str">
        <f>IF(Tabela1[[#This Row],[Data Prevista de Conclusão da Obra]]&lt;$C$1,"Atrasada","-")</f>
        <v>Atrasada</v>
      </c>
      <c r="G51" s="53" t="s">
        <v>67</v>
      </c>
      <c r="H51" s="24">
        <f>IF(Tabela1[[#This Row],[Levant OS - Jun/17]]=Tabela1[[#This Row],[Situação2]],0,1)</f>
        <v>1</v>
      </c>
      <c r="I51" s="31" t="s">
        <v>191</v>
      </c>
      <c r="J51" s="31" t="s">
        <v>86</v>
      </c>
      <c r="K51" s="31">
        <v>88780000</v>
      </c>
      <c r="L51" s="31" t="s">
        <v>633</v>
      </c>
      <c r="M51" s="31" t="s">
        <v>573</v>
      </c>
      <c r="N51" s="31" t="s">
        <v>192</v>
      </c>
      <c r="O51" s="31" t="s">
        <v>634</v>
      </c>
      <c r="P51" s="31" t="s">
        <v>408</v>
      </c>
      <c r="Q51" s="31">
        <v>80.739999999999995</v>
      </c>
      <c r="R51" s="50">
        <v>42822</v>
      </c>
      <c r="S51" s="31" t="s">
        <v>409</v>
      </c>
      <c r="T51" s="31" t="s">
        <v>447</v>
      </c>
      <c r="U51" s="31" t="s">
        <v>290</v>
      </c>
      <c r="V51" s="31" t="s">
        <v>411</v>
      </c>
      <c r="W51" s="31">
        <v>1448633.71</v>
      </c>
      <c r="X51" s="31" t="s">
        <v>412</v>
      </c>
      <c r="Y51" s="31">
        <v>82909409000190</v>
      </c>
      <c r="Z51" s="31">
        <v>281251</v>
      </c>
      <c r="AA51" s="31" t="s">
        <v>635</v>
      </c>
      <c r="AB51" s="31" t="s">
        <v>636</v>
      </c>
      <c r="AC51" s="31" t="s">
        <v>637</v>
      </c>
      <c r="AD51" s="31" t="s">
        <v>638</v>
      </c>
      <c r="AE51" s="31" t="s">
        <v>639</v>
      </c>
      <c r="AF51" s="31" t="s">
        <v>640</v>
      </c>
      <c r="AG51" s="31">
        <v>88780000</v>
      </c>
      <c r="AH51" s="31" t="s">
        <v>641</v>
      </c>
      <c r="AJ51" s="31">
        <v>601</v>
      </c>
      <c r="AK51" s="31" t="s">
        <v>421</v>
      </c>
      <c r="AM51" s="31" t="s">
        <v>191</v>
      </c>
      <c r="AN51" s="31" t="s">
        <v>427</v>
      </c>
      <c r="AO51" s="31">
        <v>42012</v>
      </c>
      <c r="AP51" s="31" t="s">
        <v>642</v>
      </c>
      <c r="AQ51" s="31" t="s">
        <v>643</v>
      </c>
      <c r="AR51" s="31" t="s">
        <v>642</v>
      </c>
      <c r="AS51" s="31">
        <v>1738</v>
      </c>
      <c r="AT51" s="31" t="s">
        <v>644</v>
      </c>
      <c r="AU51" s="31">
        <v>1560503.51</v>
      </c>
      <c r="AV51" s="31">
        <v>1448633.71</v>
      </c>
      <c r="AW51" s="31" t="s">
        <v>645</v>
      </c>
      <c r="AX51" s="31" t="s">
        <v>457</v>
      </c>
      <c r="AZ51" s="31">
        <v>1086475.28</v>
      </c>
      <c r="BA51" s="31">
        <v>74.999999650000007</v>
      </c>
      <c r="BB51" s="31">
        <v>1</v>
      </c>
      <c r="BC51" s="31">
        <v>1408</v>
      </c>
      <c r="BD51" s="31">
        <v>213373</v>
      </c>
      <c r="BE51" s="31" t="s">
        <v>422</v>
      </c>
      <c r="BF51" s="31">
        <v>0</v>
      </c>
      <c r="BG51" s="31">
        <v>3156.69</v>
      </c>
      <c r="BH51" s="31">
        <v>0</v>
      </c>
      <c r="BI51" s="31">
        <v>0</v>
      </c>
      <c r="BJ51" s="31">
        <v>3156.69</v>
      </c>
    </row>
    <row r="52" spans="1:62">
      <c r="A52" s="24" t="s">
        <v>60</v>
      </c>
      <c r="B52" s="31">
        <v>1006532</v>
      </c>
      <c r="C52" s="31" t="s">
        <v>193</v>
      </c>
      <c r="D52" s="31" t="s">
        <v>82</v>
      </c>
      <c r="E52" s="31" t="s">
        <v>64</v>
      </c>
      <c r="F52" s="24" t="str">
        <f>IF(Tabela1[[#This Row],[Data Prevista de Conclusão da Obra]]&lt;$C$1,"Atrasada","-")</f>
        <v>-</v>
      </c>
      <c r="G52" s="53" t="s">
        <v>64</v>
      </c>
      <c r="H52" s="24">
        <f>IF(Tabela1[[#This Row],[Levant OS - Jun/17]]=Tabela1[[#This Row],[Situação2]],0,1)</f>
        <v>0</v>
      </c>
      <c r="I52" s="31" t="s">
        <v>191</v>
      </c>
      <c r="J52" s="31" t="s">
        <v>86</v>
      </c>
      <c r="K52" s="31">
        <v>88780000</v>
      </c>
      <c r="L52" s="31" t="s">
        <v>646</v>
      </c>
      <c r="M52" s="31" t="s">
        <v>647</v>
      </c>
      <c r="N52" s="31" t="s">
        <v>194</v>
      </c>
      <c r="O52" s="31" t="s">
        <v>648</v>
      </c>
      <c r="P52" s="31" t="s">
        <v>408</v>
      </c>
      <c r="Q52" s="31">
        <v>0</v>
      </c>
      <c r="R52" s="24" t="s">
        <v>59</v>
      </c>
      <c r="S52" s="31" t="s">
        <v>409</v>
      </c>
      <c r="T52" s="31" t="s">
        <v>424</v>
      </c>
      <c r="U52" s="31" t="s">
        <v>290</v>
      </c>
      <c r="V52" s="31" t="s">
        <v>411</v>
      </c>
      <c r="W52" s="31">
        <v>1888084.32</v>
      </c>
      <c r="X52" s="31" t="s">
        <v>412</v>
      </c>
      <c r="Y52" s="31">
        <v>82909409000190</v>
      </c>
      <c r="Z52" s="31">
        <v>281251</v>
      </c>
      <c r="AA52" s="31" t="s">
        <v>635</v>
      </c>
      <c r="AB52" s="31" t="s">
        <v>636</v>
      </c>
      <c r="AC52" s="31" t="s">
        <v>637</v>
      </c>
      <c r="AD52" s="31" t="s">
        <v>638</v>
      </c>
      <c r="AE52" s="31" t="s">
        <v>639</v>
      </c>
      <c r="AF52" s="31" t="s">
        <v>640</v>
      </c>
      <c r="AG52" s="31">
        <v>88780000</v>
      </c>
      <c r="AH52" s="31" t="s">
        <v>641</v>
      </c>
      <c r="AJ52" s="31">
        <v>601</v>
      </c>
      <c r="AK52" s="31" t="s">
        <v>421</v>
      </c>
      <c r="AM52" s="31" t="s">
        <v>191</v>
      </c>
      <c r="AV52" s="31">
        <v>1888084.32</v>
      </c>
      <c r="AZ52" s="31">
        <v>371770.9</v>
      </c>
      <c r="BA52" s="31">
        <v>19.690375880000001</v>
      </c>
      <c r="BB52" s="31">
        <v>1</v>
      </c>
      <c r="BC52" s="31">
        <v>1408</v>
      </c>
      <c r="BD52" s="31">
        <v>241245</v>
      </c>
      <c r="BE52" s="31" t="s">
        <v>422</v>
      </c>
      <c r="BF52" s="31">
        <v>0</v>
      </c>
      <c r="BG52" s="31">
        <v>343.84</v>
      </c>
      <c r="BH52" s="31">
        <v>0</v>
      </c>
      <c r="BI52" s="31">
        <v>371500</v>
      </c>
      <c r="BJ52" s="31">
        <v>371843.84000000003</v>
      </c>
    </row>
    <row r="53" spans="1:62">
      <c r="A53" s="24" t="s">
        <v>60</v>
      </c>
      <c r="B53" s="31">
        <v>1001606</v>
      </c>
      <c r="C53" s="31" t="s">
        <v>196</v>
      </c>
      <c r="D53" s="31" t="s">
        <v>22</v>
      </c>
      <c r="E53" s="31" t="s">
        <v>64</v>
      </c>
      <c r="F53" s="24" t="str">
        <f>IF(Tabela1[[#This Row],[Data Prevista de Conclusão da Obra]]&lt;$C$1,"Atrasada","-")</f>
        <v>-</v>
      </c>
      <c r="G53" s="53" t="s">
        <v>58</v>
      </c>
      <c r="H53" s="24">
        <f>IF(Tabela1[[#This Row],[Levant OS - Jun/17]]=Tabela1[[#This Row],[Situação2]],0,1)</f>
        <v>1</v>
      </c>
      <c r="I53" s="31" t="s">
        <v>195</v>
      </c>
      <c r="J53" s="31" t="s">
        <v>146</v>
      </c>
      <c r="K53" s="31">
        <v>95900000</v>
      </c>
      <c r="L53" s="31" t="s">
        <v>649</v>
      </c>
      <c r="M53" s="31" t="s">
        <v>650</v>
      </c>
      <c r="N53" s="31" t="s">
        <v>198</v>
      </c>
      <c r="O53" s="50">
        <v>43006</v>
      </c>
      <c r="P53" s="31" t="s">
        <v>408</v>
      </c>
      <c r="Q53" s="31">
        <v>0</v>
      </c>
      <c r="R53" s="24" t="s">
        <v>59</v>
      </c>
      <c r="S53" s="31" t="s">
        <v>409</v>
      </c>
      <c r="T53" s="31" t="s">
        <v>424</v>
      </c>
      <c r="U53" s="31" t="s">
        <v>290</v>
      </c>
      <c r="V53" s="31" t="s">
        <v>411</v>
      </c>
      <c r="W53" s="54">
        <v>1802473.77</v>
      </c>
      <c r="X53" s="31" t="s">
        <v>412</v>
      </c>
      <c r="Y53" s="31">
        <v>87297982000103</v>
      </c>
      <c r="AA53" s="31" t="s">
        <v>651</v>
      </c>
      <c r="AB53" s="31" t="s">
        <v>652</v>
      </c>
      <c r="AC53" s="31" t="s">
        <v>653</v>
      </c>
      <c r="AD53" s="31" t="s">
        <v>654</v>
      </c>
      <c r="AE53" s="31" t="s">
        <v>655</v>
      </c>
      <c r="AF53" s="31" t="s">
        <v>656</v>
      </c>
      <c r="AG53" s="31">
        <v>95900000</v>
      </c>
      <c r="AH53" s="31" t="s">
        <v>657</v>
      </c>
      <c r="AJ53" s="31">
        <v>242</v>
      </c>
      <c r="AK53" s="31" t="s">
        <v>421</v>
      </c>
      <c r="AM53" s="31" t="s">
        <v>195</v>
      </c>
      <c r="AN53" s="31" t="s">
        <v>427</v>
      </c>
      <c r="AO53" s="31">
        <v>11032015</v>
      </c>
      <c r="AP53" s="50">
        <v>42373</v>
      </c>
      <c r="AR53" s="50">
        <v>41608</v>
      </c>
      <c r="AV53" s="54">
        <v>1802473.77</v>
      </c>
      <c r="AZ53" s="54">
        <v>375660.1</v>
      </c>
      <c r="BA53" s="31">
        <v>20.84</v>
      </c>
      <c r="BB53" s="31">
        <v>1</v>
      </c>
      <c r="BC53" s="31">
        <v>139</v>
      </c>
      <c r="BD53" s="31">
        <v>713570</v>
      </c>
      <c r="BE53" s="31" t="s">
        <v>422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</row>
    <row r="54" spans="1:62">
      <c r="A54" s="24" t="s">
        <v>78</v>
      </c>
      <c r="B54" s="31">
        <v>1017501</v>
      </c>
      <c r="C54" s="31" t="s">
        <v>199</v>
      </c>
      <c r="D54" s="31" t="s">
        <v>82</v>
      </c>
      <c r="E54" s="31" t="s">
        <v>64</v>
      </c>
      <c r="F54" s="24" t="str">
        <f>IF(Tabela1[[#This Row],[Data Prevista de Conclusão da Obra]]&lt;$C$1,"Atrasada","-")</f>
        <v>-</v>
      </c>
      <c r="G54" s="53" t="s">
        <v>64</v>
      </c>
      <c r="H54" s="24">
        <f>IF(Tabela1[[#This Row],[Levant OS - Jun/17]]=Tabela1[[#This Row],[Situação2]],0,1)</f>
        <v>0</v>
      </c>
      <c r="I54" s="31" t="s">
        <v>195</v>
      </c>
      <c r="J54" s="31" t="s">
        <v>146</v>
      </c>
      <c r="K54" s="31">
        <v>95900000</v>
      </c>
      <c r="L54" s="31" t="s">
        <v>658</v>
      </c>
      <c r="M54" s="31" t="s">
        <v>659</v>
      </c>
      <c r="N54" s="31" t="s">
        <v>200</v>
      </c>
      <c r="O54" s="50">
        <v>42947</v>
      </c>
      <c r="P54" s="31" t="s">
        <v>408</v>
      </c>
      <c r="Q54" s="31">
        <v>0</v>
      </c>
      <c r="R54" s="24" t="s">
        <v>59</v>
      </c>
      <c r="S54" s="31" t="s">
        <v>409</v>
      </c>
      <c r="T54" s="31" t="s">
        <v>546</v>
      </c>
      <c r="U54" s="31" t="s">
        <v>290</v>
      </c>
      <c r="V54" s="31" t="s">
        <v>411</v>
      </c>
      <c r="W54" s="54">
        <v>1516332.81</v>
      </c>
      <c r="X54" s="31" t="s">
        <v>412</v>
      </c>
      <c r="Y54" s="31">
        <v>87297982000103</v>
      </c>
      <c r="AA54" s="31" t="s">
        <v>651</v>
      </c>
      <c r="AB54" s="31" t="s">
        <v>652</v>
      </c>
      <c r="AC54" s="31" t="s">
        <v>653</v>
      </c>
      <c r="AD54" s="31" t="s">
        <v>654</v>
      </c>
      <c r="AE54" s="31" t="s">
        <v>655</v>
      </c>
      <c r="AF54" s="31" t="s">
        <v>656</v>
      </c>
      <c r="AG54" s="31">
        <v>95900000</v>
      </c>
      <c r="AH54" s="31" t="s">
        <v>657</v>
      </c>
      <c r="AJ54" s="31">
        <v>242</v>
      </c>
      <c r="AK54" s="31" t="s">
        <v>421</v>
      </c>
      <c r="AM54" s="31" t="s">
        <v>195</v>
      </c>
      <c r="AR54" s="50">
        <v>41831</v>
      </c>
      <c r="AV54" s="54">
        <v>1516332.81</v>
      </c>
      <c r="BB54" s="31">
        <v>1</v>
      </c>
      <c r="BC54" s="31">
        <v>139</v>
      </c>
      <c r="BD54" s="31">
        <v>713554</v>
      </c>
      <c r="BE54" s="31" t="s">
        <v>422</v>
      </c>
      <c r="BF54" s="31">
        <v>0</v>
      </c>
      <c r="BG54" s="31">
        <v>0</v>
      </c>
      <c r="BH54" s="31">
        <v>0</v>
      </c>
      <c r="BI54" s="31">
        <v>0</v>
      </c>
      <c r="BJ54" s="31">
        <v>0</v>
      </c>
    </row>
    <row r="55" spans="1:62">
      <c r="A55" s="24" t="s">
        <v>60</v>
      </c>
      <c r="B55" s="31">
        <v>24448</v>
      </c>
      <c r="C55" s="31" t="s">
        <v>56</v>
      </c>
      <c r="D55" s="31" t="s">
        <v>82</v>
      </c>
      <c r="E55" s="31" t="s">
        <v>64</v>
      </c>
      <c r="F55" s="24" t="str">
        <f>IF(Tabela1[[#This Row],[Data Prevista de Conclusão da Obra]]&lt;$C$1,"Atrasada","-")</f>
        <v>-</v>
      </c>
      <c r="G55" s="53" t="s">
        <v>64</v>
      </c>
      <c r="H55" s="24">
        <f>IF(Tabela1[[#This Row],[Levant OS - Jun/17]]=Tabela1[[#This Row],[Situação2]],0,1)</f>
        <v>0</v>
      </c>
      <c r="I55" s="31" t="s">
        <v>201</v>
      </c>
      <c r="J55" s="31" t="s">
        <v>202</v>
      </c>
      <c r="K55" s="31">
        <v>13480000</v>
      </c>
      <c r="L55" s="31" t="s">
        <v>660</v>
      </c>
      <c r="M55" s="31" t="s">
        <v>661</v>
      </c>
      <c r="N55" s="31" t="s">
        <v>203</v>
      </c>
      <c r="O55" s="50">
        <v>43046</v>
      </c>
      <c r="P55" s="31" t="s">
        <v>408</v>
      </c>
      <c r="Q55" s="31">
        <v>0</v>
      </c>
      <c r="R55" s="24" t="s">
        <v>59</v>
      </c>
      <c r="S55" s="31" t="s">
        <v>409</v>
      </c>
      <c r="T55" s="31" t="s">
        <v>424</v>
      </c>
      <c r="U55" s="31" t="s">
        <v>290</v>
      </c>
      <c r="V55" s="31" t="s">
        <v>411</v>
      </c>
      <c r="W55" s="31">
        <v>1979860.84</v>
      </c>
      <c r="X55" s="31" t="s">
        <v>412</v>
      </c>
      <c r="Y55" s="31">
        <v>45132495000140</v>
      </c>
      <c r="AA55" s="31" t="s">
        <v>662</v>
      </c>
      <c r="AB55" s="31" t="s">
        <v>663</v>
      </c>
      <c r="AC55" s="31" t="s">
        <v>664</v>
      </c>
      <c r="AD55" s="31" t="s">
        <v>654</v>
      </c>
      <c r="AE55" s="31" t="s">
        <v>665</v>
      </c>
      <c r="AF55" s="31" t="s">
        <v>666</v>
      </c>
      <c r="AG55" s="31">
        <v>13480074</v>
      </c>
      <c r="AH55" s="31" t="s">
        <v>667</v>
      </c>
      <c r="AI55" s="31" t="s">
        <v>573</v>
      </c>
      <c r="AJ55" s="31">
        <v>179</v>
      </c>
      <c r="AK55" s="31" t="s">
        <v>573</v>
      </c>
      <c r="AM55" s="31" t="s">
        <v>201</v>
      </c>
      <c r="AR55" s="55">
        <v>41437</v>
      </c>
      <c r="AU55" s="31">
        <v>0</v>
      </c>
      <c r="AV55" s="31">
        <v>1979860.84</v>
      </c>
      <c r="AZ55" s="31">
        <v>289999.33</v>
      </c>
      <c r="BA55" s="31">
        <v>14.64746027</v>
      </c>
      <c r="BB55" s="31">
        <v>1</v>
      </c>
      <c r="BC55" s="31">
        <v>216</v>
      </c>
      <c r="BD55" s="31" t="s">
        <v>668</v>
      </c>
      <c r="BE55" s="31" t="s">
        <v>422</v>
      </c>
      <c r="BF55" s="31">
        <v>0</v>
      </c>
      <c r="BG55" s="31">
        <v>1148361.6499999999</v>
      </c>
      <c r="BH55" s="31">
        <v>0</v>
      </c>
      <c r="BI55" s="31">
        <v>0</v>
      </c>
      <c r="BJ55" s="31">
        <v>1148361.6499999999</v>
      </c>
    </row>
    <row r="56" spans="1:62">
      <c r="A56" s="24" t="s">
        <v>78</v>
      </c>
      <c r="B56" s="31">
        <v>24449</v>
      </c>
      <c r="C56" s="31" t="s">
        <v>71</v>
      </c>
      <c r="D56" s="31" t="s">
        <v>67</v>
      </c>
      <c r="E56" s="31" t="s">
        <v>67</v>
      </c>
      <c r="F56" s="24" t="str">
        <f>IF(Tabela1[[#This Row],[Data Prevista de Conclusão da Obra]]&lt;$C$1,"Atrasada","-")</f>
        <v>Atrasada</v>
      </c>
      <c r="G56" s="53" t="s">
        <v>67</v>
      </c>
      <c r="H56" s="24">
        <f>IF(Tabela1[[#This Row],[Levant OS - Jun/17]]=Tabela1[[#This Row],[Situação2]],0,1)</f>
        <v>0</v>
      </c>
      <c r="I56" s="31" t="s">
        <v>201</v>
      </c>
      <c r="J56" s="31" t="s">
        <v>202</v>
      </c>
      <c r="K56" s="31">
        <v>13480000</v>
      </c>
      <c r="L56" s="31" t="s">
        <v>669</v>
      </c>
      <c r="M56" s="31" t="s">
        <v>670</v>
      </c>
      <c r="N56" s="31" t="s">
        <v>203</v>
      </c>
      <c r="O56" s="50">
        <v>43046</v>
      </c>
      <c r="P56" s="31" t="s">
        <v>408</v>
      </c>
      <c r="Q56" s="31">
        <v>83.65</v>
      </c>
      <c r="R56" s="50">
        <v>42759</v>
      </c>
      <c r="S56" s="31" t="s">
        <v>409</v>
      </c>
      <c r="T56" s="31" t="s">
        <v>546</v>
      </c>
      <c r="U56" s="31" t="s">
        <v>290</v>
      </c>
      <c r="V56" s="31" t="s">
        <v>411</v>
      </c>
      <c r="W56" s="31">
        <v>1519838.54</v>
      </c>
      <c r="X56" s="31" t="s">
        <v>412</v>
      </c>
      <c r="Y56" s="31">
        <v>45132495000140</v>
      </c>
      <c r="AA56" s="31" t="s">
        <v>662</v>
      </c>
      <c r="AB56" s="31" t="s">
        <v>663</v>
      </c>
      <c r="AC56" s="31" t="s">
        <v>664</v>
      </c>
      <c r="AD56" s="31" t="s">
        <v>654</v>
      </c>
      <c r="AE56" s="31" t="s">
        <v>665</v>
      </c>
      <c r="AF56" s="31" t="s">
        <v>666</v>
      </c>
      <c r="AG56" s="31">
        <v>13480074</v>
      </c>
      <c r="AH56" s="31" t="s">
        <v>667</v>
      </c>
      <c r="AI56" s="31" t="s">
        <v>573</v>
      </c>
      <c r="AJ56" s="31">
        <v>179</v>
      </c>
      <c r="AK56" s="31" t="s">
        <v>573</v>
      </c>
      <c r="AM56" s="31" t="s">
        <v>201</v>
      </c>
      <c r="AQ56" s="31" t="s">
        <v>671</v>
      </c>
      <c r="AR56" s="55">
        <v>41437</v>
      </c>
      <c r="AS56" s="31">
        <v>1145</v>
      </c>
      <c r="AT56" s="31" t="s">
        <v>672</v>
      </c>
      <c r="AU56" s="31">
        <v>1519838.54</v>
      </c>
      <c r="AV56" s="31">
        <v>1519838.54</v>
      </c>
      <c r="AW56" s="55">
        <v>43012</v>
      </c>
      <c r="AX56" s="31" t="s">
        <v>429</v>
      </c>
      <c r="AY56" s="31" t="s">
        <v>430</v>
      </c>
      <c r="AZ56" s="31">
        <v>955917.1</v>
      </c>
      <c r="BA56" s="31">
        <v>62.895963940000001</v>
      </c>
      <c r="BB56" s="31">
        <v>1</v>
      </c>
      <c r="BC56" s="31">
        <v>216</v>
      </c>
      <c r="BD56" s="31" t="s">
        <v>668</v>
      </c>
      <c r="BE56" s="31" t="s">
        <v>422</v>
      </c>
      <c r="BF56" s="31">
        <v>0</v>
      </c>
      <c r="BG56" s="31">
        <v>1148361.6499999999</v>
      </c>
      <c r="BH56" s="31">
        <v>0</v>
      </c>
      <c r="BI56" s="31">
        <v>0</v>
      </c>
      <c r="BJ56" s="31">
        <v>1148361.6499999999</v>
      </c>
    </row>
    <row r="57" spans="1:62">
      <c r="A57" s="24" t="s">
        <v>78</v>
      </c>
      <c r="B57" s="31">
        <v>24450</v>
      </c>
      <c r="C57" s="31" t="s">
        <v>62</v>
      </c>
      <c r="D57" s="31" t="s">
        <v>137</v>
      </c>
      <c r="E57" s="31" t="s">
        <v>64</v>
      </c>
      <c r="F57" s="24" t="str">
        <f>IF(Tabela1[[#This Row],[Data Prevista de Conclusão da Obra]]&lt;$C$1,"Atrasada","-")</f>
        <v>-</v>
      </c>
      <c r="G57" s="53" t="s">
        <v>64</v>
      </c>
      <c r="H57" s="24">
        <f>IF(Tabela1[[#This Row],[Levant OS - Jun/17]]=Tabela1[[#This Row],[Situação2]],0,1)</f>
        <v>0</v>
      </c>
      <c r="I57" s="31" t="s">
        <v>201</v>
      </c>
      <c r="J57" s="31" t="s">
        <v>202</v>
      </c>
      <c r="K57" s="31">
        <v>13480000</v>
      </c>
      <c r="L57" s="31" t="s">
        <v>673</v>
      </c>
      <c r="M57" s="31" t="s">
        <v>674</v>
      </c>
      <c r="N57" s="31" t="s">
        <v>203</v>
      </c>
      <c r="O57" s="50">
        <v>43046</v>
      </c>
      <c r="P57" s="31" t="s">
        <v>408</v>
      </c>
      <c r="Q57" s="31">
        <v>0</v>
      </c>
      <c r="R57" s="24" t="s">
        <v>59</v>
      </c>
      <c r="S57" s="31" t="s">
        <v>409</v>
      </c>
      <c r="T57" s="31" t="s">
        <v>546</v>
      </c>
      <c r="U57" s="31" t="s">
        <v>290</v>
      </c>
      <c r="V57" s="31" t="s">
        <v>411</v>
      </c>
      <c r="W57" s="31">
        <v>1519838.54</v>
      </c>
      <c r="X57" s="31" t="s">
        <v>412</v>
      </c>
      <c r="Y57" s="31">
        <v>45132495000140</v>
      </c>
      <c r="AA57" s="31" t="s">
        <v>662</v>
      </c>
      <c r="AB57" s="31" t="s">
        <v>663</v>
      </c>
      <c r="AC57" s="31" t="s">
        <v>664</v>
      </c>
      <c r="AD57" s="31" t="s">
        <v>654</v>
      </c>
      <c r="AE57" s="31" t="s">
        <v>665</v>
      </c>
      <c r="AF57" s="31" t="s">
        <v>666</v>
      </c>
      <c r="AG57" s="31">
        <v>13480074</v>
      </c>
      <c r="AH57" s="31" t="s">
        <v>667</v>
      </c>
      <c r="AI57" s="31" t="s">
        <v>573</v>
      </c>
      <c r="AJ57" s="31">
        <v>179</v>
      </c>
      <c r="AK57" s="31" t="s">
        <v>573</v>
      </c>
      <c r="AM57" s="31" t="s">
        <v>201</v>
      </c>
      <c r="AU57" s="31">
        <v>0</v>
      </c>
      <c r="AV57" s="31">
        <v>1519838.54</v>
      </c>
      <c r="AZ57" s="31">
        <v>290000</v>
      </c>
      <c r="BA57" s="31">
        <v>6.7399031520000001</v>
      </c>
      <c r="BB57" s="31">
        <v>1</v>
      </c>
      <c r="BC57" s="31">
        <v>216</v>
      </c>
      <c r="BD57" s="31" t="s">
        <v>668</v>
      </c>
      <c r="BE57" s="31" t="s">
        <v>422</v>
      </c>
      <c r="BF57" s="31">
        <v>0</v>
      </c>
      <c r="BG57" s="31">
        <v>1148361.6499999999</v>
      </c>
      <c r="BH57" s="31">
        <v>0</v>
      </c>
      <c r="BI57" s="31">
        <v>0</v>
      </c>
      <c r="BJ57" s="31">
        <v>1148361.6499999999</v>
      </c>
    </row>
    <row r="58" spans="1:62">
      <c r="A58" s="24" t="s">
        <v>78</v>
      </c>
      <c r="B58" s="31">
        <v>24451</v>
      </c>
      <c r="C58" s="31" t="s">
        <v>65</v>
      </c>
      <c r="D58" s="31" t="s">
        <v>82</v>
      </c>
      <c r="E58" s="31" t="s">
        <v>64</v>
      </c>
      <c r="F58" s="24" t="str">
        <f>IF(Tabela1[[#This Row],[Data Prevista de Conclusão da Obra]]&lt;$C$1,"Atrasada","-")</f>
        <v>-</v>
      </c>
      <c r="G58" s="53" t="s">
        <v>64</v>
      </c>
      <c r="H58" s="24">
        <f>IF(Tabela1[[#This Row],[Levant OS - Jun/17]]=Tabela1[[#This Row],[Situação2]],0,1)</f>
        <v>0</v>
      </c>
      <c r="I58" s="31" t="s">
        <v>201</v>
      </c>
      <c r="J58" s="31" t="s">
        <v>202</v>
      </c>
      <c r="K58" s="31">
        <v>13483285</v>
      </c>
      <c r="L58" s="31" t="s">
        <v>675</v>
      </c>
      <c r="M58" s="31" t="s">
        <v>676</v>
      </c>
      <c r="N58" s="31" t="s">
        <v>203</v>
      </c>
      <c r="O58" s="50">
        <v>43046</v>
      </c>
      <c r="P58" s="31" t="s">
        <v>408</v>
      </c>
      <c r="Q58" s="31">
        <v>0</v>
      </c>
      <c r="R58" s="24" t="s">
        <v>59</v>
      </c>
      <c r="S58" s="31" t="s">
        <v>409</v>
      </c>
      <c r="T58" s="31" t="s">
        <v>546</v>
      </c>
      <c r="U58" s="31" t="s">
        <v>290</v>
      </c>
      <c r="V58" s="31" t="s">
        <v>411</v>
      </c>
      <c r="W58" s="31">
        <v>1524836.04</v>
      </c>
      <c r="X58" s="31" t="s">
        <v>412</v>
      </c>
      <c r="Y58" s="31">
        <v>45132495000140</v>
      </c>
      <c r="AA58" s="31" t="s">
        <v>662</v>
      </c>
      <c r="AB58" s="31" t="s">
        <v>663</v>
      </c>
      <c r="AC58" s="31" t="s">
        <v>664</v>
      </c>
      <c r="AD58" s="31" t="s">
        <v>654</v>
      </c>
      <c r="AE58" s="31" t="s">
        <v>665</v>
      </c>
      <c r="AF58" s="31" t="s">
        <v>666</v>
      </c>
      <c r="AG58" s="31">
        <v>13480074</v>
      </c>
      <c r="AH58" s="31" t="s">
        <v>667</v>
      </c>
      <c r="AI58" s="31" t="s">
        <v>573</v>
      </c>
      <c r="AJ58" s="31">
        <v>179</v>
      </c>
      <c r="AK58" s="31" t="s">
        <v>573</v>
      </c>
      <c r="AM58" s="31" t="s">
        <v>201</v>
      </c>
      <c r="AR58" s="55">
        <v>41437</v>
      </c>
      <c r="AU58" s="31">
        <v>0</v>
      </c>
      <c r="AV58" s="31">
        <v>1524836.04</v>
      </c>
      <c r="AZ58" s="31">
        <v>290000</v>
      </c>
      <c r="BA58" s="31">
        <v>19.018438209999999</v>
      </c>
      <c r="BB58" s="31">
        <v>1</v>
      </c>
      <c r="BC58" s="31">
        <v>216</v>
      </c>
      <c r="BD58" s="31" t="s">
        <v>668</v>
      </c>
      <c r="BE58" s="31" t="s">
        <v>422</v>
      </c>
      <c r="BF58" s="31">
        <v>0</v>
      </c>
      <c r="BG58" s="31">
        <v>1148361.6499999999</v>
      </c>
      <c r="BH58" s="31">
        <v>0</v>
      </c>
      <c r="BI58" s="31">
        <v>0</v>
      </c>
      <c r="BJ58" s="31">
        <v>1148361.6499999999</v>
      </c>
    </row>
    <row r="59" spans="1:62">
      <c r="A59" s="24" t="s">
        <v>78</v>
      </c>
      <c r="B59" s="31">
        <v>1014625</v>
      </c>
      <c r="C59" s="31" t="s">
        <v>205</v>
      </c>
      <c r="D59" s="31" t="s">
        <v>137</v>
      </c>
      <c r="E59" s="31" t="s">
        <v>64</v>
      </c>
      <c r="F59" s="24" t="str">
        <f>IF(Tabela1[[#This Row],[Data Prevista de Conclusão da Obra]]&lt;$C$1,"Atrasada","-")</f>
        <v>-</v>
      </c>
      <c r="G59" s="53" t="s">
        <v>64</v>
      </c>
      <c r="H59" s="24">
        <f>IF(Tabela1[[#This Row],[Levant OS - Jun/17]]=Tabela1[[#This Row],[Situação2]],0,1)</f>
        <v>0</v>
      </c>
      <c r="I59" s="31" t="s">
        <v>201</v>
      </c>
      <c r="J59" s="31" t="s">
        <v>202</v>
      </c>
      <c r="K59" s="31">
        <v>13487468</v>
      </c>
      <c r="L59" s="31" t="s">
        <v>677</v>
      </c>
      <c r="M59" s="31" t="s">
        <v>678</v>
      </c>
      <c r="N59" s="31" t="s">
        <v>206</v>
      </c>
      <c r="O59" s="50">
        <v>43315</v>
      </c>
      <c r="P59" s="31" t="s">
        <v>408</v>
      </c>
      <c r="Q59" s="31">
        <v>0</v>
      </c>
      <c r="R59" s="24" t="s">
        <v>59</v>
      </c>
      <c r="S59" s="31" t="s">
        <v>409</v>
      </c>
      <c r="T59" s="31" t="s">
        <v>546</v>
      </c>
      <c r="U59" s="31" t="s">
        <v>290</v>
      </c>
      <c r="V59" s="31" t="s">
        <v>411</v>
      </c>
      <c r="W59" s="31">
        <v>1516338.54</v>
      </c>
      <c r="X59" s="31" t="s">
        <v>412</v>
      </c>
      <c r="Y59" s="31">
        <v>45132495000140</v>
      </c>
      <c r="AA59" s="31" t="s">
        <v>662</v>
      </c>
      <c r="AB59" s="31" t="s">
        <v>663</v>
      </c>
      <c r="AC59" s="31" t="s">
        <v>664</v>
      </c>
      <c r="AD59" s="31" t="s">
        <v>654</v>
      </c>
      <c r="AE59" s="31" t="s">
        <v>665</v>
      </c>
      <c r="AF59" s="31" t="s">
        <v>666</v>
      </c>
      <c r="AG59" s="31">
        <v>13480074</v>
      </c>
      <c r="AH59" s="31" t="s">
        <v>667</v>
      </c>
      <c r="AI59" s="31" t="s">
        <v>573</v>
      </c>
      <c r="AJ59" s="31">
        <v>179</v>
      </c>
      <c r="AK59" s="31" t="s">
        <v>573</v>
      </c>
      <c r="AM59" s="31" t="s">
        <v>201</v>
      </c>
      <c r="AV59" s="31">
        <v>1516338.54</v>
      </c>
      <c r="AZ59" s="31">
        <v>379084.64</v>
      </c>
      <c r="BA59" s="31">
        <v>19.147034590000001</v>
      </c>
      <c r="BB59" s="31">
        <v>1</v>
      </c>
      <c r="BC59" s="31">
        <v>6538</v>
      </c>
      <c r="BD59" s="31">
        <v>89729</v>
      </c>
      <c r="BE59" s="31" t="s">
        <v>497</v>
      </c>
      <c r="BF59" s="31">
        <v>0</v>
      </c>
      <c r="BG59" s="31">
        <v>449832.87</v>
      </c>
      <c r="BH59" s="31">
        <v>0</v>
      </c>
      <c r="BI59" s="31">
        <v>0</v>
      </c>
      <c r="BJ59" s="31">
        <v>449832.87</v>
      </c>
    </row>
    <row r="60" spans="1:62">
      <c r="A60" s="24" t="s">
        <v>78</v>
      </c>
      <c r="B60" s="31">
        <v>17386</v>
      </c>
      <c r="C60" s="31" t="s">
        <v>208</v>
      </c>
      <c r="D60" s="31" t="s">
        <v>58</v>
      </c>
      <c r="E60" s="31" t="s">
        <v>58</v>
      </c>
      <c r="F60" s="24" t="str">
        <f>IF(Tabela1[[#This Row],[Data Prevista de Conclusão da Obra]]&lt;$C$1,"Atrasada","-")</f>
        <v>Atrasada</v>
      </c>
      <c r="G60" s="53" t="s">
        <v>67</v>
      </c>
      <c r="H60" s="24">
        <f>IF(Tabela1[[#This Row],[Levant OS - Jun/17]]=Tabela1[[#This Row],[Situação2]],0,1)</f>
        <v>1</v>
      </c>
      <c r="I60" s="31" t="s">
        <v>207</v>
      </c>
      <c r="J60" s="31" t="s">
        <v>86</v>
      </c>
      <c r="K60" s="31">
        <v>88130900</v>
      </c>
      <c r="L60" s="31" t="s">
        <v>679</v>
      </c>
      <c r="N60" s="31" t="s">
        <v>210</v>
      </c>
      <c r="P60" s="31" t="s">
        <v>408</v>
      </c>
      <c r="Q60" s="31">
        <v>94.42</v>
      </c>
      <c r="R60" s="50">
        <v>42735</v>
      </c>
      <c r="S60" s="31" t="s">
        <v>409</v>
      </c>
      <c r="T60" s="31" t="s">
        <v>680</v>
      </c>
      <c r="U60" s="31" t="s">
        <v>290</v>
      </c>
      <c r="V60" s="31" t="s">
        <v>411</v>
      </c>
      <c r="W60" s="31">
        <v>524690.43999999994</v>
      </c>
      <c r="X60" s="31" t="s">
        <v>412</v>
      </c>
      <c r="Y60" s="31">
        <v>82892316000108</v>
      </c>
      <c r="AA60" s="31" t="s">
        <v>681</v>
      </c>
      <c r="AB60" s="31" t="s">
        <v>682</v>
      </c>
      <c r="AC60" s="31" t="s">
        <v>683</v>
      </c>
      <c r="AD60" s="31" t="s">
        <v>684</v>
      </c>
      <c r="AE60" s="31" t="s">
        <v>685</v>
      </c>
      <c r="AF60" s="31" t="s">
        <v>686</v>
      </c>
      <c r="AG60" s="31">
        <v>88130000</v>
      </c>
      <c r="AH60" s="31" t="s">
        <v>687</v>
      </c>
      <c r="AI60" s="31" t="s">
        <v>688</v>
      </c>
      <c r="AJ60" s="31">
        <v>280</v>
      </c>
      <c r="AK60" s="31" t="s">
        <v>689</v>
      </c>
      <c r="AM60" s="31" t="s">
        <v>207</v>
      </c>
      <c r="AN60" s="31" t="s">
        <v>494</v>
      </c>
      <c r="AO60" s="31">
        <v>146</v>
      </c>
      <c r="AP60" s="31" t="s">
        <v>690</v>
      </c>
      <c r="AQ60" s="31" t="s">
        <v>211</v>
      </c>
      <c r="AR60" s="31" t="s">
        <v>691</v>
      </c>
      <c r="AS60" s="31">
        <v>765</v>
      </c>
      <c r="AT60" s="31" t="s">
        <v>692</v>
      </c>
      <c r="AU60" s="31">
        <v>542811.52</v>
      </c>
      <c r="AV60" s="31">
        <v>524690.43999999994</v>
      </c>
      <c r="AW60" s="31" t="s">
        <v>693</v>
      </c>
      <c r="AX60" s="31" t="s">
        <v>457</v>
      </c>
      <c r="BB60" s="31">
        <v>1</v>
      </c>
      <c r="BC60" s="31">
        <v>2383</v>
      </c>
      <c r="BD60" s="31">
        <v>269573</v>
      </c>
      <c r="BE60" s="31" t="s">
        <v>422</v>
      </c>
      <c r="BF60" s="31">
        <v>0</v>
      </c>
      <c r="BG60" s="31">
        <v>24573.42</v>
      </c>
      <c r="BH60" s="31">
        <v>0</v>
      </c>
      <c r="BI60" s="31">
        <v>0</v>
      </c>
      <c r="BJ60" s="31">
        <v>24573.42</v>
      </c>
    </row>
    <row r="61" spans="1:62">
      <c r="A61" s="24" t="s">
        <v>78</v>
      </c>
      <c r="B61" s="31">
        <v>25132</v>
      </c>
      <c r="C61" s="31" t="s">
        <v>212</v>
      </c>
      <c r="D61" s="31" t="s">
        <v>58</v>
      </c>
      <c r="E61" s="31" t="s">
        <v>58</v>
      </c>
      <c r="F61" s="24" t="str">
        <f>IF(Tabela1[[#This Row],[Data Prevista de Conclusão da Obra]]&lt;$C$1,"Atrasada","-")</f>
        <v>Atrasada</v>
      </c>
      <c r="G61" s="53" t="s">
        <v>67</v>
      </c>
      <c r="H61" s="24">
        <f>IF(Tabela1[[#This Row],[Levant OS - Jun/17]]=Tabela1[[#This Row],[Situação2]],0,1)</f>
        <v>1</v>
      </c>
      <c r="I61" s="31" t="s">
        <v>207</v>
      </c>
      <c r="J61" s="31" t="s">
        <v>86</v>
      </c>
      <c r="K61" s="31">
        <v>88133250</v>
      </c>
      <c r="L61" s="31" t="s">
        <v>694</v>
      </c>
      <c r="M61" s="31" t="s">
        <v>695</v>
      </c>
      <c r="N61" s="31" t="s">
        <v>214</v>
      </c>
      <c r="O61" s="31" t="s">
        <v>696</v>
      </c>
      <c r="P61" s="31" t="s">
        <v>408</v>
      </c>
      <c r="Q61" s="31">
        <v>47.39</v>
      </c>
      <c r="R61" s="50">
        <v>42735</v>
      </c>
      <c r="S61" s="31" t="s">
        <v>409</v>
      </c>
      <c r="T61" s="31" t="s">
        <v>680</v>
      </c>
      <c r="U61" s="31" t="s">
        <v>290</v>
      </c>
      <c r="V61" s="31" t="s">
        <v>411</v>
      </c>
      <c r="W61" s="31">
        <v>626742.78</v>
      </c>
      <c r="X61" s="31" t="s">
        <v>412</v>
      </c>
      <c r="Y61" s="31">
        <v>82892316000108</v>
      </c>
      <c r="AA61" s="31" t="s">
        <v>681</v>
      </c>
      <c r="AB61" s="31" t="s">
        <v>682</v>
      </c>
      <c r="AC61" s="31" t="s">
        <v>683</v>
      </c>
      <c r="AD61" s="31" t="s">
        <v>684</v>
      </c>
      <c r="AE61" s="31" t="s">
        <v>685</v>
      </c>
      <c r="AF61" s="31" t="s">
        <v>686</v>
      </c>
      <c r="AG61" s="31">
        <v>88130000</v>
      </c>
      <c r="AH61" s="31" t="s">
        <v>687</v>
      </c>
      <c r="AI61" s="31" t="s">
        <v>688</v>
      </c>
      <c r="AJ61" s="31">
        <v>280</v>
      </c>
      <c r="AK61" s="31" t="s">
        <v>689</v>
      </c>
      <c r="AM61" s="31" t="s">
        <v>207</v>
      </c>
      <c r="AN61" s="31" t="s">
        <v>427</v>
      </c>
      <c r="AO61" s="31" t="s">
        <v>697</v>
      </c>
      <c r="AP61" s="31" t="s">
        <v>698</v>
      </c>
      <c r="AQ61" s="31" t="s">
        <v>215</v>
      </c>
      <c r="AR61" s="55">
        <v>41671</v>
      </c>
      <c r="AS61" s="31">
        <v>765</v>
      </c>
      <c r="AT61" s="55">
        <v>42523</v>
      </c>
      <c r="AU61" s="31">
        <v>608411.02</v>
      </c>
      <c r="AV61" s="31">
        <v>626742.78</v>
      </c>
      <c r="AW61" s="55">
        <v>42589</v>
      </c>
      <c r="AX61" s="31" t="s">
        <v>457</v>
      </c>
      <c r="AZ61" s="31">
        <v>313371.39</v>
      </c>
      <c r="BA61" s="54">
        <v>50.000000059999998</v>
      </c>
      <c r="BB61" s="31">
        <v>1</v>
      </c>
      <c r="BC61" s="31">
        <v>2383</v>
      </c>
      <c r="BD61" s="31">
        <v>282677</v>
      </c>
      <c r="BE61" s="31" t="s">
        <v>422</v>
      </c>
      <c r="BF61" s="31">
        <v>0</v>
      </c>
      <c r="BG61" s="31">
        <v>3168.4</v>
      </c>
      <c r="BH61" s="31">
        <v>0</v>
      </c>
      <c r="BI61" s="31">
        <v>0</v>
      </c>
      <c r="BJ61" s="31">
        <v>3168.4</v>
      </c>
    </row>
    <row r="62" spans="1:62">
      <c r="A62" s="24" t="s">
        <v>78</v>
      </c>
      <c r="B62" s="31">
        <v>25133</v>
      </c>
      <c r="C62" s="31" t="s">
        <v>216</v>
      </c>
      <c r="D62" s="31" t="s">
        <v>58</v>
      </c>
      <c r="E62" s="31" t="s">
        <v>58</v>
      </c>
      <c r="F62" s="24" t="str">
        <f>IF(Tabela1[[#This Row],[Data Prevista de Conclusão da Obra]]&lt;$C$1,"Atrasada","-")</f>
        <v>Atrasada</v>
      </c>
      <c r="G62" s="53" t="s">
        <v>67</v>
      </c>
      <c r="H62" s="24">
        <f>IF(Tabela1[[#This Row],[Levant OS - Jun/17]]=Tabela1[[#This Row],[Situação2]],0,1)</f>
        <v>1</v>
      </c>
      <c r="I62" s="31" t="s">
        <v>207</v>
      </c>
      <c r="J62" s="31" t="s">
        <v>86</v>
      </c>
      <c r="K62" s="31">
        <v>88136520</v>
      </c>
      <c r="L62" s="31" t="s">
        <v>699</v>
      </c>
      <c r="M62" s="31" t="s">
        <v>700</v>
      </c>
      <c r="N62" s="31" t="s">
        <v>214</v>
      </c>
      <c r="O62" s="31" t="s">
        <v>696</v>
      </c>
      <c r="P62" s="31" t="s">
        <v>408</v>
      </c>
      <c r="Q62" s="31">
        <v>48.14</v>
      </c>
      <c r="R62" s="50">
        <v>42735</v>
      </c>
      <c r="S62" s="31" t="s">
        <v>409</v>
      </c>
      <c r="T62" s="31" t="s">
        <v>680</v>
      </c>
      <c r="U62" s="31" t="s">
        <v>290</v>
      </c>
      <c r="V62" s="31" t="s">
        <v>411</v>
      </c>
      <c r="W62" s="31">
        <v>626742.78</v>
      </c>
      <c r="X62" s="31" t="s">
        <v>412</v>
      </c>
      <c r="Y62" s="31">
        <v>82892316000108</v>
      </c>
      <c r="AA62" s="31" t="s">
        <v>681</v>
      </c>
      <c r="AB62" s="31" t="s">
        <v>682</v>
      </c>
      <c r="AC62" s="31" t="s">
        <v>683</v>
      </c>
      <c r="AD62" s="31" t="s">
        <v>684</v>
      </c>
      <c r="AE62" s="31" t="s">
        <v>685</v>
      </c>
      <c r="AF62" s="31" t="s">
        <v>686</v>
      </c>
      <c r="AG62" s="31">
        <v>88130000</v>
      </c>
      <c r="AH62" s="31" t="s">
        <v>687</v>
      </c>
      <c r="AI62" s="31" t="s">
        <v>688</v>
      </c>
      <c r="AJ62" s="31">
        <v>280</v>
      </c>
      <c r="AK62" s="31" t="s">
        <v>689</v>
      </c>
      <c r="AM62" s="31" t="s">
        <v>207</v>
      </c>
      <c r="AN62" s="31" t="s">
        <v>427</v>
      </c>
      <c r="AO62" s="31" t="s">
        <v>697</v>
      </c>
      <c r="AP62" s="31" t="s">
        <v>698</v>
      </c>
      <c r="AQ62" s="31" t="s">
        <v>215</v>
      </c>
      <c r="AR62" s="55">
        <v>41671</v>
      </c>
      <c r="AS62" s="31">
        <v>765</v>
      </c>
      <c r="AT62" s="55">
        <v>42523</v>
      </c>
      <c r="AU62" s="31">
        <v>608411.02</v>
      </c>
      <c r="AV62" s="31">
        <v>626742.78</v>
      </c>
      <c r="AW62" s="55">
        <v>42589</v>
      </c>
      <c r="AX62" s="31" t="s">
        <v>457</v>
      </c>
      <c r="AZ62" s="31">
        <v>313371.39</v>
      </c>
      <c r="BA62" s="54">
        <v>50.000000059999998</v>
      </c>
      <c r="BB62" s="31">
        <v>1</v>
      </c>
      <c r="BC62" s="31">
        <v>2383</v>
      </c>
      <c r="BD62" s="31">
        <v>282677</v>
      </c>
      <c r="BE62" s="31" t="s">
        <v>422</v>
      </c>
      <c r="BF62" s="31">
        <v>0</v>
      </c>
      <c r="BG62" s="31">
        <v>3168.4</v>
      </c>
      <c r="BH62" s="31">
        <v>0</v>
      </c>
      <c r="BI62" s="31">
        <v>0</v>
      </c>
      <c r="BJ62" s="31">
        <v>3168.4</v>
      </c>
    </row>
    <row r="63" spans="1:62">
      <c r="A63" s="24" t="s">
        <v>78</v>
      </c>
      <c r="B63" s="31">
        <v>25134</v>
      </c>
      <c r="C63" s="31" t="s">
        <v>217</v>
      </c>
      <c r="D63" s="31" t="s">
        <v>58</v>
      </c>
      <c r="E63" s="31" t="s">
        <v>58</v>
      </c>
      <c r="F63" s="24" t="str">
        <f>IF(Tabela1[[#This Row],[Data Prevista de Conclusão da Obra]]&lt;$C$1,"Atrasada","-")</f>
        <v>Atrasada</v>
      </c>
      <c r="G63" s="53" t="s">
        <v>67</v>
      </c>
      <c r="H63" s="24">
        <f>IF(Tabela1[[#This Row],[Levant OS - Jun/17]]=Tabela1[[#This Row],[Situação2]],0,1)</f>
        <v>1</v>
      </c>
      <c r="I63" s="31" t="s">
        <v>207</v>
      </c>
      <c r="J63" s="31" t="s">
        <v>86</v>
      </c>
      <c r="K63" s="31">
        <v>88134030</v>
      </c>
      <c r="L63" s="31" t="s">
        <v>701</v>
      </c>
      <c r="M63" s="31" t="s">
        <v>702</v>
      </c>
      <c r="N63" s="31" t="s">
        <v>214</v>
      </c>
      <c r="O63" s="31" t="s">
        <v>696</v>
      </c>
      <c r="P63" s="31" t="s">
        <v>408</v>
      </c>
      <c r="Q63" s="31">
        <v>66.959999999999994</v>
      </c>
      <c r="R63" s="50">
        <v>42735</v>
      </c>
      <c r="S63" s="31" t="s">
        <v>409</v>
      </c>
      <c r="T63" s="31" t="s">
        <v>680</v>
      </c>
      <c r="U63" s="31" t="s">
        <v>290</v>
      </c>
      <c r="V63" s="31" t="s">
        <v>411</v>
      </c>
      <c r="W63" s="31">
        <v>626742.78</v>
      </c>
      <c r="X63" s="31" t="s">
        <v>412</v>
      </c>
      <c r="Y63" s="31">
        <v>82892316000108</v>
      </c>
      <c r="AA63" s="31" t="s">
        <v>681</v>
      </c>
      <c r="AB63" s="31" t="s">
        <v>682</v>
      </c>
      <c r="AC63" s="31" t="s">
        <v>683</v>
      </c>
      <c r="AD63" s="31" t="s">
        <v>684</v>
      </c>
      <c r="AE63" s="31" t="s">
        <v>685</v>
      </c>
      <c r="AF63" s="31" t="s">
        <v>686</v>
      </c>
      <c r="AG63" s="31">
        <v>88130000</v>
      </c>
      <c r="AH63" s="31" t="s">
        <v>687</v>
      </c>
      <c r="AI63" s="31" t="s">
        <v>688</v>
      </c>
      <c r="AJ63" s="31">
        <v>280</v>
      </c>
      <c r="AK63" s="31" t="s">
        <v>689</v>
      </c>
      <c r="AM63" s="31" t="s">
        <v>207</v>
      </c>
      <c r="AN63" s="31" t="s">
        <v>427</v>
      </c>
      <c r="AO63" s="31" t="s">
        <v>697</v>
      </c>
      <c r="AP63" s="31" t="s">
        <v>698</v>
      </c>
      <c r="AQ63" s="31" t="s">
        <v>215</v>
      </c>
      <c r="AR63" s="55">
        <v>41671</v>
      </c>
      <c r="AS63" s="31">
        <v>765</v>
      </c>
      <c r="AT63" s="55">
        <v>42523</v>
      </c>
      <c r="AU63" s="31">
        <v>608411.02</v>
      </c>
      <c r="AV63" s="31">
        <v>626742.78</v>
      </c>
      <c r="AW63" s="55">
        <v>42589</v>
      </c>
      <c r="AX63" s="31" t="s">
        <v>457</v>
      </c>
      <c r="AZ63" s="31">
        <v>313371.39</v>
      </c>
      <c r="BA63" s="54">
        <v>50.000000059999998</v>
      </c>
      <c r="BB63" s="31">
        <v>1</v>
      </c>
      <c r="BC63" s="31">
        <v>2383</v>
      </c>
      <c r="BD63" s="31">
        <v>282677</v>
      </c>
      <c r="BE63" s="31" t="s">
        <v>422</v>
      </c>
      <c r="BF63" s="31">
        <v>0</v>
      </c>
      <c r="BG63" s="31">
        <v>3168.4</v>
      </c>
      <c r="BH63" s="31">
        <v>0</v>
      </c>
      <c r="BI63" s="31">
        <v>0</v>
      </c>
      <c r="BJ63" s="31">
        <v>3168.4</v>
      </c>
    </row>
    <row r="64" spans="1:62">
      <c r="A64" s="24" t="s">
        <v>78</v>
      </c>
      <c r="B64" s="31">
        <v>25135</v>
      </c>
      <c r="C64" s="31" t="s">
        <v>218</v>
      </c>
      <c r="D64" s="31" t="s">
        <v>137</v>
      </c>
      <c r="E64" s="31" t="s">
        <v>64</v>
      </c>
      <c r="F64" s="24" t="str">
        <f>IF(Tabela1[[#This Row],[Data Prevista de Conclusão da Obra]]&lt;$C$1,"Atrasada","-")</f>
        <v>-</v>
      </c>
      <c r="G64" s="53" t="s">
        <v>64</v>
      </c>
      <c r="H64" s="24">
        <f>IF(Tabela1[[#This Row],[Levant OS - Jun/17]]=Tabela1[[#This Row],[Situação2]],0,1)</f>
        <v>0</v>
      </c>
      <c r="I64" s="31" t="s">
        <v>207</v>
      </c>
      <c r="J64" s="31" t="s">
        <v>86</v>
      </c>
      <c r="K64" s="31">
        <v>88132400</v>
      </c>
      <c r="L64" s="31" t="s">
        <v>703</v>
      </c>
      <c r="M64" s="31" t="s">
        <v>704</v>
      </c>
      <c r="N64" s="31" t="s">
        <v>214</v>
      </c>
      <c r="O64" s="31" t="s">
        <v>696</v>
      </c>
      <c r="P64" s="31" t="s">
        <v>408</v>
      </c>
      <c r="Q64" s="31">
        <v>0</v>
      </c>
      <c r="R64" s="24" t="s">
        <v>59</v>
      </c>
      <c r="S64" s="31" t="s">
        <v>409</v>
      </c>
      <c r="T64" s="31" t="s">
        <v>546</v>
      </c>
      <c r="U64" s="31" t="s">
        <v>290</v>
      </c>
      <c r="V64" s="31" t="s">
        <v>411</v>
      </c>
      <c r="W64" s="31">
        <v>1722573.34</v>
      </c>
      <c r="X64" s="31" t="s">
        <v>412</v>
      </c>
      <c r="Y64" s="31">
        <v>82892316000108</v>
      </c>
      <c r="AA64" s="31" t="s">
        <v>681</v>
      </c>
      <c r="AB64" s="31" t="s">
        <v>682</v>
      </c>
      <c r="AC64" s="31" t="s">
        <v>683</v>
      </c>
      <c r="AD64" s="31" t="s">
        <v>684</v>
      </c>
      <c r="AE64" s="31" t="s">
        <v>685</v>
      </c>
      <c r="AF64" s="31" t="s">
        <v>686</v>
      </c>
      <c r="AG64" s="31">
        <v>88130000</v>
      </c>
      <c r="AH64" s="31" t="s">
        <v>687</v>
      </c>
      <c r="AI64" s="31" t="s">
        <v>688</v>
      </c>
      <c r="AJ64" s="31">
        <v>280</v>
      </c>
      <c r="AK64" s="31" t="s">
        <v>689</v>
      </c>
      <c r="AM64" s="31" t="s">
        <v>207</v>
      </c>
      <c r="AV64" s="31">
        <v>1722573.34</v>
      </c>
      <c r="AZ64" s="31">
        <v>286645.45</v>
      </c>
      <c r="BA64" s="54">
        <v>15.181813999999999</v>
      </c>
      <c r="BB64" s="31">
        <v>1</v>
      </c>
      <c r="BC64" s="31">
        <v>2383</v>
      </c>
      <c r="BD64" s="31">
        <v>282677</v>
      </c>
      <c r="BE64" s="31" t="s">
        <v>422</v>
      </c>
      <c r="BF64" s="31">
        <v>0</v>
      </c>
      <c r="BG64" s="31">
        <v>3168.4</v>
      </c>
      <c r="BH64" s="31">
        <v>0</v>
      </c>
      <c r="BI64" s="31">
        <v>0</v>
      </c>
      <c r="BJ64" s="31">
        <v>3168.4</v>
      </c>
    </row>
    <row r="65" spans="1:62">
      <c r="A65" s="24" t="s">
        <v>78</v>
      </c>
      <c r="B65" s="31">
        <v>1006536</v>
      </c>
      <c r="C65" s="31" t="s">
        <v>219</v>
      </c>
      <c r="D65" s="31" t="s">
        <v>137</v>
      </c>
      <c r="E65" s="31" t="s">
        <v>64</v>
      </c>
      <c r="F65" s="24" t="str">
        <f>IF(Tabela1[[#This Row],[Data Prevista de Conclusão da Obra]]&lt;$C$1,"Atrasada","-")</f>
        <v>-</v>
      </c>
      <c r="G65" s="53" t="s">
        <v>64</v>
      </c>
      <c r="H65" s="24">
        <f>IF(Tabela1[[#This Row],[Levant OS - Jun/17]]=Tabela1[[#This Row],[Situação2]],0,1)</f>
        <v>0</v>
      </c>
      <c r="I65" s="31" t="s">
        <v>207</v>
      </c>
      <c r="J65" s="31" t="s">
        <v>86</v>
      </c>
      <c r="K65" s="31">
        <v>88138720</v>
      </c>
      <c r="L65" s="31" t="s">
        <v>705</v>
      </c>
      <c r="M65" s="31" t="s">
        <v>706</v>
      </c>
      <c r="N65" s="31" t="s">
        <v>220</v>
      </c>
      <c r="O65" s="31" t="s">
        <v>696</v>
      </c>
      <c r="P65" s="31" t="s">
        <v>408</v>
      </c>
      <c r="Q65" s="31">
        <v>0</v>
      </c>
      <c r="R65" s="24" t="s">
        <v>59</v>
      </c>
      <c r="S65" s="31" t="s">
        <v>409</v>
      </c>
      <c r="T65" s="31" t="s">
        <v>583</v>
      </c>
      <c r="U65" s="31" t="s">
        <v>290</v>
      </c>
      <c r="V65" s="31" t="s">
        <v>411</v>
      </c>
      <c r="W65" s="31">
        <v>806808.38</v>
      </c>
      <c r="X65" s="31" t="s">
        <v>412</v>
      </c>
      <c r="Y65" s="31">
        <v>82892316000108</v>
      </c>
      <c r="AA65" s="31" t="s">
        <v>681</v>
      </c>
      <c r="AB65" s="31" t="s">
        <v>682</v>
      </c>
      <c r="AC65" s="31" t="s">
        <v>683</v>
      </c>
      <c r="AD65" s="31" t="s">
        <v>684</v>
      </c>
      <c r="AE65" s="31" t="s">
        <v>685</v>
      </c>
      <c r="AF65" s="31" t="s">
        <v>686</v>
      </c>
      <c r="AG65" s="31">
        <v>88130000</v>
      </c>
      <c r="AH65" s="31" t="s">
        <v>687</v>
      </c>
      <c r="AI65" s="31" t="s">
        <v>688</v>
      </c>
      <c r="AJ65" s="31">
        <v>280</v>
      </c>
      <c r="AK65" s="31" t="s">
        <v>689</v>
      </c>
      <c r="AM65" s="31" t="s">
        <v>207</v>
      </c>
      <c r="AV65" s="31">
        <v>806808.38</v>
      </c>
      <c r="AZ65" s="31">
        <v>201702.1</v>
      </c>
      <c r="BA65" s="54">
        <v>16.14735344</v>
      </c>
      <c r="BB65" s="31">
        <v>1</v>
      </c>
      <c r="BC65" s="31">
        <v>2383</v>
      </c>
      <c r="BD65" s="31">
        <v>300969</v>
      </c>
      <c r="BE65" s="31" t="s">
        <v>422</v>
      </c>
      <c r="BF65" s="31">
        <v>0</v>
      </c>
      <c r="BG65" s="31">
        <v>7422.91</v>
      </c>
      <c r="BH65" s="31">
        <v>0</v>
      </c>
      <c r="BI65" s="31">
        <v>0</v>
      </c>
      <c r="BJ65" s="31">
        <v>7422.91</v>
      </c>
    </row>
    <row r="66" spans="1:62">
      <c r="A66" s="24" t="s">
        <v>78</v>
      </c>
      <c r="B66" s="31">
        <v>19337</v>
      </c>
      <c r="C66" s="31" t="s">
        <v>222</v>
      </c>
      <c r="D66" s="31" t="s">
        <v>88</v>
      </c>
      <c r="E66" s="31" t="s">
        <v>67</v>
      </c>
      <c r="F66" s="24" t="str">
        <f>IF(Tabela1[[#This Row],[Data Prevista de Conclusão da Obra]]&lt;$C$1,"Atrasada","-")</f>
        <v>-</v>
      </c>
      <c r="G66" s="53" t="s">
        <v>58</v>
      </c>
      <c r="H66" s="24">
        <f>IF(Tabela1[[#This Row],[Levant OS - Jun/17]]=Tabela1[[#This Row],[Situação2]],0,1)</f>
        <v>1</v>
      </c>
      <c r="I66" s="31" t="s">
        <v>221</v>
      </c>
      <c r="J66" s="31" t="s">
        <v>55</v>
      </c>
      <c r="K66" s="31">
        <v>83203030</v>
      </c>
      <c r="L66" s="31" t="s">
        <v>707</v>
      </c>
      <c r="M66" s="31" t="s">
        <v>239</v>
      </c>
      <c r="N66" s="31" t="s">
        <v>224</v>
      </c>
      <c r="O66" s="31" t="s">
        <v>708</v>
      </c>
      <c r="P66" s="31" t="s">
        <v>446</v>
      </c>
      <c r="Q66" s="31">
        <v>80.94</v>
      </c>
      <c r="R66" s="24" t="s">
        <v>59</v>
      </c>
      <c r="S66" s="31" t="s">
        <v>409</v>
      </c>
      <c r="T66" s="31" t="s">
        <v>447</v>
      </c>
      <c r="U66" s="31" t="s">
        <v>290</v>
      </c>
      <c r="V66" s="31" t="s">
        <v>411</v>
      </c>
      <c r="W66" s="31">
        <v>1281668.52</v>
      </c>
      <c r="X66" s="31" t="s">
        <v>412</v>
      </c>
      <c r="Y66" s="31">
        <v>76017458000115</v>
      </c>
      <c r="Z66" s="31">
        <v>280980</v>
      </c>
      <c r="AA66" s="31" t="s">
        <v>709</v>
      </c>
      <c r="AB66" s="31" t="s">
        <v>710</v>
      </c>
      <c r="AC66" s="31" t="s">
        <v>711</v>
      </c>
      <c r="AD66" s="31" t="s">
        <v>712</v>
      </c>
      <c r="AE66" s="31" t="s">
        <v>713</v>
      </c>
      <c r="AF66" s="31" t="s">
        <v>714</v>
      </c>
      <c r="AG66" s="31">
        <v>83203060</v>
      </c>
      <c r="AH66" s="31" t="s">
        <v>715</v>
      </c>
      <c r="AJ66" s="31">
        <v>322</v>
      </c>
      <c r="AK66" s="31" t="s">
        <v>421</v>
      </c>
      <c r="AM66" s="31" t="s">
        <v>221</v>
      </c>
      <c r="AV66" s="31">
        <v>1281668.52</v>
      </c>
      <c r="AZ66" s="31">
        <v>961251.39</v>
      </c>
      <c r="BA66" s="31">
        <v>74.999999740000007</v>
      </c>
      <c r="BB66" s="31">
        <v>1</v>
      </c>
      <c r="BC66" s="31">
        <v>259</v>
      </c>
      <c r="BD66" s="31">
        <v>650870</v>
      </c>
      <c r="BE66" s="31" t="s">
        <v>422</v>
      </c>
      <c r="BF66" s="31">
        <v>0</v>
      </c>
      <c r="BG66" s="31">
        <v>42243.78</v>
      </c>
      <c r="BH66" s="31">
        <v>0</v>
      </c>
      <c r="BI66" s="31">
        <v>0</v>
      </c>
      <c r="BJ66" s="31">
        <v>42243.78</v>
      </c>
    </row>
    <row r="67" spans="1:62">
      <c r="A67" s="24" t="s">
        <v>78</v>
      </c>
      <c r="B67" s="31">
        <v>25356</v>
      </c>
      <c r="C67" s="31" t="s">
        <v>227</v>
      </c>
      <c r="D67" s="31" t="s">
        <v>137</v>
      </c>
      <c r="E67" s="31" t="s">
        <v>64</v>
      </c>
      <c r="F67" s="24" t="str">
        <f>IF(Tabela1[[#This Row],[Data Prevista de Conclusão da Obra]]&lt;$C$1,"Atrasada","-")</f>
        <v>-</v>
      </c>
      <c r="G67" s="53" t="s">
        <v>64</v>
      </c>
      <c r="H67" s="24">
        <f>IF(Tabela1[[#This Row],[Levant OS - Jun/17]]=Tabela1[[#This Row],[Situação2]],0,1)</f>
        <v>0</v>
      </c>
      <c r="I67" s="31" t="s">
        <v>221</v>
      </c>
      <c r="J67" s="31" t="s">
        <v>55</v>
      </c>
      <c r="K67" s="31">
        <v>83212552</v>
      </c>
      <c r="L67" s="31" t="s">
        <v>716</v>
      </c>
      <c r="M67" s="31" t="s">
        <v>717</v>
      </c>
      <c r="N67" s="31" t="s">
        <v>229</v>
      </c>
      <c r="O67" s="31" t="s">
        <v>718</v>
      </c>
      <c r="P67" s="31" t="s">
        <v>408</v>
      </c>
      <c r="Q67" s="31">
        <v>0</v>
      </c>
      <c r="R67" s="24" t="s">
        <v>59</v>
      </c>
      <c r="S67" s="31" t="s">
        <v>409</v>
      </c>
      <c r="T67" s="31" t="s">
        <v>546</v>
      </c>
      <c r="U67" s="31" t="s">
        <v>290</v>
      </c>
      <c r="V67" s="31" t="s">
        <v>411</v>
      </c>
      <c r="W67" s="31">
        <v>1476438.54</v>
      </c>
      <c r="X67" s="31" t="s">
        <v>412</v>
      </c>
      <c r="Y67" s="31">
        <v>76017458000115</v>
      </c>
      <c r="Z67" s="31">
        <v>280980</v>
      </c>
      <c r="AA67" s="31" t="s">
        <v>709</v>
      </c>
      <c r="AB67" s="31" t="s">
        <v>710</v>
      </c>
      <c r="AC67" s="31" t="s">
        <v>711</v>
      </c>
      <c r="AD67" s="31" t="s">
        <v>712</v>
      </c>
      <c r="AE67" s="31" t="s">
        <v>713</v>
      </c>
      <c r="AF67" s="31" t="s">
        <v>714</v>
      </c>
      <c r="AG67" s="31">
        <v>83203060</v>
      </c>
      <c r="AH67" s="31" t="s">
        <v>715</v>
      </c>
      <c r="AJ67" s="31">
        <v>322</v>
      </c>
      <c r="AK67" s="31" t="s">
        <v>421</v>
      </c>
      <c r="AM67" s="31" t="s">
        <v>221</v>
      </c>
      <c r="AU67" s="31">
        <v>0</v>
      </c>
      <c r="AV67" s="31">
        <v>1476438.54</v>
      </c>
      <c r="AZ67" s="31">
        <v>289956.44</v>
      </c>
      <c r="BA67" s="31">
        <v>15.04182482</v>
      </c>
      <c r="BB67" s="31">
        <v>1</v>
      </c>
      <c r="BC67" s="31">
        <v>259</v>
      </c>
      <c r="BD67" s="31" t="s">
        <v>719</v>
      </c>
      <c r="BE67" s="31" t="s">
        <v>422</v>
      </c>
      <c r="BF67" s="31">
        <v>0</v>
      </c>
      <c r="BG67" s="31">
        <v>2007036.04</v>
      </c>
      <c r="BH67" s="31">
        <v>0</v>
      </c>
      <c r="BI67" s="31">
        <v>0</v>
      </c>
      <c r="BJ67" s="31">
        <v>2007036.04</v>
      </c>
    </row>
    <row r="68" spans="1:62">
      <c r="A68" s="24" t="s">
        <v>78</v>
      </c>
      <c r="B68" s="31">
        <v>25357</v>
      </c>
      <c r="C68" s="31" t="s">
        <v>230</v>
      </c>
      <c r="D68" s="31" t="s">
        <v>137</v>
      </c>
      <c r="E68" s="31" t="s">
        <v>64</v>
      </c>
      <c r="F68" s="24" t="str">
        <f>IF(Tabela1[[#This Row],[Data Prevista de Conclusão da Obra]]&lt;$C$1,"Atrasada","-")</f>
        <v>-</v>
      </c>
      <c r="G68" s="53" t="s">
        <v>64</v>
      </c>
      <c r="H68" s="24">
        <f>IF(Tabela1[[#This Row],[Levant OS - Jun/17]]=Tabela1[[#This Row],[Situação2]],0,1)</f>
        <v>0</v>
      </c>
      <c r="I68" s="31" t="s">
        <v>221</v>
      </c>
      <c r="J68" s="31" t="s">
        <v>55</v>
      </c>
      <c r="K68" s="31">
        <v>83200000</v>
      </c>
      <c r="L68" s="31" t="s">
        <v>720</v>
      </c>
      <c r="M68" s="31" t="s">
        <v>230</v>
      </c>
      <c r="N68" s="31" t="s">
        <v>229</v>
      </c>
      <c r="O68" s="31" t="s">
        <v>718</v>
      </c>
      <c r="P68" s="31" t="s">
        <v>408</v>
      </c>
      <c r="Q68" s="31">
        <v>0</v>
      </c>
      <c r="R68" s="24" t="s">
        <v>59</v>
      </c>
      <c r="S68" s="31" t="s">
        <v>409</v>
      </c>
      <c r="T68" s="31" t="s">
        <v>546</v>
      </c>
      <c r="U68" s="31" t="s">
        <v>290</v>
      </c>
      <c r="V68" s="31" t="s">
        <v>411</v>
      </c>
      <c r="W68" s="31">
        <v>1482198.54</v>
      </c>
      <c r="X68" s="31" t="s">
        <v>412</v>
      </c>
      <c r="Y68" s="31">
        <v>76017458000115</v>
      </c>
      <c r="Z68" s="31">
        <v>280980</v>
      </c>
      <c r="AA68" s="31" t="s">
        <v>709</v>
      </c>
      <c r="AB68" s="31" t="s">
        <v>710</v>
      </c>
      <c r="AC68" s="31" t="s">
        <v>711</v>
      </c>
      <c r="AD68" s="31" t="s">
        <v>712</v>
      </c>
      <c r="AE68" s="31" t="s">
        <v>713</v>
      </c>
      <c r="AF68" s="31" t="s">
        <v>714</v>
      </c>
      <c r="AG68" s="31">
        <v>83203060</v>
      </c>
      <c r="AH68" s="31" t="s">
        <v>715</v>
      </c>
      <c r="AJ68" s="31">
        <v>322</v>
      </c>
      <c r="AK68" s="31" t="s">
        <v>421</v>
      </c>
      <c r="AM68" s="31" t="s">
        <v>221</v>
      </c>
      <c r="AU68" s="31">
        <v>0</v>
      </c>
      <c r="AV68" s="31">
        <v>1482198.54</v>
      </c>
      <c r="AZ68" s="31">
        <v>289978.53999999998</v>
      </c>
      <c r="BA68" s="31">
        <v>19.564082150000001</v>
      </c>
      <c r="BB68" s="31">
        <v>1</v>
      </c>
      <c r="BC68" s="31">
        <v>259</v>
      </c>
      <c r="BD68" s="31" t="s">
        <v>719</v>
      </c>
      <c r="BE68" s="31" t="s">
        <v>422</v>
      </c>
      <c r="BF68" s="31">
        <v>0</v>
      </c>
      <c r="BG68" s="31">
        <v>2007036.04</v>
      </c>
      <c r="BH68" s="31">
        <v>0</v>
      </c>
      <c r="BI68" s="31">
        <v>0</v>
      </c>
      <c r="BJ68" s="31">
        <v>2007036.04</v>
      </c>
    </row>
    <row r="69" spans="1:62">
      <c r="A69" s="24" t="s">
        <v>78</v>
      </c>
      <c r="B69" s="31">
        <v>25358</v>
      </c>
      <c r="C69" s="31" t="s">
        <v>232</v>
      </c>
      <c r="D69" s="31" t="s">
        <v>137</v>
      </c>
      <c r="E69" s="31" t="s">
        <v>64</v>
      </c>
      <c r="F69" s="24" t="str">
        <f>IF(Tabela1[[#This Row],[Data Prevista de Conclusão da Obra]]&lt;$C$1,"Atrasada","-")</f>
        <v>-</v>
      </c>
      <c r="G69" s="53" t="s">
        <v>64</v>
      </c>
      <c r="H69" s="24">
        <f>IF(Tabela1[[#This Row],[Levant OS - Jun/17]]=Tabela1[[#This Row],[Situação2]],0,1)</f>
        <v>0</v>
      </c>
      <c r="I69" s="31" t="s">
        <v>221</v>
      </c>
      <c r="J69" s="31" t="s">
        <v>55</v>
      </c>
      <c r="K69" s="31">
        <v>83218240</v>
      </c>
      <c r="L69" s="31" t="s">
        <v>721</v>
      </c>
      <c r="M69" s="31" t="s">
        <v>232</v>
      </c>
      <c r="N69" s="31" t="s">
        <v>229</v>
      </c>
      <c r="O69" s="31" t="s">
        <v>718</v>
      </c>
      <c r="P69" s="31" t="s">
        <v>408</v>
      </c>
      <c r="Q69" s="31">
        <v>0</v>
      </c>
      <c r="R69" s="24" t="s">
        <v>59</v>
      </c>
      <c r="S69" s="31" t="s">
        <v>409</v>
      </c>
      <c r="T69" s="31" t="s">
        <v>546</v>
      </c>
      <c r="U69" s="31" t="s">
        <v>290</v>
      </c>
      <c r="V69" s="31" t="s">
        <v>411</v>
      </c>
      <c r="W69" s="31">
        <v>1505586.54</v>
      </c>
      <c r="X69" s="31" t="s">
        <v>412</v>
      </c>
      <c r="Y69" s="31">
        <v>76017458000115</v>
      </c>
      <c r="Z69" s="31">
        <v>280980</v>
      </c>
      <c r="AA69" s="31" t="s">
        <v>709</v>
      </c>
      <c r="AB69" s="31" t="s">
        <v>710</v>
      </c>
      <c r="AC69" s="31" t="s">
        <v>711</v>
      </c>
      <c r="AD69" s="31" t="s">
        <v>712</v>
      </c>
      <c r="AE69" s="31" t="s">
        <v>713</v>
      </c>
      <c r="AF69" s="31" t="s">
        <v>714</v>
      </c>
      <c r="AG69" s="31">
        <v>83203060</v>
      </c>
      <c r="AH69" s="31" t="s">
        <v>715</v>
      </c>
      <c r="AJ69" s="31">
        <v>322</v>
      </c>
      <c r="AK69" s="31" t="s">
        <v>421</v>
      </c>
      <c r="AM69" s="31" t="s">
        <v>221</v>
      </c>
      <c r="AU69" s="31">
        <v>0</v>
      </c>
      <c r="AV69" s="31">
        <v>1505586.54</v>
      </c>
      <c r="AZ69" s="31">
        <v>289740.40000000002</v>
      </c>
      <c r="BA69" s="31">
        <v>19.24435377</v>
      </c>
      <c r="BB69" s="31">
        <v>1</v>
      </c>
      <c r="BC69" s="31">
        <v>259</v>
      </c>
      <c r="BD69" s="31" t="s">
        <v>719</v>
      </c>
      <c r="BE69" s="31" t="s">
        <v>422</v>
      </c>
      <c r="BF69" s="31">
        <v>0</v>
      </c>
      <c r="BG69" s="31">
        <v>2007036.04</v>
      </c>
      <c r="BH69" s="31">
        <v>0</v>
      </c>
      <c r="BI69" s="31">
        <v>0</v>
      </c>
      <c r="BJ69" s="31">
        <v>2007036.04</v>
      </c>
    </row>
    <row r="70" spans="1:62">
      <c r="A70" s="24" t="s">
        <v>78</v>
      </c>
      <c r="B70" s="31">
        <v>25359</v>
      </c>
      <c r="C70" s="31" t="s">
        <v>233</v>
      </c>
      <c r="D70" s="31" t="s">
        <v>137</v>
      </c>
      <c r="E70" s="31" t="s">
        <v>64</v>
      </c>
      <c r="F70" s="24" t="str">
        <f>IF(Tabela1[[#This Row],[Data Prevista de Conclusão da Obra]]&lt;$C$1,"Atrasada","-")</f>
        <v>-</v>
      </c>
      <c r="G70" s="53" t="s">
        <v>64</v>
      </c>
      <c r="H70" s="24">
        <f>IF(Tabela1[[#This Row],[Levant OS - Jun/17]]=Tabela1[[#This Row],[Situação2]],0,1)</f>
        <v>0</v>
      </c>
      <c r="I70" s="31" t="s">
        <v>221</v>
      </c>
      <c r="J70" s="31" t="s">
        <v>55</v>
      </c>
      <c r="K70" s="31">
        <v>83250000</v>
      </c>
      <c r="L70" s="31" t="s">
        <v>722</v>
      </c>
      <c r="M70" s="31" t="s">
        <v>233</v>
      </c>
      <c r="N70" s="31" t="s">
        <v>229</v>
      </c>
      <c r="O70" s="31" t="s">
        <v>718</v>
      </c>
      <c r="P70" s="31" t="s">
        <v>408</v>
      </c>
      <c r="Q70" s="31">
        <v>0</v>
      </c>
      <c r="R70" s="24" t="s">
        <v>59</v>
      </c>
      <c r="S70" s="31" t="s">
        <v>409</v>
      </c>
      <c r="T70" s="31" t="s">
        <v>546</v>
      </c>
      <c r="U70" s="31" t="s">
        <v>290</v>
      </c>
      <c r="V70" s="31" t="s">
        <v>411</v>
      </c>
      <c r="W70" s="31">
        <v>1482198.54</v>
      </c>
      <c r="X70" s="31" t="s">
        <v>412</v>
      </c>
      <c r="Y70" s="31">
        <v>76017458000115</v>
      </c>
      <c r="Z70" s="31">
        <v>280980</v>
      </c>
      <c r="AA70" s="31" t="s">
        <v>709</v>
      </c>
      <c r="AB70" s="31" t="s">
        <v>710</v>
      </c>
      <c r="AC70" s="31" t="s">
        <v>711</v>
      </c>
      <c r="AD70" s="31" t="s">
        <v>712</v>
      </c>
      <c r="AE70" s="31" t="s">
        <v>713</v>
      </c>
      <c r="AF70" s="31" t="s">
        <v>714</v>
      </c>
      <c r="AG70" s="31">
        <v>83203060</v>
      </c>
      <c r="AH70" s="31" t="s">
        <v>715</v>
      </c>
      <c r="AJ70" s="31">
        <v>322</v>
      </c>
      <c r="AK70" s="31" t="s">
        <v>421</v>
      </c>
      <c r="AM70" s="31" t="s">
        <v>221</v>
      </c>
      <c r="AU70" s="31">
        <v>0</v>
      </c>
      <c r="AV70" s="31">
        <v>1482198.54</v>
      </c>
      <c r="AZ70" s="31">
        <v>289984.52</v>
      </c>
      <c r="BA70" s="31">
        <v>19.564485609999998</v>
      </c>
      <c r="BB70" s="31">
        <v>1</v>
      </c>
      <c r="BC70" s="31">
        <v>259</v>
      </c>
      <c r="BD70" s="31" t="s">
        <v>719</v>
      </c>
      <c r="BE70" s="31" t="s">
        <v>422</v>
      </c>
      <c r="BF70" s="31">
        <v>0</v>
      </c>
      <c r="BG70" s="31">
        <v>2007036.04</v>
      </c>
      <c r="BH70" s="31">
        <v>0</v>
      </c>
      <c r="BI70" s="31">
        <v>0</v>
      </c>
      <c r="BJ70" s="31">
        <v>2007036.04</v>
      </c>
    </row>
    <row r="71" spans="1:62">
      <c r="A71" s="24" t="s">
        <v>78</v>
      </c>
      <c r="B71" s="31">
        <v>25360</v>
      </c>
      <c r="C71" s="31" t="s">
        <v>234</v>
      </c>
      <c r="D71" s="31" t="s">
        <v>137</v>
      </c>
      <c r="E71" s="31" t="s">
        <v>64</v>
      </c>
      <c r="F71" s="24" t="str">
        <f>IF(Tabela1[[#This Row],[Data Prevista de Conclusão da Obra]]&lt;$C$1,"Atrasada","-")</f>
        <v>-</v>
      </c>
      <c r="G71" s="53" t="s">
        <v>64</v>
      </c>
      <c r="H71" s="24">
        <f>IF(Tabela1[[#This Row],[Levant OS - Jun/17]]=Tabela1[[#This Row],[Situação2]],0,1)</f>
        <v>0</v>
      </c>
      <c r="I71" s="31" t="s">
        <v>221</v>
      </c>
      <c r="J71" s="31" t="s">
        <v>55</v>
      </c>
      <c r="K71" s="31">
        <v>83221610</v>
      </c>
      <c r="L71" s="31" t="s">
        <v>723</v>
      </c>
      <c r="M71" s="31" t="s">
        <v>234</v>
      </c>
      <c r="N71" s="31" t="s">
        <v>229</v>
      </c>
      <c r="O71" s="31" t="s">
        <v>718</v>
      </c>
      <c r="P71" s="31" t="s">
        <v>408</v>
      </c>
      <c r="Q71" s="31">
        <v>0</v>
      </c>
      <c r="R71" s="24" t="s">
        <v>59</v>
      </c>
      <c r="S71" s="31" t="s">
        <v>409</v>
      </c>
      <c r="T71" s="31" t="s">
        <v>546</v>
      </c>
      <c r="U71" s="31" t="s">
        <v>290</v>
      </c>
      <c r="V71" s="31" t="s">
        <v>411</v>
      </c>
      <c r="W71" s="31">
        <v>1476438.54</v>
      </c>
      <c r="X71" s="31" t="s">
        <v>412</v>
      </c>
      <c r="Y71" s="31">
        <v>76017458000115</v>
      </c>
      <c r="Z71" s="31">
        <v>280980</v>
      </c>
      <c r="AA71" s="31" t="s">
        <v>709</v>
      </c>
      <c r="AB71" s="31" t="s">
        <v>710</v>
      </c>
      <c r="AC71" s="31" t="s">
        <v>711</v>
      </c>
      <c r="AD71" s="31" t="s">
        <v>712</v>
      </c>
      <c r="AE71" s="31" t="s">
        <v>713</v>
      </c>
      <c r="AF71" s="31" t="s">
        <v>714</v>
      </c>
      <c r="AG71" s="31">
        <v>83203060</v>
      </c>
      <c r="AH71" s="31" t="s">
        <v>715</v>
      </c>
      <c r="AJ71" s="31">
        <v>322</v>
      </c>
      <c r="AK71" s="31" t="s">
        <v>421</v>
      </c>
      <c r="AM71" s="31" t="s">
        <v>221</v>
      </c>
      <c r="AU71" s="31">
        <v>0</v>
      </c>
      <c r="AV71" s="31">
        <v>1476438.54</v>
      </c>
      <c r="AZ71" s="31">
        <v>289980.53000000003</v>
      </c>
      <c r="BA71" s="31">
        <v>22.876619269999999</v>
      </c>
      <c r="BB71" s="31">
        <v>1</v>
      </c>
      <c r="BC71" s="31">
        <v>259</v>
      </c>
      <c r="BD71" s="31" t="s">
        <v>719</v>
      </c>
      <c r="BE71" s="31" t="s">
        <v>422</v>
      </c>
      <c r="BF71" s="31">
        <v>0</v>
      </c>
      <c r="BG71" s="31">
        <v>2007036.04</v>
      </c>
      <c r="BH71" s="31">
        <v>0</v>
      </c>
      <c r="BI71" s="31">
        <v>0</v>
      </c>
      <c r="BJ71" s="31">
        <v>2007036.04</v>
      </c>
    </row>
    <row r="72" spans="1:62">
      <c r="A72" s="24" t="s">
        <v>78</v>
      </c>
      <c r="B72" s="31">
        <v>1005814</v>
      </c>
      <c r="C72" s="31" t="s">
        <v>235</v>
      </c>
      <c r="D72" s="31" t="s">
        <v>137</v>
      </c>
      <c r="E72" s="31" t="s">
        <v>64</v>
      </c>
      <c r="F72" s="24" t="str">
        <f>IF(Tabela1[[#This Row],[Data Prevista de Conclusão da Obra]]&lt;$C$1,"Atrasada","-")</f>
        <v>-</v>
      </c>
      <c r="G72" s="53" t="s">
        <v>64</v>
      </c>
      <c r="H72" s="24">
        <f>IF(Tabela1[[#This Row],[Levant OS - Jun/17]]=Tabela1[[#This Row],[Situação2]],0,1)</f>
        <v>0</v>
      </c>
      <c r="I72" s="31" t="s">
        <v>221</v>
      </c>
      <c r="J72" s="31" t="s">
        <v>55</v>
      </c>
      <c r="K72" s="31">
        <v>83212415</v>
      </c>
      <c r="L72" s="31" t="s">
        <v>724</v>
      </c>
      <c r="M72" s="31" t="s">
        <v>725</v>
      </c>
      <c r="N72" s="31" t="s">
        <v>236</v>
      </c>
      <c r="O72" s="31" t="s">
        <v>726</v>
      </c>
      <c r="P72" s="31" t="s">
        <v>408</v>
      </c>
      <c r="Q72" s="31">
        <v>0</v>
      </c>
      <c r="R72" s="24" t="s">
        <v>59</v>
      </c>
      <c r="S72" s="31" t="s">
        <v>409</v>
      </c>
      <c r="T72" s="31" t="s">
        <v>583</v>
      </c>
      <c r="U72" s="31" t="s">
        <v>290</v>
      </c>
      <c r="V72" s="31" t="s">
        <v>411</v>
      </c>
      <c r="W72" s="31">
        <v>809772.58</v>
      </c>
      <c r="X72" s="31" t="s">
        <v>412</v>
      </c>
      <c r="Y72" s="31">
        <v>76017458000115</v>
      </c>
      <c r="Z72" s="31">
        <v>280980</v>
      </c>
      <c r="AA72" s="31" t="s">
        <v>709</v>
      </c>
      <c r="AB72" s="31" t="s">
        <v>710</v>
      </c>
      <c r="AC72" s="31" t="s">
        <v>711</v>
      </c>
      <c r="AD72" s="31" t="s">
        <v>712</v>
      </c>
      <c r="AE72" s="31" t="s">
        <v>713</v>
      </c>
      <c r="AF72" s="31" t="s">
        <v>714</v>
      </c>
      <c r="AG72" s="31">
        <v>83203060</v>
      </c>
      <c r="AH72" s="31" t="s">
        <v>715</v>
      </c>
      <c r="AJ72" s="31">
        <v>322</v>
      </c>
      <c r="AK72" s="31" t="s">
        <v>421</v>
      </c>
      <c r="AM72" s="31" t="s">
        <v>221</v>
      </c>
      <c r="AV72" s="31">
        <v>809772.58</v>
      </c>
      <c r="AZ72" s="31">
        <v>202443.14</v>
      </c>
      <c r="BA72" s="31">
        <v>24.999999379999998</v>
      </c>
      <c r="BB72" s="31">
        <v>1</v>
      </c>
      <c r="BC72" s="31">
        <v>259</v>
      </c>
      <c r="BD72" s="31">
        <v>714216</v>
      </c>
      <c r="BE72" s="31" t="s">
        <v>422</v>
      </c>
      <c r="BF72" s="31">
        <v>0</v>
      </c>
      <c r="BG72" s="31">
        <v>257080.12</v>
      </c>
      <c r="BH72" s="31">
        <v>0</v>
      </c>
      <c r="BI72" s="31">
        <v>0</v>
      </c>
      <c r="BJ72" s="31">
        <v>257080.12</v>
      </c>
    </row>
    <row r="73" spans="1:62">
      <c r="A73" s="24" t="s">
        <v>78</v>
      </c>
      <c r="B73" s="31">
        <v>1009214</v>
      </c>
      <c r="C73" s="31" t="s">
        <v>237</v>
      </c>
      <c r="D73" s="31" t="s">
        <v>137</v>
      </c>
      <c r="E73" s="31" t="s">
        <v>64</v>
      </c>
      <c r="F73" s="24" t="str">
        <f>IF(Tabela1[[#This Row],[Data Prevista de Conclusão da Obra]]&lt;$C$1,"Atrasada","-")</f>
        <v>-</v>
      </c>
      <c r="G73" s="53" t="s">
        <v>64</v>
      </c>
      <c r="H73" s="24">
        <f>IF(Tabela1[[#This Row],[Levant OS - Jun/17]]=Tabela1[[#This Row],[Situação2]],0,1)</f>
        <v>0</v>
      </c>
      <c r="I73" s="31" t="s">
        <v>221</v>
      </c>
      <c r="J73" s="31" t="s">
        <v>55</v>
      </c>
      <c r="K73" s="31">
        <v>83221400</v>
      </c>
      <c r="L73" s="31" t="s">
        <v>727</v>
      </c>
      <c r="M73" s="31" t="s">
        <v>728</v>
      </c>
      <c r="N73" s="31" t="s">
        <v>238</v>
      </c>
      <c r="O73" s="31" t="s">
        <v>726</v>
      </c>
      <c r="P73" s="31" t="s">
        <v>408</v>
      </c>
      <c r="Q73" s="31">
        <v>0</v>
      </c>
      <c r="R73" s="24" t="s">
        <v>59</v>
      </c>
      <c r="S73" s="31" t="s">
        <v>409</v>
      </c>
      <c r="T73" s="31" t="s">
        <v>583</v>
      </c>
      <c r="U73" s="31" t="s">
        <v>290</v>
      </c>
      <c r="V73" s="31" t="s">
        <v>411</v>
      </c>
      <c r="W73" s="31">
        <v>809908.38</v>
      </c>
      <c r="X73" s="31" t="s">
        <v>412</v>
      </c>
      <c r="Y73" s="31">
        <v>76017458000115</v>
      </c>
      <c r="Z73" s="31">
        <v>280980</v>
      </c>
      <c r="AA73" s="31" t="s">
        <v>709</v>
      </c>
      <c r="AB73" s="31" t="s">
        <v>710</v>
      </c>
      <c r="AC73" s="31" t="s">
        <v>711</v>
      </c>
      <c r="AD73" s="31" t="s">
        <v>712</v>
      </c>
      <c r="AE73" s="31" t="s">
        <v>713</v>
      </c>
      <c r="AF73" s="31" t="s">
        <v>714</v>
      </c>
      <c r="AG73" s="31">
        <v>83203060</v>
      </c>
      <c r="AH73" s="31" t="s">
        <v>715</v>
      </c>
      <c r="AJ73" s="31">
        <v>322</v>
      </c>
      <c r="AK73" s="31" t="s">
        <v>421</v>
      </c>
      <c r="AM73" s="31" t="s">
        <v>221</v>
      </c>
      <c r="AV73" s="31">
        <v>809908.38</v>
      </c>
      <c r="AZ73" s="31">
        <v>202155.89</v>
      </c>
      <c r="BA73" s="31">
        <v>24.96034058</v>
      </c>
      <c r="BB73" s="31">
        <v>1</v>
      </c>
      <c r="BC73" s="31">
        <v>259</v>
      </c>
      <c r="BD73" s="31">
        <v>714399</v>
      </c>
      <c r="BE73" s="31" t="s">
        <v>422</v>
      </c>
      <c r="BF73" s="31">
        <v>0</v>
      </c>
      <c r="BG73" s="31">
        <v>256715.34</v>
      </c>
      <c r="BH73" s="31">
        <v>0</v>
      </c>
      <c r="BI73" s="31">
        <v>0</v>
      </c>
      <c r="BJ73" s="31">
        <v>256715.34</v>
      </c>
    </row>
    <row r="74" spans="1:62">
      <c r="A74" s="24" t="s">
        <v>60</v>
      </c>
      <c r="B74" s="31">
        <v>18129</v>
      </c>
      <c r="C74" s="31" t="s">
        <v>241</v>
      </c>
      <c r="D74" s="31" t="s">
        <v>23</v>
      </c>
      <c r="E74" s="31" t="s">
        <v>64</v>
      </c>
      <c r="F74" s="24" t="str">
        <f>IF(Tabela1[[#This Row],[Data Prevista de Conclusão da Obra]]&lt;$C$1,"Atrasada","-")</f>
        <v>-</v>
      </c>
      <c r="G74" s="53" t="s">
        <v>58</v>
      </c>
      <c r="H74" s="24">
        <f>IF(Tabela1[[#This Row],[Levant OS - Jun/17]]=Tabela1[[#This Row],[Situação2]],0,1)</f>
        <v>1</v>
      </c>
      <c r="I74" s="31" t="s">
        <v>240</v>
      </c>
      <c r="J74" s="31" t="s">
        <v>146</v>
      </c>
      <c r="K74" s="31">
        <v>96060290</v>
      </c>
      <c r="L74" s="31" t="s">
        <v>729</v>
      </c>
      <c r="M74" s="31" t="s">
        <v>730</v>
      </c>
      <c r="N74" s="31" t="s">
        <v>242</v>
      </c>
      <c r="O74" s="31" t="s">
        <v>731</v>
      </c>
      <c r="P74" s="31" t="s">
        <v>408</v>
      </c>
      <c r="Q74" s="31">
        <v>0</v>
      </c>
      <c r="R74" s="24" t="s">
        <v>59</v>
      </c>
      <c r="S74" s="31" t="s">
        <v>409</v>
      </c>
      <c r="T74" s="31" t="s">
        <v>410</v>
      </c>
      <c r="U74" s="31" t="s">
        <v>290</v>
      </c>
      <c r="V74" s="31" t="s">
        <v>411</v>
      </c>
      <c r="W74" s="31">
        <v>1196771.3899999999</v>
      </c>
      <c r="X74" s="31" t="s">
        <v>412</v>
      </c>
      <c r="Y74" s="31">
        <v>87455531000157</v>
      </c>
      <c r="Z74" s="31">
        <v>0</v>
      </c>
      <c r="AA74" s="31" t="s">
        <v>732</v>
      </c>
      <c r="AB74" s="31" t="s">
        <v>733</v>
      </c>
      <c r="AC74" s="31" t="s">
        <v>734</v>
      </c>
      <c r="AD74" s="31" t="s">
        <v>735</v>
      </c>
      <c r="AE74" s="31" t="s">
        <v>736</v>
      </c>
      <c r="AF74" s="31" t="s">
        <v>737</v>
      </c>
      <c r="AG74" s="31">
        <v>96015000</v>
      </c>
      <c r="AH74" s="31" t="s">
        <v>738</v>
      </c>
      <c r="AJ74" s="31">
        <v>101</v>
      </c>
      <c r="AK74" s="31" t="s">
        <v>421</v>
      </c>
      <c r="AM74" s="31" t="s">
        <v>240</v>
      </c>
      <c r="AN74" s="31" t="s">
        <v>427</v>
      </c>
      <c r="AO74" s="31">
        <v>42016</v>
      </c>
      <c r="AP74" s="31" t="s">
        <v>739</v>
      </c>
      <c r="AQ74" s="31" t="s">
        <v>243</v>
      </c>
      <c r="AR74" s="31" t="s">
        <v>740</v>
      </c>
      <c r="AS74" s="31">
        <v>579</v>
      </c>
      <c r="AT74" s="31" t="s">
        <v>741</v>
      </c>
      <c r="AU74" s="31">
        <v>7600215.0899999999</v>
      </c>
      <c r="AV74" s="31">
        <v>1196771.3899999999</v>
      </c>
      <c r="AZ74" s="31">
        <v>171901.53</v>
      </c>
      <c r="BA74" s="31">
        <v>14.3637733</v>
      </c>
      <c r="BB74" s="31">
        <v>1</v>
      </c>
      <c r="BC74" s="31">
        <v>29</v>
      </c>
      <c r="BD74" s="31">
        <v>312827</v>
      </c>
      <c r="BE74" s="31" t="s">
        <v>422</v>
      </c>
      <c r="BF74" s="31">
        <v>0</v>
      </c>
      <c r="BG74" s="31">
        <v>1252659.8400000001</v>
      </c>
      <c r="BH74" s="31">
        <v>0</v>
      </c>
      <c r="BI74" s="31">
        <v>0</v>
      </c>
      <c r="BJ74" s="31">
        <v>1252659.8400000001</v>
      </c>
    </row>
    <row r="75" spans="1:62">
      <c r="A75" s="24" t="s">
        <v>60</v>
      </c>
      <c r="B75" s="31">
        <v>19600</v>
      </c>
      <c r="C75" s="31" t="s">
        <v>244</v>
      </c>
      <c r="D75" s="31" t="s">
        <v>23</v>
      </c>
      <c r="E75" s="31" t="s">
        <v>64</v>
      </c>
      <c r="F75" s="24" t="str">
        <f>IF(Tabela1[[#This Row],[Data Prevista de Conclusão da Obra]]&lt;$C$1,"Atrasada","-")</f>
        <v>-</v>
      </c>
      <c r="G75" s="53" t="s">
        <v>58</v>
      </c>
      <c r="H75" s="24">
        <f>IF(Tabela1[[#This Row],[Levant OS - Jun/17]]=Tabela1[[#This Row],[Situação2]],0,1)</f>
        <v>1</v>
      </c>
      <c r="I75" s="31" t="s">
        <v>240</v>
      </c>
      <c r="J75" s="31" t="s">
        <v>146</v>
      </c>
      <c r="K75" s="31">
        <v>96065610</v>
      </c>
      <c r="L75" s="31" t="s">
        <v>742</v>
      </c>
      <c r="M75" s="31" t="s">
        <v>743</v>
      </c>
      <c r="N75" s="31" t="s">
        <v>242</v>
      </c>
      <c r="O75" s="31" t="s">
        <v>731</v>
      </c>
      <c r="P75" s="31" t="s">
        <v>408</v>
      </c>
      <c r="Q75" s="31">
        <v>0</v>
      </c>
      <c r="R75" s="24" t="s">
        <v>59</v>
      </c>
      <c r="S75" s="31" t="s">
        <v>409</v>
      </c>
      <c r="T75" s="31" t="s">
        <v>410</v>
      </c>
      <c r="U75" s="31" t="s">
        <v>290</v>
      </c>
      <c r="V75" s="31" t="s">
        <v>411</v>
      </c>
      <c r="W75" s="31">
        <v>1196771.3899999999</v>
      </c>
      <c r="X75" s="31" t="s">
        <v>412</v>
      </c>
      <c r="Y75" s="31">
        <v>87455531000157</v>
      </c>
      <c r="Z75" s="31">
        <v>0</v>
      </c>
      <c r="AA75" s="31" t="s">
        <v>732</v>
      </c>
      <c r="AB75" s="31" t="s">
        <v>733</v>
      </c>
      <c r="AC75" s="31" t="s">
        <v>734</v>
      </c>
      <c r="AD75" s="31" t="s">
        <v>735</v>
      </c>
      <c r="AE75" s="31" t="s">
        <v>736</v>
      </c>
      <c r="AF75" s="31" t="s">
        <v>737</v>
      </c>
      <c r="AG75" s="31">
        <v>96015000</v>
      </c>
      <c r="AH75" s="31" t="s">
        <v>738</v>
      </c>
      <c r="AJ75" s="31">
        <v>101</v>
      </c>
      <c r="AK75" s="31" t="s">
        <v>421</v>
      </c>
      <c r="AM75" s="31" t="s">
        <v>240</v>
      </c>
      <c r="AN75" s="31" t="s">
        <v>427</v>
      </c>
      <c r="AO75" s="31">
        <v>42016</v>
      </c>
      <c r="AP75" s="31" t="s">
        <v>739</v>
      </c>
      <c r="AQ75" s="31" t="s">
        <v>243</v>
      </c>
      <c r="AR75" s="31" t="s">
        <v>740</v>
      </c>
      <c r="AS75" s="31">
        <v>579</v>
      </c>
      <c r="AT75" s="31" t="s">
        <v>741</v>
      </c>
      <c r="AU75" s="31">
        <v>7600215.0899999999</v>
      </c>
      <c r="AV75" s="31">
        <v>1196771.3899999999</v>
      </c>
      <c r="AZ75" s="31">
        <v>183869.24</v>
      </c>
      <c r="BA75" s="31">
        <v>15.363772969999999</v>
      </c>
      <c r="BB75" s="31">
        <v>1</v>
      </c>
      <c r="BC75" s="31">
        <v>29</v>
      </c>
      <c r="BD75" s="31">
        <v>312827</v>
      </c>
      <c r="BE75" s="31" t="s">
        <v>422</v>
      </c>
      <c r="BF75" s="31">
        <v>0</v>
      </c>
      <c r="BG75" s="31">
        <v>1252659.8400000001</v>
      </c>
      <c r="BH75" s="31">
        <v>0</v>
      </c>
      <c r="BI75" s="31">
        <v>0</v>
      </c>
      <c r="BJ75" s="31">
        <v>1252659.8400000001</v>
      </c>
    </row>
    <row r="76" spans="1:62">
      <c r="A76" s="24" t="s">
        <v>78</v>
      </c>
      <c r="B76" s="31">
        <v>20024</v>
      </c>
      <c r="C76" s="31" t="s">
        <v>245</v>
      </c>
      <c r="D76" s="31" t="s">
        <v>82</v>
      </c>
      <c r="E76" s="31" t="s">
        <v>64</v>
      </c>
      <c r="F76" s="24" t="str">
        <f>IF(Tabela1[[#This Row],[Data Prevista de Conclusão da Obra]]&lt;$C$1,"Atrasada","-")</f>
        <v>-</v>
      </c>
      <c r="G76" s="53" t="s">
        <v>64</v>
      </c>
      <c r="H76" s="24">
        <f>IF(Tabela1[[#This Row],[Levant OS - Jun/17]]=Tabela1[[#This Row],[Situação2]],0,1)</f>
        <v>0</v>
      </c>
      <c r="I76" s="31" t="s">
        <v>240</v>
      </c>
      <c r="J76" s="31" t="s">
        <v>146</v>
      </c>
      <c r="K76" s="31">
        <v>96115000</v>
      </c>
      <c r="L76" s="31" t="s">
        <v>744</v>
      </c>
      <c r="M76" s="31" t="s">
        <v>573</v>
      </c>
      <c r="N76" s="31" t="s">
        <v>242</v>
      </c>
      <c r="O76" s="31" t="s">
        <v>731</v>
      </c>
      <c r="P76" s="31" t="s">
        <v>408</v>
      </c>
      <c r="Q76" s="31">
        <v>0</v>
      </c>
      <c r="R76" s="24" t="s">
        <v>59</v>
      </c>
      <c r="S76" s="31" t="s">
        <v>409</v>
      </c>
      <c r="T76" s="31" t="s">
        <v>583</v>
      </c>
      <c r="U76" s="31" t="s">
        <v>290</v>
      </c>
      <c r="V76" s="31" t="s">
        <v>411</v>
      </c>
      <c r="W76" s="31">
        <v>811383.29</v>
      </c>
      <c r="X76" s="31" t="s">
        <v>412</v>
      </c>
      <c r="Y76" s="31">
        <v>87455531000157</v>
      </c>
      <c r="Z76" s="31">
        <v>0</v>
      </c>
      <c r="AA76" s="31" t="s">
        <v>732</v>
      </c>
      <c r="AB76" s="31" t="s">
        <v>733</v>
      </c>
      <c r="AC76" s="31" t="s">
        <v>734</v>
      </c>
      <c r="AD76" s="31" t="s">
        <v>735</v>
      </c>
      <c r="AE76" s="31" t="s">
        <v>736</v>
      </c>
      <c r="AF76" s="31" t="s">
        <v>737</v>
      </c>
      <c r="AG76" s="31">
        <v>96015000</v>
      </c>
      <c r="AH76" s="31" t="s">
        <v>738</v>
      </c>
      <c r="AJ76" s="31">
        <v>101</v>
      </c>
      <c r="AK76" s="31" t="s">
        <v>421</v>
      </c>
      <c r="AM76" s="31" t="s">
        <v>240</v>
      </c>
      <c r="AN76" s="31" t="s">
        <v>494</v>
      </c>
      <c r="AO76" s="31">
        <v>122012</v>
      </c>
      <c r="AP76" s="55">
        <v>41067</v>
      </c>
      <c r="AR76" s="55">
        <v>41405</v>
      </c>
      <c r="AU76" s="31">
        <v>0</v>
      </c>
      <c r="AV76" s="31">
        <v>811383.29</v>
      </c>
      <c r="AZ76" s="31">
        <v>122786.81</v>
      </c>
      <c r="BA76" s="31">
        <v>15.13302178</v>
      </c>
      <c r="BB76" s="31">
        <v>1</v>
      </c>
      <c r="BC76" s="31">
        <v>29</v>
      </c>
      <c r="BD76" s="31">
        <v>312827</v>
      </c>
      <c r="BE76" s="31" t="s">
        <v>422</v>
      </c>
      <c r="BF76" s="31">
        <v>0</v>
      </c>
      <c r="BG76" s="31">
        <v>1252659.8400000001</v>
      </c>
      <c r="BH76" s="31">
        <v>0</v>
      </c>
      <c r="BI76" s="31">
        <v>0</v>
      </c>
      <c r="BJ76" s="31">
        <v>1252659.8400000001</v>
      </c>
    </row>
    <row r="77" spans="1:62">
      <c r="A77" s="24" t="s">
        <v>60</v>
      </c>
      <c r="B77" s="31">
        <v>20029</v>
      </c>
      <c r="C77" s="31" t="s">
        <v>246</v>
      </c>
      <c r="D77" s="31" t="s">
        <v>23</v>
      </c>
      <c r="E77" s="31" t="s">
        <v>64</v>
      </c>
      <c r="F77" s="24" t="str">
        <f>IF(Tabela1[[#This Row],[Data Prevista de Conclusão da Obra]]&lt;$C$1,"Atrasada","-")</f>
        <v>-</v>
      </c>
      <c r="G77" s="53" t="s">
        <v>58</v>
      </c>
      <c r="H77" s="24">
        <f>IF(Tabela1[[#This Row],[Levant OS - Jun/17]]=Tabela1[[#This Row],[Situação2]],0,1)</f>
        <v>1</v>
      </c>
      <c r="I77" s="31" t="s">
        <v>240</v>
      </c>
      <c r="J77" s="31" t="s">
        <v>146</v>
      </c>
      <c r="K77" s="31">
        <v>96070135</v>
      </c>
      <c r="L77" s="31" t="s">
        <v>745</v>
      </c>
      <c r="M77" s="31" t="s">
        <v>730</v>
      </c>
      <c r="N77" s="31" t="s">
        <v>242</v>
      </c>
      <c r="O77" s="31" t="s">
        <v>731</v>
      </c>
      <c r="P77" s="31" t="s">
        <v>408</v>
      </c>
      <c r="Q77" s="31">
        <v>0</v>
      </c>
      <c r="R77" s="24" t="s">
        <v>59</v>
      </c>
      <c r="S77" s="31" t="s">
        <v>409</v>
      </c>
      <c r="T77" s="31" t="s">
        <v>410</v>
      </c>
      <c r="U77" s="31" t="s">
        <v>290</v>
      </c>
      <c r="V77" s="31" t="s">
        <v>411</v>
      </c>
      <c r="W77" s="31">
        <v>1196771.3899999999</v>
      </c>
      <c r="X77" s="31" t="s">
        <v>412</v>
      </c>
      <c r="Y77" s="31">
        <v>87455531000157</v>
      </c>
      <c r="Z77" s="31">
        <v>0</v>
      </c>
      <c r="AA77" s="31" t="s">
        <v>732</v>
      </c>
      <c r="AB77" s="31" t="s">
        <v>733</v>
      </c>
      <c r="AC77" s="31" t="s">
        <v>734</v>
      </c>
      <c r="AD77" s="31" t="s">
        <v>735</v>
      </c>
      <c r="AE77" s="31" t="s">
        <v>736</v>
      </c>
      <c r="AF77" s="31" t="s">
        <v>737</v>
      </c>
      <c r="AG77" s="31">
        <v>96015000</v>
      </c>
      <c r="AH77" s="31" t="s">
        <v>738</v>
      </c>
      <c r="AJ77" s="31">
        <v>101</v>
      </c>
      <c r="AK77" s="31" t="s">
        <v>421</v>
      </c>
      <c r="AM77" s="31" t="s">
        <v>240</v>
      </c>
      <c r="AN77" s="31" t="s">
        <v>427</v>
      </c>
      <c r="AO77" s="31">
        <v>42016</v>
      </c>
      <c r="AP77" s="31" t="s">
        <v>739</v>
      </c>
      <c r="AQ77" s="31" t="s">
        <v>243</v>
      </c>
      <c r="AR77" s="31" t="s">
        <v>740</v>
      </c>
      <c r="AS77" s="31">
        <v>579</v>
      </c>
      <c r="AT77" s="31" t="s">
        <v>741</v>
      </c>
      <c r="AU77" s="31">
        <v>7600215.0899999999</v>
      </c>
      <c r="AV77" s="31">
        <v>1196771.3899999999</v>
      </c>
      <c r="AZ77" s="31">
        <v>183869.24</v>
      </c>
      <c r="BA77" s="31">
        <v>15.363772969999999</v>
      </c>
      <c r="BB77" s="31">
        <v>1</v>
      </c>
      <c r="BC77" s="31">
        <v>29</v>
      </c>
      <c r="BD77" s="31">
        <v>312827</v>
      </c>
      <c r="BE77" s="31" t="s">
        <v>422</v>
      </c>
      <c r="BF77" s="31">
        <v>0</v>
      </c>
      <c r="BG77" s="31">
        <v>1252659.8400000001</v>
      </c>
      <c r="BH77" s="31">
        <v>0</v>
      </c>
      <c r="BI77" s="31">
        <v>0</v>
      </c>
      <c r="BJ77" s="31">
        <v>1252659.8400000001</v>
      </c>
    </row>
    <row r="78" spans="1:62">
      <c r="A78" s="24" t="s">
        <v>60</v>
      </c>
      <c r="B78" s="31">
        <v>20033</v>
      </c>
      <c r="C78" s="31" t="s">
        <v>247</v>
      </c>
      <c r="D78" s="31" t="s">
        <v>23</v>
      </c>
      <c r="E78" s="31" t="s">
        <v>64</v>
      </c>
      <c r="F78" s="24" t="str">
        <f>IF(Tabela1[[#This Row],[Data Prevista de Conclusão da Obra]]&lt;$C$1,"Atrasada","-")</f>
        <v>-</v>
      </c>
      <c r="G78" s="53" t="s">
        <v>58</v>
      </c>
      <c r="H78" s="24">
        <f>IF(Tabela1[[#This Row],[Levant OS - Jun/17]]=Tabela1[[#This Row],[Situação2]],0,1)</f>
        <v>1</v>
      </c>
      <c r="I78" s="31" t="s">
        <v>240</v>
      </c>
      <c r="J78" s="31" t="s">
        <v>146</v>
      </c>
      <c r="K78" s="31">
        <v>96085070</v>
      </c>
      <c r="L78" s="31" t="s">
        <v>746</v>
      </c>
      <c r="M78" s="31" t="s">
        <v>747</v>
      </c>
      <c r="N78" s="31" t="s">
        <v>242</v>
      </c>
      <c r="O78" s="31" t="s">
        <v>731</v>
      </c>
      <c r="P78" s="31" t="s">
        <v>408</v>
      </c>
      <c r="Q78" s="31">
        <v>0</v>
      </c>
      <c r="R78" s="24" t="s">
        <v>59</v>
      </c>
      <c r="S78" s="31" t="s">
        <v>409</v>
      </c>
      <c r="T78" s="31" t="s">
        <v>410</v>
      </c>
      <c r="U78" s="31" t="s">
        <v>290</v>
      </c>
      <c r="V78" s="31" t="s">
        <v>411</v>
      </c>
      <c r="W78" s="31">
        <v>1196771.3899999999</v>
      </c>
      <c r="X78" s="31" t="s">
        <v>412</v>
      </c>
      <c r="Y78" s="31">
        <v>87455531000157</v>
      </c>
      <c r="Z78" s="31">
        <v>0</v>
      </c>
      <c r="AA78" s="31" t="s">
        <v>732</v>
      </c>
      <c r="AB78" s="31" t="s">
        <v>733</v>
      </c>
      <c r="AC78" s="31" t="s">
        <v>734</v>
      </c>
      <c r="AD78" s="31" t="s">
        <v>735</v>
      </c>
      <c r="AE78" s="31" t="s">
        <v>736</v>
      </c>
      <c r="AF78" s="31" t="s">
        <v>737</v>
      </c>
      <c r="AG78" s="31">
        <v>96015000</v>
      </c>
      <c r="AH78" s="31" t="s">
        <v>738</v>
      </c>
      <c r="AJ78" s="31">
        <v>101</v>
      </c>
      <c r="AK78" s="31" t="s">
        <v>421</v>
      </c>
      <c r="AM78" s="31" t="s">
        <v>240</v>
      </c>
      <c r="AN78" s="31" t="s">
        <v>427</v>
      </c>
      <c r="AO78" s="31">
        <v>42016</v>
      </c>
      <c r="AP78" s="31" t="s">
        <v>739</v>
      </c>
      <c r="AQ78" s="31" t="s">
        <v>243</v>
      </c>
      <c r="AR78" s="31" t="s">
        <v>740</v>
      </c>
      <c r="AS78" s="31">
        <v>579</v>
      </c>
      <c r="AT78" s="31" t="s">
        <v>741</v>
      </c>
      <c r="AU78" s="31">
        <v>7600215.0899999999</v>
      </c>
      <c r="AV78" s="31">
        <v>1196771.3899999999</v>
      </c>
      <c r="AZ78" s="31">
        <v>183869.24</v>
      </c>
      <c r="BA78" s="31">
        <v>15.363772969999999</v>
      </c>
      <c r="BB78" s="31">
        <v>1</v>
      </c>
      <c r="BC78" s="31">
        <v>29</v>
      </c>
      <c r="BD78" s="31">
        <v>312827</v>
      </c>
      <c r="BE78" s="31" t="s">
        <v>422</v>
      </c>
      <c r="BF78" s="31">
        <v>0</v>
      </c>
      <c r="BG78" s="31">
        <v>1252659.8400000001</v>
      </c>
      <c r="BH78" s="31">
        <v>0</v>
      </c>
      <c r="BI78" s="31">
        <v>0</v>
      </c>
      <c r="BJ78" s="31">
        <v>1252659.8400000001</v>
      </c>
    </row>
    <row r="79" spans="1:62">
      <c r="A79" s="24" t="s">
        <v>78</v>
      </c>
      <c r="B79" s="31">
        <v>20061</v>
      </c>
      <c r="C79" s="31" t="s">
        <v>248</v>
      </c>
      <c r="D79" s="31" t="s">
        <v>82</v>
      </c>
      <c r="E79" s="31" t="s">
        <v>64</v>
      </c>
      <c r="F79" s="24" t="str">
        <f>IF(Tabela1[[#This Row],[Data Prevista de Conclusão da Obra]]&lt;$C$1,"Atrasada","-")</f>
        <v>-</v>
      </c>
      <c r="G79" s="53" t="s">
        <v>64</v>
      </c>
      <c r="H79" s="24">
        <f>IF(Tabela1[[#This Row],[Levant OS - Jun/17]]=Tabela1[[#This Row],[Situação2]],0,1)</f>
        <v>0</v>
      </c>
      <c r="I79" s="31" t="s">
        <v>240</v>
      </c>
      <c r="J79" s="31" t="s">
        <v>146</v>
      </c>
      <c r="K79" s="31">
        <v>96130000</v>
      </c>
      <c r="L79" s="31" t="s">
        <v>748</v>
      </c>
      <c r="M79" s="31" t="s">
        <v>749</v>
      </c>
      <c r="N79" s="31" t="s">
        <v>242</v>
      </c>
      <c r="O79" s="31" t="s">
        <v>731</v>
      </c>
      <c r="P79" s="31" t="s">
        <v>408</v>
      </c>
      <c r="Q79" s="31">
        <v>0</v>
      </c>
      <c r="R79" s="24" t="s">
        <v>59</v>
      </c>
      <c r="S79" s="31" t="s">
        <v>409</v>
      </c>
      <c r="T79" s="31" t="s">
        <v>583</v>
      </c>
      <c r="U79" s="31" t="s">
        <v>290</v>
      </c>
      <c r="V79" s="31" t="s">
        <v>411</v>
      </c>
      <c r="W79" s="31">
        <v>811383.29</v>
      </c>
      <c r="X79" s="31" t="s">
        <v>412</v>
      </c>
      <c r="Y79" s="31">
        <v>87455531000157</v>
      </c>
      <c r="Z79" s="31">
        <v>0</v>
      </c>
      <c r="AA79" s="31" t="s">
        <v>732</v>
      </c>
      <c r="AB79" s="31" t="s">
        <v>733</v>
      </c>
      <c r="AC79" s="31" t="s">
        <v>734</v>
      </c>
      <c r="AD79" s="31" t="s">
        <v>735</v>
      </c>
      <c r="AE79" s="31" t="s">
        <v>736</v>
      </c>
      <c r="AF79" s="31" t="s">
        <v>737</v>
      </c>
      <c r="AG79" s="31">
        <v>96015000</v>
      </c>
      <c r="AH79" s="31" t="s">
        <v>738</v>
      </c>
      <c r="AJ79" s="31">
        <v>101</v>
      </c>
      <c r="AK79" s="31" t="s">
        <v>421</v>
      </c>
      <c r="AM79" s="31" t="s">
        <v>240</v>
      </c>
      <c r="AN79" s="31" t="s">
        <v>494</v>
      </c>
      <c r="AO79" s="31">
        <v>112012</v>
      </c>
      <c r="AP79" s="55">
        <v>41067</v>
      </c>
      <c r="AR79" s="55">
        <v>41405</v>
      </c>
      <c r="AU79" s="31">
        <v>0</v>
      </c>
      <c r="AV79" s="31">
        <v>811383.29</v>
      </c>
      <c r="AZ79" s="31">
        <v>122786.81</v>
      </c>
      <c r="BA79" s="31">
        <v>15.13302178</v>
      </c>
      <c r="BB79" s="31">
        <v>1</v>
      </c>
      <c r="BC79" s="31">
        <v>29</v>
      </c>
      <c r="BD79" s="31">
        <v>312827</v>
      </c>
      <c r="BE79" s="31" t="s">
        <v>422</v>
      </c>
      <c r="BF79" s="31">
        <v>0</v>
      </c>
      <c r="BG79" s="31">
        <v>1252659.8400000001</v>
      </c>
      <c r="BH79" s="31">
        <v>0</v>
      </c>
      <c r="BI79" s="31">
        <v>0</v>
      </c>
      <c r="BJ79" s="31">
        <v>1252659.8400000001</v>
      </c>
    </row>
    <row r="80" spans="1:62">
      <c r="A80" s="24" t="s">
        <v>60</v>
      </c>
      <c r="B80" s="31">
        <v>20179</v>
      </c>
      <c r="C80" s="31" t="s">
        <v>249</v>
      </c>
      <c r="D80" s="31" t="s">
        <v>23</v>
      </c>
      <c r="E80" s="31" t="s">
        <v>64</v>
      </c>
      <c r="F80" s="24" t="str">
        <f>IF(Tabela1[[#This Row],[Data Prevista de Conclusão da Obra]]&lt;$C$1,"Atrasada","-")</f>
        <v>-</v>
      </c>
      <c r="G80" s="53" t="s">
        <v>58</v>
      </c>
      <c r="H80" s="24">
        <f>IF(Tabela1[[#This Row],[Levant OS - Jun/17]]=Tabela1[[#This Row],[Situação2]],0,1)</f>
        <v>1</v>
      </c>
      <c r="I80" s="31" t="s">
        <v>240</v>
      </c>
      <c r="J80" s="31" t="s">
        <v>146</v>
      </c>
      <c r="K80" s="31">
        <v>96072014</v>
      </c>
      <c r="L80" s="31" t="s">
        <v>750</v>
      </c>
      <c r="M80" s="31" t="s">
        <v>730</v>
      </c>
      <c r="N80" s="31" t="s">
        <v>242</v>
      </c>
      <c r="O80" s="31" t="s">
        <v>731</v>
      </c>
      <c r="P80" s="31" t="s">
        <v>408</v>
      </c>
      <c r="Q80" s="31">
        <v>0</v>
      </c>
      <c r="R80" s="24" t="s">
        <v>59</v>
      </c>
      <c r="S80" s="31" t="s">
        <v>409</v>
      </c>
      <c r="T80" s="31" t="s">
        <v>410</v>
      </c>
      <c r="U80" s="31" t="s">
        <v>290</v>
      </c>
      <c r="V80" s="31" t="s">
        <v>411</v>
      </c>
      <c r="W80" s="31">
        <v>1196771.3899999999</v>
      </c>
      <c r="X80" s="31" t="s">
        <v>412</v>
      </c>
      <c r="Y80" s="31">
        <v>87455531000157</v>
      </c>
      <c r="Z80" s="31">
        <v>0</v>
      </c>
      <c r="AA80" s="31" t="s">
        <v>732</v>
      </c>
      <c r="AB80" s="31" t="s">
        <v>733</v>
      </c>
      <c r="AC80" s="31" t="s">
        <v>734</v>
      </c>
      <c r="AD80" s="31" t="s">
        <v>735</v>
      </c>
      <c r="AE80" s="31" t="s">
        <v>736</v>
      </c>
      <c r="AF80" s="31" t="s">
        <v>737</v>
      </c>
      <c r="AG80" s="31">
        <v>96015000</v>
      </c>
      <c r="AH80" s="31" t="s">
        <v>738</v>
      </c>
      <c r="AJ80" s="31">
        <v>101</v>
      </c>
      <c r="AK80" s="31" t="s">
        <v>421</v>
      </c>
      <c r="AM80" s="31" t="s">
        <v>240</v>
      </c>
      <c r="AN80" s="31" t="s">
        <v>427</v>
      </c>
      <c r="AO80" s="31">
        <v>42016</v>
      </c>
      <c r="AP80" s="31" t="s">
        <v>739</v>
      </c>
      <c r="AQ80" s="31" t="s">
        <v>243</v>
      </c>
      <c r="AR80" s="31" t="s">
        <v>740</v>
      </c>
      <c r="AS80" s="31">
        <v>579</v>
      </c>
      <c r="AT80" s="31" t="s">
        <v>741</v>
      </c>
      <c r="AU80" s="31">
        <v>7600215.0899999999</v>
      </c>
      <c r="AV80" s="31">
        <v>1196771.3899999999</v>
      </c>
      <c r="AZ80" s="31">
        <v>183869.26</v>
      </c>
      <c r="BA80" s="31">
        <v>15.363774640000001</v>
      </c>
      <c r="BB80" s="31">
        <v>1</v>
      </c>
      <c r="BC80" s="31">
        <v>29</v>
      </c>
      <c r="BD80" s="31">
        <v>312827</v>
      </c>
      <c r="BE80" s="31" t="s">
        <v>422</v>
      </c>
      <c r="BF80" s="31">
        <v>0</v>
      </c>
      <c r="BG80" s="31">
        <v>1252659.8400000001</v>
      </c>
      <c r="BH80" s="31">
        <v>0</v>
      </c>
      <c r="BI80" s="31">
        <v>0</v>
      </c>
      <c r="BJ80" s="31">
        <v>1252659.8400000001</v>
      </c>
    </row>
    <row r="81" spans="1:62">
      <c r="A81" s="24" t="s">
        <v>78</v>
      </c>
      <c r="B81" s="31">
        <v>24619</v>
      </c>
      <c r="C81" s="31" t="s">
        <v>250</v>
      </c>
      <c r="D81" s="31" t="s">
        <v>137</v>
      </c>
      <c r="E81" s="31" t="s">
        <v>67</v>
      </c>
      <c r="F81" s="24" t="str">
        <f>IF(Tabela1[[#This Row],[Data Prevista de Conclusão da Obra]]&lt;$C$1,"Atrasada","-")</f>
        <v>-</v>
      </c>
      <c r="G81" s="53" t="s">
        <v>67</v>
      </c>
      <c r="H81" s="24">
        <f>IF(Tabela1[[#This Row],[Levant OS - Jun/17]]=Tabela1[[#This Row],[Situação2]],0,1)</f>
        <v>0</v>
      </c>
      <c r="I81" s="31" t="s">
        <v>240</v>
      </c>
      <c r="J81" s="31" t="s">
        <v>146</v>
      </c>
      <c r="K81" s="31">
        <v>96060140</v>
      </c>
      <c r="L81" s="31" t="s">
        <v>751</v>
      </c>
      <c r="M81" s="31" t="s">
        <v>730</v>
      </c>
      <c r="N81" s="31" t="s">
        <v>251</v>
      </c>
      <c r="O81" s="31" t="s">
        <v>407</v>
      </c>
      <c r="P81" s="31" t="s">
        <v>408</v>
      </c>
      <c r="Q81" s="31">
        <v>7.3</v>
      </c>
      <c r="R81" s="50">
        <v>43081</v>
      </c>
      <c r="S81" s="31" t="s">
        <v>409</v>
      </c>
      <c r="T81" s="31" t="s">
        <v>546</v>
      </c>
      <c r="U81" s="31" t="s">
        <v>290</v>
      </c>
      <c r="V81" s="31" t="s">
        <v>411</v>
      </c>
      <c r="W81" s="31">
        <v>1522329.37</v>
      </c>
      <c r="X81" s="31" t="s">
        <v>412</v>
      </c>
      <c r="Y81" s="31">
        <v>87455531000157</v>
      </c>
      <c r="Z81" s="31">
        <v>0</v>
      </c>
      <c r="AA81" s="31" t="s">
        <v>732</v>
      </c>
      <c r="AB81" s="31" t="s">
        <v>733</v>
      </c>
      <c r="AC81" s="31" t="s">
        <v>734</v>
      </c>
      <c r="AD81" s="31" t="s">
        <v>735</v>
      </c>
      <c r="AE81" s="31" t="s">
        <v>736</v>
      </c>
      <c r="AF81" s="31" t="s">
        <v>737</v>
      </c>
      <c r="AG81" s="31">
        <v>96015000</v>
      </c>
      <c r="AH81" s="31" t="s">
        <v>738</v>
      </c>
      <c r="AJ81" s="31">
        <v>101</v>
      </c>
      <c r="AK81" s="31" t="s">
        <v>421</v>
      </c>
      <c r="AM81" s="31" t="s">
        <v>240</v>
      </c>
      <c r="AR81" s="55">
        <v>41497</v>
      </c>
      <c r="AS81" s="31">
        <v>452</v>
      </c>
      <c r="AT81" s="55">
        <v>42065</v>
      </c>
      <c r="AU81" s="31">
        <v>1522329.37</v>
      </c>
      <c r="AV81" s="31">
        <v>1522329.37</v>
      </c>
      <c r="AW81" s="31" t="s">
        <v>559</v>
      </c>
      <c r="AX81" s="31" t="s">
        <v>429</v>
      </c>
      <c r="AY81" s="31" t="s">
        <v>430</v>
      </c>
      <c r="AZ81" s="31">
        <v>412249.83</v>
      </c>
      <c r="BA81" s="31">
        <v>27.080199440000001</v>
      </c>
      <c r="BB81" s="31">
        <v>1</v>
      </c>
      <c r="BC81" s="31">
        <v>29</v>
      </c>
      <c r="BD81" s="31">
        <v>338095</v>
      </c>
      <c r="BE81" s="31" t="s">
        <v>422</v>
      </c>
      <c r="BF81" s="31">
        <v>0</v>
      </c>
      <c r="BG81" s="31">
        <v>2988014.71</v>
      </c>
      <c r="BH81" s="31">
        <v>0</v>
      </c>
      <c r="BI81" s="31">
        <v>0</v>
      </c>
      <c r="BJ81" s="31">
        <v>2988014.71</v>
      </c>
    </row>
    <row r="82" spans="1:62">
      <c r="A82" s="24" t="s">
        <v>78</v>
      </c>
      <c r="B82" s="31">
        <v>24620</v>
      </c>
      <c r="C82" s="31" t="s">
        <v>252</v>
      </c>
      <c r="D82" s="31" t="s">
        <v>137</v>
      </c>
      <c r="E82" s="31" t="s">
        <v>64</v>
      </c>
      <c r="F82" s="24" t="str">
        <f>IF(Tabela1[[#This Row],[Data Prevista de Conclusão da Obra]]&lt;$C$1,"Atrasada","-")</f>
        <v>-</v>
      </c>
      <c r="G82" s="53" t="s">
        <v>64</v>
      </c>
      <c r="H82" s="24">
        <f>IF(Tabela1[[#This Row],[Levant OS - Jun/17]]=Tabela1[[#This Row],[Situação2]],0,1)</f>
        <v>0</v>
      </c>
      <c r="I82" s="31" t="s">
        <v>240</v>
      </c>
      <c r="J82" s="31" t="s">
        <v>146</v>
      </c>
      <c r="K82" s="31">
        <v>96045000</v>
      </c>
      <c r="L82" s="31" t="s">
        <v>752</v>
      </c>
      <c r="M82" s="31" t="s">
        <v>753</v>
      </c>
      <c r="N82" s="31" t="s">
        <v>251</v>
      </c>
      <c r="O82" s="31" t="s">
        <v>407</v>
      </c>
      <c r="P82" s="31" t="s">
        <v>408</v>
      </c>
      <c r="Q82" s="31">
        <v>0</v>
      </c>
      <c r="R82" s="24" t="s">
        <v>59</v>
      </c>
      <c r="S82" s="31" t="s">
        <v>409</v>
      </c>
      <c r="T82" s="31" t="s">
        <v>546</v>
      </c>
      <c r="U82" s="31" t="s">
        <v>290</v>
      </c>
      <c r="V82" s="31" t="s">
        <v>411</v>
      </c>
      <c r="W82" s="31">
        <v>1526930.41</v>
      </c>
      <c r="X82" s="31" t="s">
        <v>412</v>
      </c>
      <c r="Y82" s="31">
        <v>87455531000157</v>
      </c>
      <c r="Z82" s="31">
        <v>0</v>
      </c>
      <c r="AA82" s="31" t="s">
        <v>732</v>
      </c>
      <c r="AB82" s="31" t="s">
        <v>733</v>
      </c>
      <c r="AC82" s="31" t="s">
        <v>734</v>
      </c>
      <c r="AD82" s="31" t="s">
        <v>735</v>
      </c>
      <c r="AE82" s="31" t="s">
        <v>736</v>
      </c>
      <c r="AF82" s="31" t="s">
        <v>737</v>
      </c>
      <c r="AG82" s="31">
        <v>96015000</v>
      </c>
      <c r="AH82" s="31" t="s">
        <v>738</v>
      </c>
      <c r="AJ82" s="31">
        <v>101</v>
      </c>
      <c r="AK82" s="31" t="s">
        <v>421</v>
      </c>
      <c r="AM82" s="31" t="s">
        <v>240</v>
      </c>
      <c r="AR82" s="55">
        <v>41497</v>
      </c>
      <c r="AU82" s="31">
        <v>0</v>
      </c>
      <c r="AV82" s="31">
        <v>1526930.41</v>
      </c>
      <c r="AZ82" s="31">
        <v>265590.96999999997</v>
      </c>
      <c r="BA82" s="31">
        <v>22.192289290000002</v>
      </c>
      <c r="BB82" s="31">
        <v>1</v>
      </c>
      <c r="BC82" s="31">
        <v>29</v>
      </c>
      <c r="BD82" s="31">
        <v>338095</v>
      </c>
      <c r="BE82" s="31" t="s">
        <v>422</v>
      </c>
      <c r="BF82" s="31">
        <v>0</v>
      </c>
      <c r="BG82" s="31">
        <v>2988014.71</v>
      </c>
      <c r="BH82" s="31">
        <v>0</v>
      </c>
      <c r="BI82" s="31">
        <v>0</v>
      </c>
      <c r="BJ82" s="31">
        <v>2988014.71</v>
      </c>
    </row>
    <row r="83" spans="1:62">
      <c r="A83" s="24" t="s">
        <v>78</v>
      </c>
      <c r="B83" s="31">
        <v>24621</v>
      </c>
      <c r="C83" s="31" t="s">
        <v>253</v>
      </c>
      <c r="D83" s="31" t="s">
        <v>137</v>
      </c>
      <c r="E83" s="31" t="s">
        <v>64</v>
      </c>
      <c r="F83" s="24" t="str">
        <f>IF(Tabela1[[#This Row],[Data Prevista de Conclusão da Obra]]&lt;$C$1,"Atrasada","-")</f>
        <v>-</v>
      </c>
      <c r="G83" s="53" t="s">
        <v>58</v>
      </c>
      <c r="H83" s="24">
        <f>IF(Tabela1[[#This Row],[Levant OS - Jun/17]]=Tabela1[[#This Row],[Situação2]],0,1)</f>
        <v>1</v>
      </c>
      <c r="I83" s="31" t="s">
        <v>240</v>
      </c>
      <c r="J83" s="31" t="s">
        <v>146</v>
      </c>
      <c r="K83" s="31">
        <v>96075520</v>
      </c>
      <c r="L83" s="31" t="s">
        <v>754</v>
      </c>
      <c r="M83" s="31" t="s">
        <v>755</v>
      </c>
      <c r="N83" s="31" t="s">
        <v>251</v>
      </c>
      <c r="O83" s="31" t="s">
        <v>407</v>
      </c>
      <c r="P83" s="31" t="s">
        <v>408</v>
      </c>
      <c r="Q83" s="31">
        <v>0</v>
      </c>
      <c r="R83" s="24" t="s">
        <v>59</v>
      </c>
      <c r="S83" s="31" t="s">
        <v>409</v>
      </c>
      <c r="T83" s="31" t="s">
        <v>546</v>
      </c>
      <c r="U83" s="31" t="s">
        <v>290</v>
      </c>
      <c r="V83" s="31" t="s">
        <v>411</v>
      </c>
      <c r="W83" s="31">
        <v>1515462.9</v>
      </c>
      <c r="X83" s="31" t="s">
        <v>412</v>
      </c>
      <c r="Y83" s="31">
        <v>87455531000157</v>
      </c>
      <c r="Z83" s="31">
        <v>0</v>
      </c>
      <c r="AA83" s="31" t="s">
        <v>732</v>
      </c>
      <c r="AB83" s="31" t="s">
        <v>733</v>
      </c>
      <c r="AC83" s="31" t="s">
        <v>734</v>
      </c>
      <c r="AD83" s="31" t="s">
        <v>735</v>
      </c>
      <c r="AE83" s="31" t="s">
        <v>736</v>
      </c>
      <c r="AF83" s="31" t="s">
        <v>737</v>
      </c>
      <c r="AG83" s="31">
        <v>96015000</v>
      </c>
      <c r="AH83" s="31" t="s">
        <v>738</v>
      </c>
      <c r="AJ83" s="31">
        <v>101</v>
      </c>
      <c r="AK83" s="31" t="s">
        <v>421</v>
      </c>
      <c r="AM83" s="31" t="s">
        <v>240</v>
      </c>
      <c r="AR83" s="55">
        <v>41497</v>
      </c>
      <c r="AU83" s="31">
        <v>0</v>
      </c>
      <c r="AV83" s="31">
        <v>1515462.9</v>
      </c>
      <c r="AZ83" s="31">
        <v>264159.58</v>
      </c>
      <c r="BA83" s="31">
        <v>14.65539104</v>
      </c>
      <c r="BB83" s="31">
        <v>1</v>
      </c>
      <c r="BC83" s="31">
        <v>29</v>
      </c>
      <c r="BD83" s="31">
        <v>338095</v>
      </c>
      <c r="BE83" s="31" t="s">
        <v>422</v>
      </c>
      <c r="BF83" s="31">
        <v>0</v>
      </c>
      <c r="BG83" s="31">
        <v>2988014.71</v>
      </c>
      <c r="BH83" s="31">
        <v>0</v>
      </c>
      <c r="BI83" s="31">
        <v>0</v>
      </c>
      <c r="BJ83" s="31">
        <v>2988014.71</v>
      </c>
    </row>
    <row r="84" spans="1:62">
      <c r="A84" s="24" t="s">
        <v>78</v>
      </c>
      <c r="B84" s="31">
        <v>24622</v>
      </c>
      <c r="C84" s="31" t="s">
        <v>254</v>
      </c>
      <c r="D84" s="31" t="s">
        <v>82</v>
      </c>
      <c r="E84" s="31" t="s">
        <v>64</v>
      </c>
      <c r="F84" s="24" t="str">
        <f>IF(Tabela1[[#This Row],[Data Prevista de Conclusão da Obra]]&lt;$C$1,"Atrasada","-")</f>
        <v>-</v>
      </c>
      <c r="G84" s="53" t="s">
        <v>64</v>
      </c>
      <c r="H84" s="24">
        <f>IF(Tabela1[[#This Row],[Levant OS - Jun/17]]=Tabela1[[#This Row],[Situação2]],0,1)</f>
        <v>0</v>
      </c>
      <c r="I84" s="31" t="s">
        <v>240</v>
      </c>
      <c r="J84" s="31" t="s">
        <v>146</v>
      </c>
      <c r="K84" s="31">
        <v>96040350</v>
      </c>
      <c r="L84" s="31" t="s">
        <v>756</v>
      </c>
      <c r="M84" s="31" t="s">
        <v>753</v>
      </c>
      <c r="N84" s="31" t="s">
        <v>251</v>
      </c>
      <c r="O84" s="31" t="s">
        <v>407</v>
      </c>
      <c r="P84" s="31" t="s">
        <v>408</v>
      </c>
      <c r="Q84" s="31">
        <v>0</v>
      </c>
      <c r="R84" s="24" t="s">
        <v>59</v>
      </c>
      <c r="S84" s="31" t="s">
        <v>409</v>
      </c>
      <c r="T84" s="31" t="s">
        <v>546</v>
      </c>
      <c r="U84" s="31" t="s">
        <v>290</v>
      </c>
      <c r="V84" s="31" t="s">
        <v>411</v>
      </c>
      <c r="W84" s="31">
        <v>1526930.41</v>
      </c>
      <c r="X84" s="31" t="s">
        <v>412</v>
      </c>
      <c r="Y84" s="31">
        <v>87455531000157</v>
      </c>
      <c r="Z84" s="31">
        <v>0</v>
      </c>
      <c r="AA84" s="31" t="s">
        <v>732</v>
      </c>
      <c r="AB84" s="31" t="s">
        <v>733</v>
      </c>
      <c r="AC84" s="31" t="s">
        <v>734</v>
      </c>
      <c r="AD84" s="31" t="s">
        <v>735</v>
      </c>
      <c r="AE84" s="31" t="s">
        <v>736</v>
      </c>
      <c r="AF84" s="31" t="s">
        <v>737</v>
      </c>
      <c r="AG84" s="31">
        <v>96015000</v>
      </c>
      <c r="AH84" s="31" t="s">
        <v>738</v>
      </c>
      <c r="AJ84" s="31">
        <v>101</v>
      </c>
      <c r="AK84" s="31" t="s">
        <v>421</v>
      </c>
      <c r="AM84" s="31" t="s">
        <v>240</v>
      </c>
      <c r="AR84" s="55">
        <v>41497</v>
      </c>
      <c r="AU84" s="31">
        <v>0</v>
      </c>
      <c r="AV84" s="31">
        <v>1526930.41</v>
      </c>
      <c r="AZ84" s="31">
        <v>265477.53999999998</v>
      </c>
      <c r="BA84" s="31">
        <v>17.38635489</v>
      </c>
      <c r="BB84" s="31">
        <v>1</v>
      </c>
      <c r="BC84" s="31">
        <v>29</v>
      </c>
      <c r="BD84" s="31">
        <v>338095</v>
      </c>
      <c r="BE84" s="31" t="s">
        <v>422</v>
      </c>
      <c r="BF84" s="31">
        <v>0</v>
      </c>
      <c r="BG84" s="31">
        <v>2988014.71</v>
      </c>
      <c r="BH84" s="31">
        <v>0</v>
      </c>
      <c r="BI84" s="31">
        <v>0</v>
      </c>
      <c r="BJ84" s="31">
        <v>2988014.71</v>
      </c>
    </row>
    <row r="85" spans="1:62">
      <c r="A85" s="24" t="s">
        <v>78</v>
      </c>
      <c r="B85" s="31">
        <v>24623</v>
      </c>
      <c r="C85" s="31" t="s">
        <v>255</v>
      </c>
      <c r="D85" s="31" t="s">
        <v>137</v>
      </c>
      <c r="E85" s="31" t="s">
        <v>67</v>
      </c>
      <c r="F85" s="24" t="str">
        <f>IF(Tabela1[[#This Row],[Data Prevista de Conclusão da Obra]]&lt;$C$1,"Atrasada","-")</f>
        <v>-</v>
      </c>
      <c r="G85" s="53" t="s">
        <v>67</v>
      </c>
      <c r="H85" s="24">
        <f>IF(Tabela1[[#This Row],[Levant OS - Jun/17]]=Tabela1[[#This Row],[Situação2]],0,1)</f>
        <v>0</v>
      </c>
      <c r="I85" s="31" t="s">
        <v>240</v>
      </c>
      <c r="J85" s="31" t="s">
        <v>146</v>
      </c>
      <c r="K85" s="31">
        <v>96070370</v>
      </c>
      <c r="L85" s="31" t="s">
        <v>757</v>
      </c>
      <c r="M85" s="31" t="s">
        <v>730</v>
      </c>
      <c r="N85" s="31" t="s">
        <v>251</v>
      </c>
      <c r="O85" s="31" t="s">
        <v>407</v>
      </c>
      <c r="P85" s="31" t="s">
        <v>408</v>
      </c>
      <c r="Q85" s="31">
        <v>8.19</v>
      </c>
      <c r="R85" s="50">
        <v>43081</v>
      </c>
      <c r="S85" s="31" t="s">
        <v>409</v>
      </c>
      <c r="T85" s="31" t="s">
        <v>546</v>
      </c>
      <c r="U85" s="31" t="s">
        <v>290</v>
      </c>
      <c r="V85" s="31" t="s">
        <v>411</v>
      </c>
      <c r="W85" s="31">
        <v>1531110.41</v>
      </c>
      <c r="X85" s="31" t="s">
        <v>412</v>
      </c>
      <c r="Y85" s="31">
        <v>87455531000157</v>
      </c>
      <c r="Z85" s="31">
        <v>0</v>
      </c>
      <c r="AA85" s="31" t="s">
        <v>732</v>
      </c>
      <c r="AB85" s="31" t="s">
        <v>733</v>
      </c>
      <c r="AC85" s="31" t="s">
        <v>734</v>
      </c>
      <c r="AD85" s="31" t="s">
        <v>735</v>
      </c>
      <c r="AE85" s="31" t="s">
        <v>736</v>
      </c>
      <c r="AF85" s="31" t="s">
        <v>737</v>
      </c>
      <c r="AG85" s="31">
        <v>96015000</v>
      </c>
      <c r="AH85" s="31" t="s">
        <v>738</v>
      </c>
      <c r="AJ85" s="31">
        <v>101</v>
      </c>
      <c r="AK85" s="31" t="s">
        <v>421</v>
      </c>
      <c r="AM85" s="31" t="s">
        <v>240</v>
      </c>
      <c r="AR85" s="55">
        <v>41497</v>
      </c>
      <c r="AU85" s="31">
        <v>0</v>
      </c>
      <c r="AV85" s="31">
        <v>1531110.41</v>
      </c>
      <c r="AW85" s="31" t="s">
        <v>559</v>
      </c>
      <c r="AX85" s="31" t="s">
        <v>429</v>
      </c>
      <c r="AY85" s="31" t="s">
        <v>430</v>
      </c>
      <c r="AZ85" s="31">
        <v>685148.3</v>
      </c>
      <c r="BA85" s="31">
        <v>44.748458079999999</v>
      </c>
      <c r="BB85" s="31">
        <v>1</v>
      </c>
      <c r="BC85" s="31">
        <v>29</v>
      </c>
      <c r="BD85" s="31">
        <v>338095</v>
      </c>
      <c r="BE85" s="31" t="s">
        <v>422</v>
      </c>
      <c r="BF85" s="31">
        <v>0</v>
      </c>
      <c r="BG85" s="31">
        <v>2988014.71</v>
      </c>
      <c r="BH85" s="31">
        <v>0</v>
      </c>
      <c r="BI85" s="31">
        <v>0</v>
      </c>
      <c r="BJ85" s="31">
        <v>2988014.71</v>
      </c>
    </row>
    <row r="86" spans="1:62">
      <c r="A86" s="24" t="s">
        <v>78</v>
      </c>
      <c r="B86" s="31">
        <v>1009321</v>
      </c>
      <c r="C86" s="31" t="s">
        <v>256</v>
      </c>
      <c r="D86" s="31" t="s">
        <v>137</v>
      </c>
      <c r="E86" s="31" t="s">
        <v>64</v>
      </c>
      <c r="F86" s="24" t="str">
        <f>IF(Tabela1[[#This Row],[Data Prevista de Conclusão da Obra]]&lt;$C$1,"Atrasada","-")</f>
        <v>-</v>
      </c>
      <c r="G86" s="53" t="s">
        <v>64</v>
      </c>
      <c r="H86" s="24">
        <f>IF(Tabela1[[#This Row],[Levant OS - Jun/17]]=Tabela1[[#This Row],[Situação2]],0,1)</f>
        <v>0</v>
      </c>
      <c r="I86" s="31" t="s">
        <v>240</v>
      </c>
      <c r="J86" s="31" t="s">
        <v>146</v>
      </c>
      <c r="K86" s="31">
        <v>96081150</v>
      </c>
      <c r="L86" s="31" t="s">
        <v>758</v>
      </c>
      <c r="M86" s="31" t="s">
        <v>747</v>
      </c>
      <c r="N86" s="31" t="s">
        <v>257</v>
      </c>
      <c r="O86" s="31" t="s">
        <v>759</v>
      </c>
      <c r="P86" s="31" t="s">
        <v>408</v>
      </c>
      <c r="Q86" s="31">
        <v>0</v>
      </c>
      <c r="R86" s="24" t="s">
        <v>59</v>
      </c>
      <c r="S86" s="31" t="s">
        <v>409</v>
      </c>
      <c r="T86" s="31" t="s">
        <v>583</v>
      </c>
      <c r="U86" s="31" t="s">
        <v>290</v>
      </c>
      <c r="V86" s="31" t="s">
        <v>411</v>
      </c>
      <c r="W86" s="31">
        <v>795563.29</v>
      </c>
      <c r="X86" s="31" t="s">
        <v>412</v>
      </c>
      <c r="Y86" s="31">
        <v>87455531000157</v>
      </c>
      <c r="Z86" s="31">
        <v>0</v>
      </c>
      <c r="AA86" s="31" t="s">
        <v>732</v>
      </c>
      <c r="AB86" s="31" t="s">
        <v>733</v>
      </c>
      <c r="AC86" s="31" t="s">
        <v>734</v>
      </c>
      <c r="AD86" s="31" t="s">
        <v>735</v>
      </c>
      <c r="AE86" s="31" t="s">
        <v>736</v>
      </c>
      <c r="AF86" s="31" t="s">
        <v>737</v>
      </c>
      <c r="AG86" s="31">
        <v>96015000</v>
      </c>
      <c r="AH86" s="31" t="s">
        <v>738</v>
      </c>
      <c r="AJ86" s="31">
        <v>101</v>
      </c>
      <c r="AK86" s="31" t="s">
        <v>421</v>
      </c>
      <c r="AM86" s="31" t="s">
        <v>240</v>
      </c>
      <c r="AV86" s="31">
        <v>795563.29</v>
      </c>
      <c r="BB86" s="31">
        <v>1</v>
      </c>
      <c r="BC86" s="31">
        <v>29</v>
      </c>
      <c r="BD86" s="31">
        <v>420832</v>
      </c>
      <c r="BE86" s="31" t="s">
        <v>422</v>
      </c>
      <c r="BF86" s="31">
        <v>0</v>
      </c>
      <c r="BG86" s="31">
        <v>0</v>
      </c>
      <c r="BH86" s="31">
        <v>0</v>
      </c>
      <c r="BI86" s="31">
        <v>0</v>
      </c>
      <c r="BJ86" s="31">
        <v>0</v>
      </c>
    </row>
    <row r="87" spans="1:62">
      <c r="A87" s="24" t="s">
        <v>78</v>
      </c>
      <c r="B87" s="31">
        <v>1009322</v>
      </c>
      <c r="C87" s="31" t="s">
        <v>258</v>
      </c>
      <c r="D87" s="31" t="s">
        <v>137</v>
      </c>
      <c r="E87" s="31" t="s">
        <v>64</v>
      </c>
      <c r="F87" s="24" t="str">
        <f>IF(Tabela1[[#This Row],[Data Prevista de Conclusão da Obra]]&lt;$C$1,"Atrasada","-")</f>
        <v>-</v>
      </c>
      <c r="G87" s="53" t="s">
        <v>64</v>
      </c>
      <c r="H87" s="24">
        <f>IF(Tabela1[[#This Row],[Levant OS - Jun/17]]=Tabela1[[#This Row],[Situação2]],0,1)</f>
        <v>0</v>
      </c>
      <c r="I87" s="31" t="s">
        <v>240</v>
      </c>
      <c r="J87" s="31" t="s">
        <v>146</v>
      </c>
      <c r="K87" s="31">
        <v>96090130</v>
      </c>
      <c r="L87" s="31" t="s">
        <v>760</v>
      </c>
      <c r="M87" s="31" t="s">
        <v>761</v>
      </c>
      <c r="N87" s="31" t="s">
        <v>257</v>
      </c>
      <c r="O87" s="31" t="s">
        <v>759</v>
      </c>
      <c r="P87" s="31" t="s">
        <v>408</v>
      </c>
      <c r="Q87" s="31">
        <v>0</v>
      </c>
      <c r="R87" s="24" t="s">
        <v>59</v>
      </c>
      <c r="S87" s="31" t="s">
        <v>409</v>
      </c>
      <c r="T87" s="31" t="s">
        <v>546</v>
      </c>
      <c r="U87" s="31" t="s">
        <v>290</v>
      </c>
      <c r="V87" s="31" t="s">
        <v>411</v>
      </c>
      <c r="W87" s="31">
        <v>1526930.41</v>
      </c>
      <c r="X87" s="31" t="s">
        <v>412</v>
      </c>
      <c r="Y87" s="31">
        <v>87455531000157</v>
      </c>
      <c r="Z87" s="31">
        <v>0</v>
      </c>
      <c r="AA87" s="31" t="s">
        <v>732</v>
      </c>
      <c r="AB87" s="31" t="s">
        <v>733</v>
      </c>
      <c r="AC87" s="31" t="s">
        <v>734</v>
      </c>
      <c r="AD87" s="31" t="s">
        <v>735</v>
      </c>
      <c r="AE87" s="31" t="s">
        <v>736</v>
      </c>
      <c r="AF87" s="31" t="s">
        <v>737</v>
      </c>
      <c r="AG87" s="31">
        <v>96015000</v>
      </c>
      <c r="AH87" s="31" t="s">
        <v>738</v>
      </c>
      <c r="AJ87" s="31">
        <v>101</v>
      </c>
      <c r="AK87" s="31" t="s">
        <v>421</v>
      </c>
      <c r="AM87" s="31" t="s">
        <v>240</v>
      </c>
      <c r="AV87" s="31">
        <v>1526930.41</v>
      </c>
      <c r="BB87" s="31">
        <v>1</v>
      </c>
      <c r="BC87" s="31">
        <v>29</v>
      </c>
      <c r="BD87" s="31">
        <v>420832</v>
      </c>
      <c r="BE87" s="31" t="s">
        <v>422</v>
      </c>
      <c r="BF87" s="31">
        <v>0</v>
      </c>
      <c r="BG87" s="31">
        <v>0</v>
      </c>
      <c r="BH87" s="31">
        <v>0</v>
      </c>
      <c r="BI87" s="31">
        <v>0</v>
      </c>
      <c r="BJ87" s="31">
        <v>0</v>
      </c>
    </row>
    <row r="88" spans="1:62">
      <c r="A88" s="24" t="s">
        <v>78</v>
      </c>
      <c r="B88" s="31">
        <v>17717</v>
      </c>
      <c r="C88" s="31" t="s">
        <v>260</v>
      </c>
      <c r="D88" s="31" t="s">
        <v>82</v>
      </c>
      <c r="E88" s="31" t="s">
        <v>64</v>
      </c>
      <c r="F88" s="24" t="str">
        <f>IF(Tabela1[[#This Row],[Data Prevista de Conclusão da Obra]]&lt;$C$1,"Atrasada","-")</f>
        <v>Atrasada</v>
      </c>
      <c r="G88" s="53" t="s">
        <v>64</v>
      </c>
      <c r="H88" s="24">
        <f>IF(Tabela1[[#This Row],[Levant OS - Jun/17]]=Tabela1[[#This Row],[Situação2]],0,1)</f>
        <v>0</v>
      </c>
      <c r="I88" s="31" t="s">
        <v>259</v>
      </c>
      <c r="J88" s="31" t="s">
        <v>55</v>
      </c>
      <c r="K88" s="31">
        <v>84051900</v>
      </c>
      <c r="L88" s="31" t="s">
        <v>762</v>
      </c>
      <c r="N88" s="31" t="s">
        <v>261</v>
      </c>
      <c r="P88" s="31" t="s">
        <v>408</v>
      </c>
      <c r="Q88" s="31">
        <v>0</v>
      </c>
      <c r="R88" s="50">
        <v>41744</v>
      </c>
      <c r="S88" s="31" t="s">
        <v>409</v>
      </c>
      <c r="T88" s="31" t="s">
        <v>546</v>
      </c>
      <c r="U88" s="31" t="s">
        <v>290</v>
      </c>
      <c r="V88" s="31" t="s">
        <v>411</v>
      </c>
      <c r="W88" s="31">
        <v>0</v>
      </c>
      <c r="X88" s="31" t="s">
        <v>412</v>
      </c>
      <c r="Y88" s="31">
        <v>76175884000187</v>
      </c>
      <c r="AA88" s="31" t="s">
        <v>763</v>
      </c>
      <c r="AB88" s="31" t="s">
        <v>764</v>
      </c>
      <c r="AC88" s="31" t="s">
        <v>765</v>
      </c>
      <c r="AD88" s="31" t="s">
        <v>766</v>
      </c>
      <c r="AE88" s="31" t="s">
        <v>767</v>
      </c>
      <c r="AF88" s="31" t="s">
        <v>768</v>
      </c>
      <c r="AG88" s="31">
        <v>84051900</v>
      </c>
      <c r="AH88" s="31" t="s">
        <v>769</v>
      </c>
      <c r="AI88" s="31" t="s">
        <v>770</v>
      </c>
      <c r="AJ88" s="31">
        <v>950</v>
      </c>
      <c r="AK88" s="31" t="s">
        <v>573</v>
      </c>
      <c r="AM88" s="31" t="s">
        <v>259</v>
      </c>
      <c r="AN88" s="31" t="s">
        <v>427</v>
      </c>
      <c r="AO88" s="31">
        <v>262012</v>
      </c>
      <c r="AP88" s="55">
        <v>41223</v>
      </c>
      <c r="AQ88" s="31" t="s">
        <v>771</v>
      </c>
      <c r="AR88" s="55">
        <v>41223</v>
      </c>
      <c r="AS88" s="31">
        <v>311</v>
      </c>
      <c r="AT88" s="31" t="s">
        <v>772</v>
      </c>
      <c r="AU88" s="31">
        <v>1183303.1000000001</v>
      </c>
      <c r="AV88" s="31">
        <v>0</v>
      </c>
      <c r="AW88" s="31" t="s">
        <v>773</v>
      </c>
      <c r="AX88" s="31" t="s">
        <v>429</v>
      </c>
      <c r="AY88" s="31" t="s">
        <v>430</v>
      </c>
      <c r="BB88" s="31">
        <v>1</v>
      </c>
      <c r="BC88" s="31">
        <v>30</v>
      </c>
      <c r="BD88" s="31" t="s">
        <v>774</v>
      </c>
      <c r="BE88" s="31" t="s">
        <v>422</v>
      </c>
      <c r="BF88" s="31">
        <v>0</v>
      </c>
      <c r="BG88" s="31">
        <v>5607325.8600000003</v>
      </c>
      <c r="BH88" s="31">
        <v>0</v>
      </c>
      <c r="BI88" s="31">
        <v>0</v>
      </c>
      <c r="BJ88" s="31">
        <v>5607325.8600000003</v>
      </c>
    </row>
    <row r="89" spans="1:62">
      <c r="A89" s="24" t="s">
        <v>78</v>
      </c>
      <c r="B89" s="31">
        <v>17718</v>
      </c>
      <c r="C89" s="31" t="s">
        <v>262</v>
      </c>
      <c r="D89" s="31" t="s">
        <v>82</v>
      </c>
      <c r="E89" s="31" t="s">
        <v>64</v>
      </c>
      <c r="F89" s="24" t="str">
        <f>IF(Tabela1[[#This Row],[Data Prevista de Conclusão da Obra]]&lt;$C$1,"Atrasada","-")</f>
        <v>Atrasada</v>
      </c>
      <c r="G89" s="53" t="s">
        <v>64</v>
      </c>
      <c r="H89" s="24">
        <f>IF(Tabela1[[#This Row],[Levant OS - Jun/17]]=Tabela1[[#This Row],[Situação2]],0,1)</f>
        <v>0</v>
      </c>
      <c r="I89" s="31" t="s">
        <v>259</v>
      </c>
      <c r="J89" s="31" t="s">
        <v>55</v>
      </c>
      <c r="K89" s="31">
        <v>84051900</v>
      </c>
      <c r="L89" s="31" t="s">
        <v>775</v>
      </c>
      <c r="N89" s="31" t="s">
        <v>261</v>
      </c>
      <c r="P89" s="31" t="s">
        <v>408</v>
      </c>
      <c r="Q89" s="31">
        <v>0</v>
      </c>
      <c r="R89" s="50">
        <v>41744</v>
      </c>
      <c r="S89" s="31" t="s">
        <v>409</v>
      </c>
      <c r="T89" s="31" t="s">
        <v>546</v>
      </c>
      <c r="U89" s="31" t="s">
        <v>290</v>
      </c>
      <c r="V89" s="31" t="s">
        <v>411</v>
      </c>
      <c r="W89" s="31">
        <v>0</v>
      </c>
      <c r="X89" s="31" t="s">
        <v>412</v>
      </c>
      <c r="Y89" s="31">
        <v>76175884000187</v>
      </c>
      <c r="AA89" s="31" t="s">
        <v>763</v>
      </c>
      <c r="AB89" s="31" t="s">
        <v>764</v>
      </c>
      <c r="AC89" s="31" t="s">
        <v>765</v>
      </c>
      <c r="AD89" s="31" t="s">
        <v>766</v>
      </c>
      <c r="AE89" s="31" t="s">
        <v>767</v>
      </c>
      <c r="AF89" s="31" t="s">
        <v>768</v>
      </c>
      <c r="AG89" s="31">
        <v>84051900</v>
      </c>
      <c r="AH89" s="31" t="s">
        <v>769</v>
      </c>
      <c r="AI89" s="31" t="s">
        <v>770</v>
      </c>
      <c r="AJ89" s="31">
        <v>950</v>
      </c>
      <c r="AK89" s="31" t="s">
        <v>573</v>
      </c>
      <c r="AM89" s="31" t="s">
        <v>259</v>
      </c>
      <c r="AN89" s="31" t="s">
        <v>427</v>
      </c>
      <c r="AO89" s="31">
        <v>262012</v>
      </c>
      <c r="AP89" s="55">
        <v>41223</v>
      </c>
      <c r="AQ89" s="31" t="s">
        <v>776</v>
      </c>
      <c r="AR89" s="55">
        <v>41223</v>
      </c>
      <c r="AS89" s="31">
        <v>311</v>
      </c>
      <c r="AT89" s="31" t="s">
        <v>772</v>
      </c>
      <c r="AU89" s="31">
        <v>1275694</v>
      </c>
      <c r="AV89" s="31">
        <v>0</v>
      </c>
      <c r="AW89" s="31" t="s">
        <v>773</v>
      </c>
      <c r="AX89" s="31" t="s">
        <v>429</v>
      </c>
      <c r="AY89" s="31" t="s">
        <v>430</v>
      </c>
      <c r="BB89" s="31">
        <v>1</v>
      </c>
      <c r="BC89" s="31">
        <v>30</v>
      </c>
      <c r="BD89" s="31" t="s">
        <v>774</v>
      </c>
      <c r="BE89" s="31" t="s">
        <v>422</v>
      </c>
      <c r="BF89" s="31">
        <v>0</v>
      </c>
      <c r="BG89" s="31">
        <v>5607325.8600000003</v>
      </c>
      <c r="BH89" s="31">
        <v>0</v>
      </c>
      <c r="BI89" s="31">
        <v>0</v>
      </c>
      <c r="BJ89" s="31">
        <v>5607325.8600000003</v>
      </c>
    </row>
    <row r="90" spans="1:62">
      <c r="A90" s="24" t="s">
        <v>78</v>
      </c>
      <c r="B90" s="31">
        <v>17720</v>
      </c>
      <c r="C90" s="31" t="s">
        <v>263</v>
      </c>
      <c r="D90" s="31" t="s">
        <v>67</v>
      </c>
      <c r="E90" s="31" t="s">
        <v>67</v>
      </c>
      <c r="F90" s="24" t="str">
        <f>IF(Tabela1[[#This Row],[Data Prevista de Conclusão da Obra]]&lt;$C$1,"Atrasada","-")</f>
        <v>-</v>
      </c>
      <c r="G90" s="53" t="s">
        <v>58</v>
      </c>
      <c r="H90" s="24">
        <f>IF(Tabela1[[#This Row],[Levant OS - Jun/17]]=Tabela1[[#This Row],[Situação2]],0,1)</f>
        <v>1</v>
      </c>
      <c r="I90" s="31" t="s">
        <v>259</v>
      </c>
      <c r="J90" s="31" t="s">
        <v>55</v>
      </c>
      <c r="K90" s="31">
        <v>84051900</v>
      </c>
      <c r="L90" s="31" t="s">
        <v>777</v>
      </c>
      <c r="N90" s="31" t="s">
        <v>261</v>
      </c>
      <c r="P90" s="31" t="s">
        <v>408</v>
      </c>
      <c r="Q90" s="31">
        <v>15.78</v>
      </c>
      <c r="R90" s="50">
        <v>43355</v>
      </c>
      <c r="S90" s="31" t="s">
        <v>409</v>
      </c>
      <c r="T90" s="31" t="s">
        <v>447</v>
      </c>
      <c r="U90" s="31" t="s">
        <v>290</v>
      </c>
      <c r="V90" s="31" t="s">
        <v>411</v>
      </c>
      <c r="W90" s="31">
        <v>0</v>
      </c>
      <c r="X90" s="31" t="s">
        <v>412</v>
      </c>
      <c r="Y90" s="31">
        <v>76175884000187</v>
      </c>
      <c r="AA90" s="31" t="s">
        <v>763</v>
      </c>
      <c r="AB90" s="31" t="s">
        <v>764</v>
      </c>
      <c r="AC90" s="31" t="s">
        <v>765</v>
      </c>
      <c r="AD90" s="31" t="s">
        <v>766</v>
      </c>
      <c r="AE90" s="31" t="s">
        <v>767</v>
      </c>
      <c r="AF90" s="31" t="s">
        <v>768</v>
      </c>
      <c r="AG90" s="31">
        <v>84051900</v>
      </c>
      <c r="AH90" s="31" t="s">
        <v>769</v>
      </c>
      <c r="AI90" s="31" t="s">
        <v>770</v>
      </c>
      <c r="AJ90" s="31">
        <v>950</v>
      </c>
      <c r="AK90" s="31" t="s">
        <v>573</v>
      </c>
      <c r="AM90" s="31" t="s">
        <v>259</v>
      </c>
      <c r="AN90" s="31" t="s">
        <v>427</v>
      </c>
      <c r="AO90" s="31">
        <v>262012</v>
      </c>
      <c r="AP90" s="55">
        <v>41186</v>
      </c>
      <c r="AQ90" s="31" t="s">
        <v>778</v>
      </c>
      <c r="AR90" s="55">
        <v>41186</v>
      </c>
      <c r="AS90" s="31">
        <v>308</v>
      </c>
      <c r="AT90" s="55">
        <v>41610</v>
      </c>
      <c r="AU90" s="31">
        <v>1258559.3899999999</v>
      </c>
      <c r="AV90" s="31">
        <v>0</v>
      </c>
      <c r="AW90" s="55">
        <v>42625</v>
      </c>
      <c r="AX90" s="31" t="s">
        <v>429</v>
      </c>
      <c r="AY90" s="31" t="s">
        <v>779</v>
      </c>
      <c r="BB90" s="31">
        <v>1</v>
      </c>
      <c r="BC90" s="31">
        <v>30</v>
      </c>
      <c r="BD90" s="31" t="s">
        <v>774</v>
      </c>
      <c r="BE90" s="31" t="s">
        <v>422</v>
      </c>
      <c r="BF90" s="31">
        <v>0</v>
      </c>
      <c r="BG90" s="31">
        <v>5607325.8600000003</v>
      </c>
      <c r="BH90" s="31">
        <v>0</v>
      </c>
      <c r="BI90" s="31">
        <v>0</v>
      </c>
      <c r="BJ90" s="31">
        <v>5607325.8600000003</v>
      </c>
    </row>
    <row r="91" spans="1:62">
      <c r="A91" s="24" t="s">
        <v>78</v>
      </c>
      <c r="B91" s="31">
        <v>19529</v>
      </c>
      <c r="C91" s="31" t="s">
        <v>264</v>
      </c>
      <c r="D91" s="31" t="s">
        <v>82</v>
      </c>
      <c r="E91" s="31" t="s">
        <v>64</v>
      </c>
      <c r="F91" s="24" t="str">
        <f>IF(Tabela1[[#This Row],[Data Prevista de Conclusão da Obra]]&lt;$C$1,"Atrasada","-")</f>
        <v>-</v>
      </c>
      <c r="G91" s="53" t="s">
        <v>64</v>
      </c>
      <c r="H91" s="24">
        <f>IF(Tabela1[[#This Row],[Levant OS - Jun/17]]=Tabela1[[#This Row],[Situação2]],0,1)</f>
        <v>0</v>
      </c>
      <c r="I91" s="31" t="s">
        <v>259</v>
      </c>
      <c r="J91" s="31" t="s">
        <v>55</v>
      </c>
      <c r="K91" s="31">
        <v>84022418</v>
      </c>
      <c r="L91" s="31" t="s">
        <v>780</v>
      </c>
      <c r="M91" s="31" t="s">
        <v>781</v>
      </c>
      <c r="N91" s="31" t="s">
        <v>265</v>
      </c>
      <c r="O91" s="31" t="s">
        <v>782</v>
      </c>
      <c r="P91" s="31" t="s">
        <v>408</v>
      </c>
      <c r="Q91" s="31">
        <v>0</v>
      </c>
      <c r="R91" s="24" t="s">
        <v>59</v>
      </c>
      <c r="S91" s="31" t="s">
        <v>409</v>
      </c>
      <c r="T91" s="31" t="s">
        <v>546</v>
      </c>
      <c r="U91" s="31" t="s">
        <v>290</v>
      </c>
      <c r="V91" s="31" t="s">
        <v>411</v>
      </c>
      <c r="W91" s="31">
        <v>1497430.54</v>
      </c>
      <c r="X91" s="31" t="s">
        <v>412</v>
      </c>
      <c r="Y91" s="31">
        <v>76175884000187</v>
      </c>
      <c r="AA91" s="31" t="s">
        <v>763</v>
      </c>
      <c r="AB91" s="31" t="s">
        <v>764</v>
      </c>
      <c r="AC91" s="31" t="s">
        <v>765</v>
      </c>
      <c r="AD91" s="31" t="s">
        <v>766</v>
      </c>
      <c r="AE91" s="31" t="s">
        <v>767</v>
      </c>
      <c r="AF91" s="31" t="s">
        <v>768</v>
      </c>
      <c r="AG91" s="31">
        <v>84051900</v>
      </c>
      <c r="AH91" s="31" t="s">
        <v>769</v>
      </c>
      <c r="AI91" s="31" t="s">
        <v>770</v>
      </c>
      <c r="AJ91" s="31">
        <v>950</v>
      </c>
      <c r="AK91" s="31" t="s">
        <v>573</v>
      </c>
      <c r="AM91" s="31" t="s">
        <v>259</v>
      </c>
      <c r="AN91" s="31" t="s">
        <v>427</v>
      </c>
      <c r="AO91" s="31">
        <v>252012</v>
      </c>
      <c r="AP91" s="55">
        <v>41223</v>
      </c>
      <c r="AQ91" s="31" t="s">
        <v>776</v>
      </c>
      <c r="AR91" s="55">
        <v>41223</v>
      </c>
      <c r="AS91" s="31">
        <v>480</v>
      </c>
      <c r="AT91" s="55">
        <v>41700</v>
      </c>
      <c r="AU91" s="31">
        <v>1180730</v>
      </c>
      <c r="AV91" s="31">
        <v>1497430.54</v>
      </c>
      <c r="AZ91" s="31">
        <v>524353.31999999995</v>
      </c>
      <c r="BA91" s="31">
        <v>35.016870969999999</v>
      </c>
      <c r="BB91" s="31">
        <v>1</v>
      </c>
      <c r="BC91" s="31">
        <v>30</v>
      </c>
      <c r="BD91" s="31">
        <v>620696</v>
      </c>
      <c r="BE91" s="31" t="s">
        <v>422</v>
      </c>
      <c r="BF91" s="31">
        <v>0</v>
      </c>
      <c r="BG91" s="31">
        <v>213984.69</v>
      </c>
      <c r="BH91" s="31">
        <v>0</v>
      </c>
      <c r="BI91" s="31">
        <v>0</v>
      </c>
      <c r="BJ91" s="31">
        <v>213984.69</v>
      </c>
    </row>
    <row r="92" spans="1:62">
      <c r="A92" s="24" t="s">
        <v>78</v>
      </c>
      <c r="B92" s="31">
        <v>19531</v>
      </c>
      <c r="C92" s="31" t="s">
        <v>266</v>
      </c>
      <c r="D92" s="31" t="s">
        <v>82</v>
      </c>
      <c r="E92" s="31" t="s">
        <v>64</v>
      </c>
      <c r="F92" s="24" t="str">
        <f>IF(Tabela1[[#This Row],[Data Prevista de Conclusão da Obra]]&lt;$C$1,"Atrasada","-")</f>
        <v>-</v>
      </c>
      <c r="G92" s="53" t="s">
        <v>64</v>
      </c>
      <c r="H92" s="24">
        <f>IF(Tabela1[[#This Row],[Levant OS - Jun/17]]=Tabela1[[#This Row],[Situação2]],0,1)</f>
        <v>0</v>
      </c>
      <c r="I92" s="31" t="s">
        <v>259</v>
      </c>
      <c r="J92" s="31" t="s">
        <v>55</v>
      </c>
      <c r="K92" s="31">
        <v>84053380</v>
      </c>
      <c r="L92" s="31" t="s">
        <v>783</v>
      </c>
      <c r="M92" s="31" t="s">
        <v>784</v>
      </c>
      <c r="N92" s="31" t="s">
        <v>265</v>
      </c>
      <c r="O92" s="31" t="s">
        <v>782</v>
      </c>
      <c r="P92" s="31" t="s">
        <v>408</v>
      </c>
      <c r="Q92" s="31">
        <v>0</v>
      </c>
      <c r="R92" s="24" t="s">
        <v>59</v>
      </c>
      <c r="S92" s="31" t="s">
        <v>409</v>
      </c>
      <c r="T92" s="31" t="s">
        <v>583</v>
      </c>
      <c r="U92" s="31" t="s">
        <v>290</v>
      </c>
      <c r="V92" s="31" t="s">
        <v>411</v>
      </c>
      <c r="W92" s="31">
        <v>808307.38</v>
      </c>
      <c r="X92" s="31" t="s">
        <v>412</v>
      </c>
      <c r="Y92" s="31">
        <v>76175884000187</v>
      </c>
      <c r="AA92" s="31" t="s">
        <v>763</v>
      </c>
      <c r="AB92" s="31" t="s">
        <v>764</v>
      </c>
      <c r="AC92" s="31" t="s">
        <v>765</v>
      </c>
      <c r="AD92" s="31" t="s">
        <v>766</v>
      </c>
      <c r="AE92" s="31" t="s">
        <v>767</v>
      </c>
      <c r="AF92" s="31" t="s">
        <v>768</v>
      </c>
      <c r="AG92" s="31">
        <v>84051900</v>
      </c>
      <c r="AH92" s="31" t="s">
        <v>769</v>
      </c>
      <c r="AI92" s="31" t="s">
        <v>770</v>
      </c>
      <c r="AJ92" s="31">
        <v>950</v>
      </c>
      <c r="AK92" s="31" t="s">
        <v>573</v>
      </c>
      <c r="AM92" s="31" t="s">
        <v>259</v>
      </c>
      <c r="AN92" s="31" t="s">
        <v>427</v>
      </c>
      <c r="AO92" s="31">
        <v>252012</v>
      </c>
      <c r="AP92" s="55">
        <v>41223</v>
      </c>
      <c r="AQ92" s="31" t="s">
        <v>776</v>
      </c>
      <c r="AR92" s="55">
        <v>41223</v>
      </c>
      <c r="AS92" s="31">
        <v>311</v>
      </c>
      <c r="AT92" s="31" t="s">
        <v>772</v>
      </c>
      <c r="AU92" s="31">
        <v>596616</v>
      </c>
      <c r="AV92" s="31">
        <v>808307.38</v>
      </c>
      <c r="AZ92" s="31">
        <v>308250.07</v>
      </c>
      <c r="BA92" s="31">
        <v>38.1352537</v>
      </c>
      <c r="BB92" s="31">
        <v>1</v>
      </c>
      <c r="BC92" s="31">
        <v>30</v>
      </c>
      <c r="BD92" s="31">
        <v>620696</v>
      </c>
      <c r="BE92" s="31" t="s">
        <v>422</v>
      </c>
      <c r="BF92" s="31">
        <v>0</v>
      </c>
      <c r="BG92" s="31">
        <v>213984.69</v>
      </c>
      <c r="BH92" s="31">
        <v>0</v>
      </c>
      <c r="BI92" s="31">
        <v>0</v>
      </c>
      <c r="BJ92" s="31">
        <v>213984.69</v>
      </c>
    </row>
    <row r="93" spans="1:62">
      <c r="A93" s="24" t="s">
        <v>78</v>
      </c>
      <c r="B93" s="31">
        <v>19536</v>
      </c>
      <c r="C93" s="31" t="s">
        <v>267</v>
      </c>
      <c r="D93" s="31" t="s">
        <v>82</v>
      </c>
      <c r="E93" s="31" t="s">
        <v>64</v>
      </c>
      <c r="F93" s="24" t="str">
        <f>IF(Tabela1[[#This Row],[Data Prevista de Conclusão da Obra]]&lt;$C$1,"Atrasada","-")</f>
        <v>-</v>
      </c>
      <c r="G93" s="53" t="s">
        <v>64</v>
      </c>
      <c r="H93" s="24">
        <f>IF(Tabela1[[#This Row],[Levant OS - Jun/17]]=Tabela1[[#This Row],[Situação2]],0,1)</f>
        <v>0</v>
      </c>
      <c r="I93" s="31" t="s">
        <v>259</v>
      </c>
      <c r="J93" s="31" t="s">
        <v>55</v>
      </c>
      <c r="K93" s="31">
        <v>84032320</v>
      </c>
      <c r="L93" s="31" t="s">
        <v>785</v>
      </c>
      <c r="M93" s="31" t="s">
        <v>786</v>
      </c>
      <c r="N93" s="31" t="s">
        <v>265</v>
      </c>
      <c r="O93" s="31" t="s">
        <v>782</v>
      </c>
      <c r="P93" s="31" t="s">
        <v>408</v>
      </c>
      <c r="Q93" s="31">
        <v>0</v>
      </c>
      <c r="R93" s="24" t="s">
        <v>59</v>
      </c>
      <c r="S93" s="31" t="s">
        <v>409</v>
      </c>
      <c r="T93" s="31" t="s">
        <v>583</v>
      </c>
      <c r="U93" s="31" t="s">
        <v>290</v>
      </c>
      <c r="V93" s="31" t="s">
        <v>411</v>
      </c>
      <c r="W93" s="31">
        <v>807158.38</v>
      </c>
      <c r="X93" s="31" t="s">
        <v>412</v>
      </c>
      <c r="Y93" s="31">
        <v>76175884000187</v>
      </c>
      <c r="AA93" s="31" t="s">
        <v>763</v>
      </c>
      <c r="AB93" s="31" t="s">
        <v>764</v>
      </c>
      <c r="AC93" s="31" t="s">
        <v>765</v>
      </c>
      <c r="AD93" s="31" t="s">
        <v>766</v>
      </c>
      <c r="AE93" s="31" t="s">
        <v>767</v>
      </c>
      <c r="AF93" s="31" t="s">
        <v>768</v>
      </c>
      <c r="AG93" s="31">
        <v>84051900</v>
      </c>
      <c r="AH93" s="31" t="s">
        <v>769</v>
      </c>
      <c r="AI93" s="31" t="s">
        <v>770</v>
      </c>
      <c r="AJ93" s="31">
        <v>950</v>
      </c>
      <c r="AK93" s="31" t="s">
        <v>573</v>
      </c>
      <c r="AM93" s="31" t="s">
        <v>259</v>
      </c>
      <c r="AV93" s="31">
        <v>807158.38</v>
      </c>
      <c r="AZ93" s="31">
        <v>308250.07</v>
      </c>
      <c r="BA93" s="31">
        <v>38.189539699999997</v>
      </c>
      <c r="BB93" s="31">
        <v>1</v>
      </c>
      <c r="BC93" s="31">
        <v>30</v>
      </c>
      <c r="BD93" s="31">
        <v>620696</v>
      </c>
      <c r="BE93" s="31" t="s">
        <v>422</v>
      </c>
      <c r="BF93" s="31">
        <v>0</v>
      </c>
      <c r="BG93" s="31">
        <v>213984.69</v>
      </c>
      <c r="BH93" s="31">
        <v>0</v>
      </c>
      <c r="BI93" s="31">
        <v>0</v>
      </c>
      <c r="BJ93" s="31">
        <v>213984.69</v>
      </c>
    </row>
    <row r="94" spans="1:62">
      <c r="A94" s="24" t="s">
        <v>78</v>
      </c>
      <c r="B94" s="31">
        <v>25309</v>
      </c>
      <c r="C94" s="69" t="s">
        <v>1293</v>
      </c>
      <c r="D94" s="31" t="s">
        <v>82</v>
      </c>
      <c r="E94" s="31" t="s">
        <v>64</v>
      </c>
      <c r="F94" s="24" t="str">
        <f>IF(Tabela1[[#This Row],[Data Prevista de Conclusão da Obra]]&lt;$C$1,"Atrasada","-")</f>
        <v>Atrasada</v>
      </c>
      <c r="G94" s="53" t="s">
        <v>89</v>
      </c>
      <c r="H94" s="24">
        <f>IF(Tabela1[[#This Row],[Levant OS - Jun/17]]=Tabela1[[#This Row],[Situação2]],0,1)</f>
        <v>1</v>
      </c>
      <c r="I94" s="31" t="s">
        <v>259</v>
      </c>
      <c r="J94" s="31" t="s">
        <v>55</v>
      </c>
      <c r="K94" s="31">
        <v>84000000</v>
      </c>
      <c r="L94" s="31" t="s">
        <v>787</v>
      </c>
      <c r="M94" s="31" t="s">
        <v>788</v>
      </c>
      <c r="N94" s="31" t="s">
        <v>269</v>
      </c>
      <c r="O94" s="50">
        <v>42746</v>
      </c>
      <c r="P94" s="31" t="s">
        <v>408</v>
      </c>
      <c r="Q94" s="31">
        <v>0</v>
      </c>
      <c r="R94" s="50">
        <v>41733</v>
      </c>
      <c r="S94" s="31" t="s">
        <v>409</v>
      </c>
      <c r="T94" s="31" t="s">
        <v>546</v>
      </c>
      <c r="U94" s="31" t="s">
        <v>290</v>
      </c>
      <c r="V94" s="31" t="s">
        <v>411</v>
      </c>
      <c r="W94" s="31">
        <v>1498221.54</v>
      </c>
      <c r="X94" s="31" t="s">
        <v>412</v>
      </c>
      <c r="Y94" s="31">
        <v>76175884000187</v>
      </c>
      <c r="AA94" s="31" t="s">
        <v>763</v>
      </c>
      <c r="AB94" s="31" t="s">
        <v>764</v>
      </c>
      <c r="AC94" s="31" t="s">
        <v>765</v>
      </c>
      <c r="AD94" s="31" t="s">
        <v>766</v>
      </c>
      <c r="AE94" s="31" t="s">
        <v>767</v>
      </c>
      <c r="AF94" s="31" t="s">
        <v>768</v>
      </c>
      <c r="AG94" s="31">
        <v>84051900</v>
      </c>
      <c r="AH94" s="31" t="s">
        <v>769</v>
      </c>
      <c r="AI94" s="31" t="s">
        <v>770</v>
      </c>
      <c r="AJ94" s="31">
        <v>950</v>
      </c>
      <c r="AK94" s="31" t="s">
        <v>573</v>
      </c>
      <c r="AM94" s="31" t="s">
        <v>259</v>
      </c>
      <c r="AN94" s="31" t="s">
        <v>427</v>
      </c>
      <c r="AO94" s="31">
        <v>35</v>
      </c>
      <c r="AP94" s="31" t="s">
        <v>789</v>
      </c>
      <c r="AQ94" s="31" t="s">
        <v>790</v>
      </c>
      <c r="AR94" s="31" t="s">
        <v>791</v>
      </c>
      <c r="AS94" s="31">
        <v>300</v>
      </c>
      <c r="AT94" s="31" t="s">
        <v>792</v>
      </c>
      <c r="AU94" s="31">
        <v>1425490.08</v>
      </c>
      <c r="AV94" s="31">
        <v>1498221.54</v>
      </c>
      <c r="AW94" s="31" t="s">
        <v>793</v>
      </c>
      <c r="AX94" s="31" t="s">
        <v>429</v>
      </c>
      <c r="AY94" s="31" t="s">
        <v>794</v>
      </c>
      <c r="AZ94" s="31">
        <v>727500</v>
      </c>
      <c r="BA94" s="31">
        <v>48.557571799999998</v>
      </c>
      <c r="BB94" s="31">
        <v>1</v>
      </c>
      <c r="BC94" s="31">
        <v>30</v>
      </c>
      <c r="BD94" s="31">
        <v>675172</v>
      </c>
      <c r="BE94" s="31" t="s">
        <v>422</v>
      </c>
      <c r="BF94" s="31">
        <v>0</v>
      </c>
      <c r="BG94" s="31">
        <v>817606.04</v>
      </c>
      <c r="BH94" s="31">
        <v>0</v>
      </c>
      <c r="BI94" s="31">
        <v>0</v>
      </c>
      <c r="BJ94" s="31">
        <v>817606.04</v>
      </c>
    </row>
    <row r="95" spans="1:62">
      <c r="A95" s="24" t="s">
        <v>78</v>
      </c>
      <c r="B95" s="31">
        <v>25311</v>
      </c>
      <c r="C95" s="31" t="s">
        <v>270</v>
      </c>
      <c r="D95" s="31" t="s">
        <v>82</v>
      </c>
      <c r="E95" s="31" t="s">
        <v>64</v>
      </c>
      <c r="F95" s="24" t="str">
        <f>IF(Tabela1[[#This Row],[Data Prevista de Conclusão da Obra]]&lt;$C$1,"Atrasada","-")</f>
        <v>-</v>
      </c>
      <c r="G95" s="53" t="s">
        <v>64</v>
      </c>
      <c r="H95" s="24">
        <f>IF(Tabela1[[#This Row],[Levant OS - Jun/17]]=Tabela1[[#This Row],[Situação2]],0,1)</f>
        <v>0</v>
      </c>
      <c r="I95" s="31" t="s">
        <v>259</v>
      </c>
      <c r="J95" s="31" t="s">
        <v>55</v>
      </c>
      <c r="K95" s="31">
        <v>84062742</v>
      </c>
      <c r="L95" s="31" t="s">
        <v>795</v>
      </c>
      <c r="M95" s="31" t="s">
        <v>796</v>
      </c>
      <c r="N95" s="31" t="s">
        <v>269</v>
      </c>
      <c r="O95" s="50">
        <v>42746</v>
      </c>
      <c r="P95" s="31" t="s">
        <v>408</v>
      </c>
      <c r="Q95" s="31">
        <v>0</v>
      </c>
      <c r="R95" s="24" t="s">
        <v>59</v>
      </c>
      <c r="S95" s="31" t="s">
        <v>409</v>
      </c>
      <c r="T95" s="31" t="s">
        <v>583</v>
      </c>
      <c r="U95" s="31" t="s">
        <v>290</v>
      </c>
      <c r="V95" s="31" t="s">
        <v>411</v>
      </c>
      <c r="W95" s="31">
        <v>828293.38</v>
      </c>
      <c r="X95" s="31" t="s">
        <v>412</v>
      </c>
      <c r="Y95" s="31">
        <v>76175884000187</v>
      </c>
      <c r="AA95" s="31" t="s">
        <v>763</v>
      </c>
      <c r="AB95" s="31" t="s">
        <v>764</v>
      </c>
      <c r="AC95" s="31" t="s">
        <v>765</v>
      </c>
      <c r="AD95" s="31" t="s">
        <v>766</v>
      </c>
      <c r="AE95" s="31" t="s">
        <v>767</v>
      </c>
      <c r="AF95" s="31" t="s">
        <v>768</v>
      </c>
      <c r="AG95" s="31">
        <v>84051900</v>
      </c>
      <c r="AH95" s="31" t="s">
        <v>769</v>
      </c>
      <c r="AI95" s="31" t="s">
        <v>770</v>
      </c>
      <c r="AJ95" s="31">
        <v>950</v>
      </c>
      <c r="AK95" s="31" t="s">
        <v>573</v>
      </c>
      <c r="AM95" s="31" t="s">
        <v>259</v>
      </c>
      <c r="AN95" s="31" t="s">
        <v>427</v>
      </c>
      <c r="AP95" s="31" t="s">
        <v>789</v>
      </c>
      <c r="AQ95" s="31" t="s">
        <v>771</v>
      </c>
      <c r="AR95" s="31" t="s">
        <v>791</v>
      </c>
      <c r="AS95" s="31">
        <v>302</v>
      </c>
      <c r="AT95" s="31" t="s">
        <v>797</v>
      </c>
      <c r="AU95" s="31">
        <v>1357739.88</v>
      </c>
      <c r="AV95" s="31">
        <v>828293.38</v>
      </c>
      <c r="AZ95" s="31">
        <v>727500</v>
      </c>
      <c r="BA95" s="31">
        <v>87.831198169999993</v>
      </c>
      <c r="BB95" s="31">
        <v>1</v>
      </c>
      <c r="BC95" s="31">
        <v>30</v>
      </c>
      <c r="BD95" s="31">
        <v>675172</v>
      </c>
      <c r="BE95" s="31" t="s">
        <v>422</v>
      </c>
      <c r="BF95" s="31">
        <v>0</v>
      </c>
      <c r="BG95" s="31">
        <v>817606.04</v>
      </c>
      <c r="BH95" s="31">
        <v>0</v>
      </c>
      <c r="BI95" s="31">
        <v>0</v>
      </c>
      <c r="BJ95" s="31">
        <v>817606.04</v>
      </c>
    </row>
    <row r="96" spans="1:62">
      <c r="A96" s="24" t="s">
        <v>78</v>
      </c>
      <c r="B96" s="31">
        <v>25312</v>
      </c>
      <c r="C96" s="31" t="s">
        <v>271</v>
      </c>
      <c r="D96" s="31" t="s">
        <v>82</v>
      </c>
      <c r="E96" s="31" t="s">
        <v>64</v>
      </c>
      <c r="F96" s="24" t="str">
        <f>IF(Tabela1[[#This Row],[Data Prevista de Conclusão da Obra]]&lt;$C$1,"Atrasada","-")</f>
        <v>-</v>
      </c>
      <c r="G96" s="53" t="s">
        <v>64</v>
      </c>
      <c r="H96" s="24">
        <f>IF(Tabela1[[#This Row],[Levant OS - Jun/17]]=Tabela1[[#This Row],[Situação2]],0,1)</f>
        <v>0</v>
      </c>
      <c r="I96" s="31" t="s">
        <v>259</v>
      </c>
      <c r="J96" s="31" t="s">
        <v>55</v>
      </c>
      <c r="K96" s="31">
        <v>84070202</v>
      </c>
      <c r="L96" s="31" t="s">
        <v>798</v>
      </c>
      <c r="M96" s="31" t="s">
        <v>799</v>
      </c>
      <c r="N96" s="31" t="s">
        <v>269</v>
      </c>
      <c r="O96" s="50">
        <v>42746</v>
      </c>
      <c r="P96" s="31" t="s">
        <v>408</v>
      </c>
      <c r="Q96" s="31">
        <v>0</v>
      </c>
      <c r="R96" s="24" t="s">
        <v>59</v>
      </c>
      <c r="S96" s="31" t="s">
        <v>409</v>
      </c>
      <c r="T96" s="31" t="s">
        <v>583</v>
      </c>
      <c r="U96" s="31" t="s">
        <v>290</v>
      </c>
      <c r="V96" s="31" t="s">
        <v>411</v>
      </c>
      <c r="W96" s="31">
        <v>821067.38</v>
      </c>
      <c r="X96" s="31" t="s">
        <v>412</v>
      </c>
      <c r="Y96" s="31">
        <v>76175884000187</v>
      </c>
      <c r="AA96" s="31" t="s">
        <v>763</v>
      </c>
      <c r="AB96" s="31" t="s">
        <v>764</v>
      </c>
      <c r="AC96" s="31" t="s">
        <v>765</v>
      </c>
      <c r="AD96" s="31" t="s">
        <v>766</v>
      </c>
      <c r="AE96" s="31" t="s">
        <v>767</v>
      </c>
      <c r="AF96" s="31" t="s">
        <v>768</v>
      </c>
      <c r="AG96" s="31">
        <v>84051900</v>
      </c>
      <c r="AH96" s="31" t="s">
        <v>769</v>
      </c>
      <c r="AI96" s="31" t="s">
        <v>770</v>
      </c>
      <c r="AJ96" s="31">
        <v>950</v>
      </c>
      <c r="AK96" s="31" t="s">
        <v>573</v>
      </c>
      <c r="AM96" s="31" t="s">
        <v>259</v>
      </c>
      <c r="AN96" s="31" t="s">
        <v>427</v>
      </c>
      <c r="AP96" s="31" t="s">
        <v>789</v>
      </c>
      <c r="AQ96" s="31" t="s">
        <v>790</v>
      </c>
      <c r="AR96" s="31" t="s">
        <v>800</v>
      </c>
      <c r="AS96" s="31">
        <v>302</v>
      </c>
      <c r="AT96" s="31" t="s">
        <v>797</v>
      </c>
      <c r="AU96" s="31">
        <v>639364.07999999996</v>
      </c>
      <c r="AV96" s="31">
        <v>821067.38</v>
      </c>
      <c r="AW96" s="55">
        <v>41282</v>
      </c>
      <c r="AX96" s="31" t="s">
        <v>429</v>
      </c>
      <c r="AY96" s="31" t="s">
        <v>430</v>
      </c>
      <c r="AZ96" s="31">
        <v>340000</v>
      </c>
      <c r="BA96" s="31">
        <v>41.409512579999998</v>
      </c>
      <c r="BB96" s="31">
        <v>1</v>
      </c>
      <c r="BC96" s="31">
        <v>30</v>
      </c>
      <c r="BD96" s="31">
        <v>675172</v>
      </c>
      <c r="BE96" s="31" t="s">
        <v>422</v>
      </c>
      <c r="BF96" s="31">
        <v>0</v>
      </c>
      <c r="BG96" s="31">
        <v>817606.04</v>
      </c>
      <c r="BH96" s="31">
        <v>0</v>
      </c>
      <c r="BI96" s="31">
        <v>0</v>
      </c>
      <c r="BJ96" s="31">
        <v>817606.04</v>
      </c>
    </row>
    <row r="97" spans="1:62">
      <c r="A97" s="24" t="s">
        <v>78</v>
      </c>
      <c r="B97" s="31">
        <v>8969</v>
      </c>
      <c r="C97" s="31" t="s">
        <v>273</v>
      </c>
      <c r="D97" s="31" t="s">
        <v>58</v>
      </c>
      <c r="E97" s="31" t="s">
        <v>58</v>
      </c>
      <c r="F97" s="24" t="str">
        <f>IF(Tabela1[[#This Row],[Data Prevista de Conclusão da Obra]]&lt;$C$1,"Atrasada","-")</f>
        <v>-</v>
      </c>
      <c r="G97" s="53" t="s">
        <v>59</v>
      </c>
      <c r="H97" s="24" t="s">
        <v>59</v>
      </c>
      <c r="I97" s="31" t="s">
        <v>272</v>
      </c>
      <c r="J97" s="31" t="s">
        <v>146</v>
      </c>
      <c r="K97" s="31">
        <v>97010000</v>
      </c>
      <c r="L97" s="31" t="s">
        <v>801</v>
      </c>
      <c r="M97" s="31" t="s">
        <v>573</v>
      </c>
      <c r="N97" s="31" t="s">
        <v>274</v>
      </c>
      <c r="P97" s="31" t="s">
        <v>408</v>
      </c>
      <c r="Q97" s="31">
        <v>47.62</v>
      </c>
      <c r="R97" s="50">
        <v>42885</v>
      </c>
      <c r="S97" s="31" t="s">
        <v>409</v>
      </c>
      <c r="T97" s="31" t="s">
        <v>447</v>
      </c>
      <c r="U97" s="31" t="s">
        <v>290</v>
      </c>
      <c r="V97" s="31" t="s">
        <v>411</v>
      </c>
      <c r="W97" s="31">
        <v>1305613.49</v>
      </c>
      <c r="X97" s="31" t="s">
        <v>412</v>
      </c>
      <c r="Y97" s="31">
        <v>88488366000100</v>
      </c>
      <c r="AA97" s="31" t="s">
        <v>802</v>
      </c>
      <c r="AB97" s="31" t="s">
        <v>803</v>
      </c>
      <c r="AC97" s="31" t="s">
        <v>804</v>
      </c>
      <c r="AD97" s="31" t="s">
        <v>805</v>
      </c>
      <c r="AE97" s="31" t="s">
        <v>806</v>
      </c>
      <c r="AF97" s="31" t="s">
        <v>807</v>
      </c>
      <c r="AG97" s="31">
        <v>97010005</v>
      </c>
      <c r="AH97" s="31" t="s">
        <v>801</v>
      </c>
      <c r="AI97" s="31" t="s">
        <v>808</v>
      </c>
      <c r="AJ97" s="31">
        <v>2277</v>
      </c>
      <c r="AK97" s="31" t="s">
        <v>573</v>
      </c>
      <c r="AM97" s="31" t="s">
        <v>272</v>
      </c>
      <c r="AN97" s="31" t="s">
        <v>427</v>
      </c>
      <c r="AO97" s="31" t="s">
        <v>809</v>
      </c>
      <c r="AP97" s="55">
        <v>42467</v>
      </c>
      <c r="AQ97" s="31" t="s">
        <v>810</v>
      </c>
      <c r="AR97" s="55">
        <v>42589</v>
      </c>
      <c r="AS97" s="31">
        <v>326</v>
      </c>
      <c r="AT97" s="31" t="s">
        <v>811</v>
      </c>
      <c r="AU97" s="31">
        <v>1991997.09</v>
      </c>
      <c r="AV97" s="31">
        <v>1305613.49</v>
      </c>
      <c r="AW97" s="31" t="s">
        <v>812</v>
      </c>
      <c r="AX97" s="31" t="s">
        <v>457</v>
      </c>
      <c r="BB97" s="31">
        <v>1</v>
      </c>
      <c r="BC97" s="31">
        <v>126</v>
      </c>
      <c r="BD97" s="31">
        <v>535761</v>
      </c>
      <c r="BE97" s="31" t="s">
        <v>422</v>
      </c>
      <c r="BF97" s="31">
        <v>0</v>
      </c>
      <c r="BG97" s="31">
        <v>392087.87</v>
      </c>
      <c r="BH97" s="31">
        <v>0</v>
      </c>
      <c r="BI97" s="31">
        <v>0</v>
      </c>
      <c r="BJ97" s="31">
        <v>392087.87</v>
      </c>
    </row>
    <row r="98" spans="1:62">
      <c r="A98" s="24" t="s">
        <v>78</v>
      </c>
      <c r="B98" s="31">
        <v>13418</v>
      </c>
      <c r="C98" s="31" t="s">
        <v>275</v>
      </c>
      <c r="D98" s="31" t="s">
        <v>67</v>
      </c>
      <c r="E98" s="31" t="s">
        <v>67</v>
      </c>
      <c r="F98" s="24" t="str">
        <f>IF(Tabela1[[#This Row],[Data Prevista de Conclusão da Obra]]&lt;$C$1,"Atrasada","-")</f>
        <v>-</v>
      </c>
      <c r="G98" s="53" t="s">
        <v>59</v>
      </c>
      <c r="H98" s="24" t="s">
        <v>59</v>
      </c>
      <c r="I98" s="31" t="s">
        <v>272</v>
      </c>
      <c r="J98" s="31" t="s">
        <v>146</v>
      </c>
      <c r="K98" s="31">
        <v>97010000</v>
      </c>
      <c r="N98" s="31" t="s">
        <v>276</v>
      </c>
      <c r="P98" s="31" t="s">
        <v>408</v>
      </c>
      <c r="Q98" s="31">
        <v>38.590000000000003</v>
      </c>
      <c r="R98" s="50">
        <v>42889</v>
      </c>
      <c r="S98" s="31" t="s">
        <v>409</v>
      </c>
      <c r="T98" s="31" t="s">
        <v>680</v>
      </c>
      <c r="U98" s="31" t="s">
        <v>290</v>
      </c>
      <c r="V98" s="31" t="s">
        <v>411</v>
      </c>
      <c r="W98" s="31">
        <v>614766.46</v>
      </c>
      <c r="X98" s="31" t="s">
        <v>412</v>
      </c>
      <c r="Y98" s="31">
        <v>88488366000100</v>
      </c>
      <c r="AA98" s="31" t="s">
        <v>802</v>
      </c>
      <c r="AB98" s="31" t="s">
        <v>803</v>
      </c>
      <c r="AC98" s="31" t="s">
        <v>804</v>
      </c>
      <c r="AD98" s="31" t="s">
        <v>805</v>
      </c>
      <c r="AE98" s="31" t="s">
        <v>806</v>
      </c>
      <c r="AF98" s="31" t="s">
        <v>807</v>
      </c>
      <c r="AG98" s="31">
        <v>97010005</v>
      </c>
      <c r="AH98" s="31" t="s">
        <v>801</v>
      </c>
      <c r="AI98" s="31" t="s">
        <v>808</v>
      </c>
      <c r="AJ98" s="31">
        <v>2277</v>
      </c>
      <c r="AK98" s="31" t="s">
        <v>573</v>
      </c>
      <c r="AM98" s="31" t="s">
        <v>272</v>
      </c>
      <c r="AN98" s="31" t="s">
        <v>494</v>
      </c>
      <c r="AO98" s="31">
        <v>62012</v>
      </c>
      <c r="AP98" s="31" t="s">
        <v>813</v>
      </c>
      <c r="AQ98" s="31" t="s">
        <v>814</v>
      </c>
      <c r="AR98" s="55">
        <v>41036</v>
      </c>
      <c r="AS98" s="31">
        <v>244</v>
      </c>
      <c r="AT98" s="55">
        <v>41428</v>
      </c>
      <c r="AU98" s="31">
        <v>765220.5</v>
      </c>
      <c r="AV98" s="31">
        <v>614766.46</v>
      </c>
      <c r="AW98" s="55">
        <v>42889</v>
      </c>
      <c r="AX98" s="31" t="s">
        <v>429</v>
      </c>
      <c r="AY98" s="31" t="s">
        <v>430</v>
      </c>
      <c r="BB98" s="31">
        <v>1</v>
      </c>
      <c r="BC98" s="31">
        <v>126</v>
      </c>
      <c r="BD98" s="31">
        <v>571164</v>
      </c>
      <c r="BE98" s="31" t="s">
        <v>422</v>
      </c>
      <c r="BF98" s="31">
        <v>0</v>
      </c>
      <c r="BG98" s="31">
        <v>216971.12</v>
      </c>
      <c r="BH98" s="31">
        <v>0</v>
      </c>
      <c r="BI98" s="31">
        <v>0</v>
      </c>
      <c r="BJ98" s="31">
        <v>216971.12</v>
      </c>
    </row>
    <row r="99" spans="1:62">
      <c r="A99" s="24" t="s">
        <v>60</v>
      </c>
      <c r="B99" s="31">
        <v>19778</v>
      </c>
      <c r="C99" s="31" t="s">
        <v>277</v>
      </c>
      <c r="D99" s="31" t="s">
        <v>82</v>
      </c>
      <c r="E99" s="31" t="s">
        <v>64</v>
      </c>
      <c r="F99" s="24" t="str">
        <f>IF(Tabela1[[#This Row],[Data Prevista de Conclusão da Obra]]&lt;$C$1,"Atrasada","-")</f>
        <v>-</v>
      </c>
      <c r="G99" s="53" t="s">
        <v>64</v>
      </c>
      <c r="H99" s="24">
        <f>IF(Tabela1[[#This Row],[Levant OS - Jun/17]]=Tabela1[[#This Row],[Situação2]],0,1)</f>
        <v>0</v>
      </c>
      <c r="I99" s="31" t="s">
        <v>272</v>
      </c>
      <c r="J99" s="31" t="s">
        <v>146</v>
      </c>
      <c r="K99" s="31">
        <v>97090420</v>
      </c>
      <c r="L99" s="31" t="s">
        <v>815</v>
      </c>
      <c r="M99" s="31" t="s">
        <v>816</v>
      </c>
      <c r="N99" s="31" t="s">
        <v>279</v>
      </c>
      <c r="O99" s="31" t="s">
        <v>817</v>
      </c>
      <c r="P99" s="31" t="s">
        <v>408</v>
      </c>
      <c r="Q99" s="31">
        <v>0</v>
      </c>
      <c r="R99" s="24" t="s">
        <v>59</v>
      </c>
      <c r="S99" s="31" t="s">
        <v>409</v>
      </c>
      <c r="T99" s="31" t="s">
        <v>410</v>
      </c>
      <c r="U99" s="31" t="s">
        <v>290</v>
      </c>
      <c r="V99" s="31" t="s">
        <v>411</v>
      </c>
      <c r="W99" s="31">
        <v>1196771.3899999999</v>
      </c>
      <c r="X99" s="31" t="s">
        <v>412</v>
      </c>
      <c r="Y99" s="31">
        <v>88488366000100</v>
      </c>
      <c r="AA99" s="31" t="s">
        <v>802</v>
      </c>
      <c r="AB99" s="31" t="s">
        <v>803</v>
      </c>
      <c r="AC99" s="31" t="s">
        <v>804</v>
      </c>
      <c r="AD99" s="31" t="s">
        <v>805</v>
      </c>
      <c r="AE99" s="31" t="s">
        <v>806</v>
      </c>
      <c r="AF99" s="31" t="s">
        <v>807</v>
      </c>
      <c r="AG99" s="31">
        <v>97010005</v>
      </c>
      <c r="AH99" s="31" t="s">
        <v>801</v>
      </c>
      <c r="AI99" s="31" t="s">
        <v>808</v>
      </c>
      <c r="AJ99" s="31">
        <v>2277</v>
      </c>
      <c r="AK99" s="31" t="s">
        <v>573</v>
      </c>
      <c r="AM99" s="31" t="s">
        <v>272</v>
      </c>
      <c r="AR99" s="31" t="s">
        <v>818</v>
      </c>
      <c r="AU99" s="31">
        <v>0</v>
      </c>
      <c r="AV99" s="31">
        <v>1196771.3899999999</v>
      </c>
      <c r="AZ99" s="31">
        <v>261014.06</v>
      </c>
      <c r="BA99" s="31">
        <v>21.809851179999999</v>
      </c>
      <c r="BB99" s="31">
        <v>1</v>
      </c>
      <c r="BC99" s="31">
        <v>126</v>
      </c>
      <c r="BD99" s="31">
        <v>586676</v>
      </c>
      <c r="BE99" s="31" t="s">
        <v>422</v>
      </c>
      <c r="BF99" s="31">
        <v>0</v>
      </c>
      <c r="BG99" s="31">
        <v>0</v>
      </c>
      <c r="BH99" s="31">
        <v>1146638.4099999999</v>
      </c>
      <c r="BI99" s="31">
        <v>0</v>
      </c>
      <c r="BJ99" s="31">
        <v>1146638.4099999999</v>
      </c>
    </row>
    <row r="100" spans="1:62">
      <c r="A100" s="24" t="s">
        <v>78</v>
      </c>
      <c r="B100" s="31">
        <v>19910</v>
      </c>
      <c r="C100" s="31" t="s">
        <v>280</v>
      </c>
      <c r="D100" s="31" t="s">
        <v>137</v>
      </c>
      <c r="E100" s="31" t="s">
        <v>64</v>
      </c>
      <c r="F100" s="24" t="str">
        <f>IF(Tabela1[[#This Row],[Data Prevista de Conclusão da Obra]]&lt;$C$1,"Atrasada","-")</f>
        <v>-</v>
      </c>
      <c r="G100" s="53" t="s">
        <v>64</v>
      </c>
      <c r="H100" s="24">
        <f>IF(Tabela1[[#This Row],[Levant OS - Jun/17]]=Tabela1[[#This Row],[Situação2]],0,1)</f>
        <v>0</v>
      </c>
      <c r="I100" s="31" t="s">
        <v>272</v>
      </c>
      <c r="J100" s="31" t="s">
        <v>146</v>
      </c>
      <c r="K100" s="31">
        <v>97040859</v>
      </c>
      <c r="L100" s="31" t="s">
        <v>819</v>
      </c>
      <c r="M100" s="31" t="s">
        <v>820</v>
      </c>
      <c r="N100" s="31" t="s">
        <v>279</v>
      </c>
      <c r="O100" s="31" t="s">
        <v>817</v>
      </c>
      <c r="P100" s="31" t="s">
        <v>408</v>
      </c>
      <c r="Q100" s="31">
        <v>0</v>
      </c>
      <c r="R100" s="24" t="s">
        <v>59</v>
      </c>
      <c r="S100" s="31" t="s">
        <v>409</v>
      </c>
      <c r="T100" s="31" t="s">
        <v>546</v>
      </c>
      <c r="U100" s="31" t="s">
        <v>290</v>
      </c>
      <c r="V100" s="31" t="s">
        <v>411</v>
      </c>
      <c r="W100" s="31">
        <v>1533938.38</v>
      </c>
      <c r="X100" s="31" t="s">
        <v>412</v>
      </c>
      <c r="Y100" s="31">
        <v>88488366000100</v>
      </c>
      <c r="AA100" s="31" t="s">
        <v>802</v>
      </c>
      <c r="AB100" s="31" t="s">
        <v>803</v>
      </c>
      <c r="AC100" s="31" t="s">
        <v>804</v>
      </c>
      <c r="AD100" s="31" t="s">
        <v>805</v>
      </c>
      <c r="AE100" s="31" t="s">
        <v>806</v>
      </c>
      <c r="AF100" s="31" t="s">
        <v>807</v>
      </c>
      <c r="AG100" s="31">
        <v>97010005</v>
      </c>
      <c r="AH100" s="31" t="s">
        <v>801</v>
      </c>
      <c r="AI100" s="31" t="s">
        <v>808</v>
      </c>
      <c r="AJ100" s="31">
        <v>2277</v>
      </c>
      <c r="AK100" s="31" t="s">
        <v>573</v>
      </c>
      <c r="AM100" s="31" t="s">
        <v>272</v>
      </c>
      <c r="AU100" s="31">
        <v>0</v>
      </c>
      <c r="AV100" s="31">
        <v>1533938.38</v>
      </c>
      <c r="AZ100" s="31">
        <v>261014.06</v>
      </c>
      <c r="BA100" s="31">
        <v>21.809851179999999</v>
      </c>
      <c r="BB100" s="31">
        <v>1</v>
      </c>
      <c r="BC100" s="31">
        <v>126</v>
      </c>
      <c r="BD100" s="31">
        <v>586676</v>
      </c>
      <c r="BE100" s="31" t="s">
        <v>422</v>
      </c>
      <c r="BF100" s="31">
        <v>0</v>
      </c>
      <c r="BG100" s="31">
        <v>0</v>
      </c>
      <c r="BH100" s="31">
        <v>1146638.4099999999</v>
      </c>
      <c r="BI100" s="31">
        <v>0</v>
      </c>
      <c r="BJ100" s="31">
        <v>1146638.4099999999</v>
      </c>
    </row>
    <row r="101" spans="1:62">
      <c r="A101" s="24" t="s">
        <v>78</v>
      </c>
      <c r="B101" s="31">
        <v>19965</v>
      </c>
      <c r="C101" s="31" t="s">
        <v>281</v>
      </c>
      <c r="D101" s="31" t="s">
        <v>67</v>
      </c>
      <c r="E101" s="31" t="s">
        <v>67</v>
      </c>
      <c r="F101" s="24" t="str">
        <f>IF(Tabela1[[#This Row],[Data Prevista de Conclusão da Obra]]&lt;$C$1,"Atrasada","-")</f>
        <v>Atrasada</v>
      </c>
      <c r="G101" s="53" t="s">
        <v>67</v>
      </c>
      <c r="H101" s="24">
        <f>IF(Tabela1[[#This Row],[Levant OS - Jun/17]]=Tabela1[[#This Row],[Situação2]],0,1)</f>
        <v>0</v>
      </c>
      <c r="I101" s="31" t="s">
        <v>272</v>
      </c>
      <c r="J101" s="31" t="s">
        <v>146</v>
      </c>
      <c r="K101" s="31">
        <v>97065160</v>
      </c>
      <c r="L101" s="31" t="s">
        <v>821</v>
      </c>
      <c r="M101" s="31" t="s">
        <v>822</v>
      </c>
      <c r="N101" s="31" t="s">
        <v>282</v>
      </c>
      <c r="O101" s="50">
        <v>43019</v>
      </c>
      <c r="P101" s="31" t="s">
        <v>408</v>
      </c>
      <c r="Q101" s="31">
        <v>6.76</v>
      </c>
      <c r="R101" s="50">
        <v>42113</v>
      </c>
      <c r="S101" s="31" t="s">
        <v>409</v>
      </c>
      <c r="T101" s="31" t="s">
        <v>546</v>
      </c>
      <c r="U101" s="31" t="s">
        <v>290</v>
      </c>
      <c r="V101" s="31" t="s">
        <v>411</v>
      </c>
      <c r="W101" s="31">
        <v>1512730.41</v>
      </c>
      <c r="X101" s="31" t="s">
        <v>412</v>
      </c>
      <c r="Y101" s="31">
        <v>88488366000100</v>
      </c>
      <c r="AA101" s="31" t="s">
        <v>802</v>
      </c>
      <c r="AB101" s="31" t="s">
        <v>803</v>
      </c>
      <c r="AC101" s="31" t="s">
        <v>804</v>
      </c>
      <c r="AD101" s="31" t="s">
        <v>805</v>
      </c>
      <c r="AE101" s="31" t="s">
        <v>806</v>
      </c>
      <c r="AF101" s="31" t="s">
        <v>807</v>
      </c>
      <c r="AG101" s="31">
        <v>97010005</v>
      </c>
      <c r="AH101" s="31" t="s">
        <v>801</v>
      </c>
      <c r="AI101" s="31" t="s">
        <v>808</v>
      </c>
      <c r="AJ101" s="31">
        <v>2277</v>
      </c>
      <c r="AK101" s="31" t="s">
        <v>573</v>
      </c>
      <c r="AM101" s="31" t="s">
        <v>272</v>
      </c>
      <c r="AP101" s="31" t="s">
        <v>823</v>
      </c>
      <c r="AR101" s="31" t="s">
        <v>818</v>
      </c>
      <c r="AU101" s="31">
        <v>0</v>
      </c>
      <c r="AV101" s="31">
        <v>1512730.41</v>
      </c>
      <c r="AW101" s="31" t="s">
        <v>824</v>
      </c>
      <c r="AX101" s="31" t="s">
        <v>429</v>
      </c>
      <c r="AY101" s="31" t="s">
        <v>430</v>
      </c>
      <c r="AZ101" s="31">
        <v>755736.57</v>
      </c>
      <c r="BA101" s="31">
        <v>49.958443690000003</v>
      </c>
      <c r="BB101" s="31">
        <v>1</v>
      </c>
      <c r="BC101" s="31">
        <v>126</v>
      </c>
      <c r="BD101" s="31">
        <v>635103</v>
      </c>
      <c r="BE101" s="31" t="s">
        <v>422</v>
      </c>
      <c r="BF101" s="31">
        <v>0</v>
      </c>
      <c r="BG101" s="31">
        <v>881659.46</v>
      </c>
      <c r="BH101" s="31">
        <v>0</v>
      </c>
      <c r="BI101" s="31">
        <v>0</v>
      </c>
      <c r="BJ101" s="31">
        <v>881659.46</v>
      </c>
    </row>
    <row r="102" spans="1:62">
      <c r="A102" s="24" t="s">
        <v>78</v>
      </c>
      <c r="B102" s="31">
        <v>20098</v>
      </c>
      <c r="C102" s="31" t="s">
        <v>283</v>
      </c>
      <c r="D102" s="31" t="s">
        <v>137</v>
      </c>
      <c r="E102" s="31" t="s">
        <v>64</v>
      </c>
      <c r="F102" s="24" t="str">
        <f>IF(Tabela1[[#This Row],[Data Prevista de Conclusão da Obra]]&lt;$C$1,"Atrasada","-")</f>
        <v>-</v>
      </c>
      <c r="G102" s="53" t="s">
        <v>64</v>
      </c>
      <c r="H102" s="24">
        <f>IF(Tabela1[[#This Row],[Levant OS - Jun/17]]=Tabela1[[#This Row],[Situação2]],0,1)</f>
        <v>0</v>
      </c>
      <c r="I102" s="31" t="s">
        <v>272</v>
      </c>
      <c r="J102" s="31" t="s">
        <v>146</v>
      </c>
      <c r="K102" s="31">
        <v>97110140</v>
      </c>
      <c r="L102" s="31" t="s">
        <v>825</v>
      </c>
      <c r="M102" s="31" t="s">
        <v>826</v>
      </c>
      <c r="N102" s="31" t="s">
        <v>279</v>
      </c>
      <c r="O102" s="31" t="s">
        <v>817</v>
      </c>
      <c r="P102" s="31" t="s">
        <v>408</v>
      </c>
      <c r="Q102" s="31">
        <v>0</v>
      </c>
      <c r="R102" s="24" t="s">
        <v>59</v>
      </c>
      <c r="S102" s="31" t="s">
        <v>409</v>
      </c>
      <c r="T102" s="31" t="s">
        <v>546</v>
      </c>
      <c r="U102" s="31" t="s">
        <v>290</v>
      </c>
      <c r="V102" s="31" t="s">
        <v>411</v>
      </c>
      <c r="W102" s="31">
        <v>1527584.98</v>
      </c>
      <c r="X102" s="31" t="s">
        <v>412</v>
      </c>
      <c r="Y102" s="31">
        <v>88488366000100</v>
      </c>
      <c r="AA102" s="31" t="s">
        <v>802</v>
      </c>
      <c r="AB102" s="31" t="s">
        <v>803</v>
      </c>
      <c r="AC102" s="31" t="s">
        <v>804</v>
      </c>
      <c r="AD102" s="31" t="s">
        <v>805</v>
      </c>
      <c r="AE102" s="31" t="s">
        <v>806</v>
      </c>
      <c r="AF102" s="31" t="s">
        <v>807</v>
      </c>
      <c r="AG102" s="31">
        <v>97010005</v>
      </c>
      <c r="AH102" s="31" t="s">
        <v>801</v>
      </c>
      <c r="AI102" s="31" t="s">
        <v>808</v>
      </c>
      <c r="AJ102" s="31">
        <v>2277</v>
      </c>
      <c r="AK102" s="31" t="s">
        <v>573</v>
      </c>
      <c r="AM102" s="31" t="s">
        <v>272</v>
      </c>
      <c r="AN102" s="31" t="s">
        <v>427</v>
      </c>
      <c r="AR102" s="31" t="s">
        <v>818</v>
      </c>
      <c r="AU102" s="31">
        <v>0</v>
      </c>
      <c r="AV102" s="31">
        <v>1527584.98</v>
      </c>
      <c r="AZ102" s="31">
        <v>261014.06</v>
      </c>
      <c r="BA102" s="31">
        <v>21.809851179999999</v>
      </c>
      <c r="BB102" s="31">
        <v>1</v>
      </c>
      <c r="BC102" s="31">
        <v>126</v>
      </c>
      <c r="BD102" s="31">
        <v>586676</v>
      </c>
      <c r="BE102" s="31" t="s">
        <v>422</v>
      </c>
      <c r="BF102" s="31">
        <v>0</v>
      </c>
      <c r="BG102" s="31">
        <v>0</v>
      </c>
      <c r="BH102" s="31">
        <v>1146638.4099999999</v>
      </c>
      <c r="BI102" s="31">
        <v>0</v>
      </c>
      <c r="BJ102" s="31">
        <v>1146638.4099999999</v>
      </c>
    </row>
    <row r="103" spans="1:62">
      <c r="A103" s="24" t="s">
        <v>78</v>
      </c>
      <c r="B103" s="31">
        <v>24531</v>
      </c>
      <c r="C103" s="31" t="s">
        <v>268</v>
      </c>
      <c r="D103" s="31" t="s">
        <v>137</v>
      </c>
      <c r="E103" s="31" t="s">
        <v>64</v>
      </c>
      <c r="F103" s="24" t="str">
        <f>IF(Tabela1[[#This Row],[Data Prevista de Conclusão da Obra]]&lt;$C$1,"Atrasada","-")</f>
        <v>-</v>
      </c>
      <c r="G103" s="53" t="s">
        <v>64</v>
      </c>
      <c r="H103" s="24">
        <f>IF(Tabela1[[#This Row],[Levant OS - Jun/17]]=Tabela1[[#This Row],[Situação2]],0,1)</f>
        <v>0</v>
      </c>
      <c r="I103" s="31" t="s">
        <v>272</v>
      </c>
      <c r="J103" s="31" t="s">
        <v>146</v>
      </c>
      <c r="K103" s="31">
        <v>97090510</v>
      </c>
      <c r="L103" s="31" t="s">
        <v>827</v>
      </c>
      <c r="M103" s="31" t="s">
        <v>828</v>
      </c>
      <c r="N103" s="31" t="s">
        <v>284</v>
      </c>
      <c r="O103" s="31" t="s">
        <v>829</v>
      </c>
      <c r="P103" s="31" t="s">
        <v>408</v>
      </c>
      <c r="Q103" s="31">
        <v>0</v>
      </c>
      <c r="R103" s="24" t="s">
        <v>59</v>
      </c>
      <c r="S103" s="31" t="s">
        <v>409</v>
      </c>
      <c r="T103" s="31" t="s">
        <v>583</v>
      </c>
      <c r="U103" s="31" t="s">
        <v>290</v>
      </c>
      <c r="V103" s="31" t="s">
        <v>411</v>
      </c>
      <c r="W103" s="31">
        <v>811489.49</v>
      </c>
      <c r="X103" s="31" t="s">
        <v>412</v>
      </c>
      <c r="Y103" s="31">
        <v>88488366000100</v>
      </c>
      <c r="AA103" s="31" t="s">
        <v>802</v>
      </c>
      <c r="AB103" s="31" t="s">
        <v>803</v>
      </c>
      <c r="AC103" s="31" t="s">
        <v>804</v>
      </c>
      <c r="AD103" s="31" t="s">
        <v>805</v>
      </c>
      <c r="AE103" s="31" t="s">
        <v>806</v>
      </c>
      <c r="AF103" s="31" t="s">
        <v>807</v>
      </c>
      <c r="AG103" s="31">
        <v>97010005</v>
      </c>
      <c r="AH103" s="31" t="s">
        <v>801</v>
      </c>
      <c r="AI103" s="31" t="s">
        <v>808</v>
      </c>
      <c r="AJ103" s="31">
        <v>2277</v>
      </c>
      <c r="AK103" s="31" t="s">
        <v>573</v>
      </c>
      <c r="AM103" s="31" t="s">
        <v>272</v>
      </c>
      <c r="AR103" s="31" t="s">
        <v>818</v>
      </c>
      <c r="AU103" s="31">
        <v>0</v>
      </c>
      <c r="AV103" s="31">
        <v>811489.49</v>
      </c>
      <c r="AZ103" s="31">
        <v>135996.32999999999</v>
      </c>
      <c r="BA103" s="31">
        <v>16.758852910000002</v>
      </c>
      <c r="BB103" s="31">
        <v>1</v>
      </c>
      <c r="BC103" s="31">
        <v>126</v>
      </c>
      <c r="BD103" s="31">
        <v>622478</v>
      </c>
      <c r="BE103" s="31" t="s">
        <v>422</v>
      </c>
      <c r="BF103" s="31">
        <v>0</v>
      </c>
      <c r="BG103" s="31">
        <v>3865845.91</v>
      </c>
      <c r="BH103" s="31">
        <v>0</v>
      </c>
      <c r="BI103" s="31">
        <v>0</v>
      </c>
      <c r="BJ103" s="31">
        <v>3865845.91</v>
      </c>
    </row>
    <row r="104" spans="1:62">
      <c r="A104" s="24" t="s">
        <v>78</v>
      </c>
      <c r="B104" s="31">
        <v>24532</v>
      </c>
      <c r="C104" s="31" t="s">
        <v>285</v>
      </c>
      <c r="D104" s="31" t="s">
        <v>137</v>
      </c>
      <c r="E104" s="31" t="s">
        <v>67</v>
      </c>
      <c r="F104" s="24" t="str">
        <f>IF(Tabela1[[#This Row],[Data Prevista de Conclusão da Obra]]&lt;$C$1,"Atrasada","-")</f>
        <v>Atrasada</v>
      </c>
      <c r="G104" s="53" t="s">
        <v>67</v>
      </c>
      <c r="H104" s="24">
        <f>IF(Tabela1[[#This Row],[Levant OS - Jun/17]]=Tabela1[[#This Row],[Situação2]],0,1)</f>
        <v>0</v>
      </c>
      <c r="I104" s="31" t="s">
        <v>272</v>
      </c>
      <c r="J104" s="31" t="s">
        <v>146</v>
      </c>
      <c r="K104" s="31">
        <v>97030764</v>
      </c>
      <c r="L104" s="31" t="s">
        <v>830</v>
      </c>
      <c r="M104" s="31" t="s">
        <v>831</v>
      </c>
      <c r="N104" s="31" t="s">
        <v>284</v>
      </c>
      <c r="O104" s="31" t="s">
        <v>829</v>
      </c>
      <c r="P104" s="31" t="s">
        <v>408</v>
      </c>
      <c r="Q104" s="31">
        <v>19.440000000000001</v>
      </c>
      <c r="R104" s="50">
        <v>42453</v>
      </c>
      <c r="S104" s="31" t="s">
        <v>409</v>
      </c>
      <c r="T104" s="31" t="s">
        <v>546</v>
      </c>
      <c r="U104" s="31" t="s">
        <v>290</v>
      </c>
      <c r="V104" s="31" t="s">
        <v>411</v>
      </c>
      <c r="W104" s="31">
        <v>1537625.78</v>
      </c>
      <c r="X104" s="31" t="s">
        <v>412</v>
      </c>
      <c r="Y104" s="31">
        <v>88488366000100</v>
      </c>
      <c r="AA104" s="31" t="s">
        <v>802</v>
      </c>
      <c r="AB104" s="31" t="s">
        <v>803</v>
      </c>
      <c r="AC104" s="31" t="s">
        <v>804</v>
      </c>
      <c r="AD104" s="31" t="s">
        <v>805</v>
      </c>
      <c r="AE104" s="31" t="s">
        <v>806</v>
      </c>
      <c r="AF104" s="31" t="s">
        <v>807</v>
      </c>
      <c r="AG104" s="31">
        <v>97010005</v>
      </c>
      <c r="AH104" s="31" t="s">
        <v>801</v>
      </c>
      <c r="AI104" s="31" t="s">
        <v>808</v>
      </c>
      <c r="AJ104" s="31">
        <v>2277</v>
      </c>
      <c r="AK104" s="31" t="s">
        <v>573</v>
      </c>
      <c r="AM104" s="31" t="s">
        <v>272</v>
      </c>
      <c r="AP104" s="31" t="s">
        <v>823</v>
      </c>
      <c r="AR104" s="31" t="s">
        <v>818</v>
      </c>
      <c r="AU104" s="31">
        <v>0</v>
      </c>
      <c r="AV104" s="31">
        <v>1537625.78</v>
      </c>
      <c r="AW104" s="31" t="s">
        <v>832</v>
      </c>
      <c r="AX104" s="31" t="s">
        <v>429</v>
      </c>
      <c r="AY104" s="31" t="s">
        <v>430</v>
      </c>
      <c r="AZ104" s="31">
        <v>769930.21</v>
      </c>
      <c r="BA104" s="31">
        <v>50.072665270000002</v>
      </c>
      <c r="BB104" s="31">
        <v>1</v>
      </c>
      <c r="BC104" s="31">
        <v>126</v>
      </c>
      <c r="BD104" s="31">
        <v>622478</v>
      </c>
      <c r="BE104" s="31" t="s">
        <v>422</v>
      </c>
      <c r="BF104" s="31">
        <v>0</v>
      </c>
      <c r="BG104" s="31">
        <v>3865845.91</v>
      </c>
      <c r="BH104" s="31">
        <v>0</v>
      </c>
      <c r="BI104" s="31">
        <v>0</v>
      </c>
      <c r="BJ104" s="31">
        <v>3865845.91</v>
      </c>
    </row>
    <row r="105" spans="1:62">
      <c r="A105" s="24" t="s">
        <v>78</v>
      </c>
      <c r="B105" s="31">
        <v>24533</v>
      </c>
      <c r="C105" s="31" t="s">
        <v>286</v>
      </c>
      <c r="D105" s="31" t="s">
        <v>137</v>
      </c>
      <c r="E105" s="31" t="s">
        <v>64</v>
      </c>
      <c r="F105" s="24" t="str">
        <f>IF(Tabela1[[#This Row],[Data Prevista de Conclusão da Obra]]&lt;$C$1,"Atrasada","-")</f>
        <v>-</v>
      </c>
      <c r="G105" s="53" t="s">
        <v>64</v>
      </c>
      <c r="H105" s="24">
        <f>IF(Tabela1[[#This Row],[Levant OS - Jun/17]]=Tabela1[[#This Row],[Situação2]],0,1)</f>
        <v>0</v>
      </c>
      <c r="I105" s="31" t="s">
        <v>272</v>
      </c>
      <c r="J105" s="31" t="s">
        <v>146</v>
      </c>
      <c r="K105" s="31">
        <v>97060540</v>
      </c>
      <c r="L105" s="31" t="s">
        <v>833</v>
      </c>
      <c r="M105" s="31" t="s">
        <v>834</v>
      </c>
      <c r="N105" s="31" t="s">
        <v>284</v>
      </c>
      <c r="O105" s="31" t="s">
        <v>829</v>
      </c>
      <c r="P105" s="31" t="s">
        <v>408</v>
      </c>
      <c r="Q105" s="31">
        <v>0</v>
      </c>
      <c r="R105" s="24" t="s">
        <v>59</v>
      </c>
      <c r="S105" s="31" t="s">
        <v>409</v>
      </c>
      <c r="T105" s="31" t="s">
        <v>583</v>
      </c>
      <c r="U105" s="31" t="s">
        <v>290</v>
      </c>
      <c r="V105" s="31" t="s">
        <v>411</v>
      </c>
      <c r="W105" s="31">
        <v>812020.49</v>
      </c>
      <c r="X105" s="31" t="s">
        <v>412</v>
      </c>
      <c r="Y105" s="31">
        <v>88488366000100</v>
      </c>
      <c r="AA105" s="31" t="s">
        <v>802</v>
      </c>
      <c r="AB105" s="31" t="s">
        <v>803</v>
      </c>
      <c r="AC105" s="31" t="s">
        <v>804</v>
      </c>
      <c r="AD105" s="31" t="s">
        <v>805</v>
      </c>
      <c r="AE105" s="31" t="s">
        <v>806</v>
      </c>
      <c r="AF105" s="31" t="s">
        <v>807</v>
      </c>
      <c r="AG105" s="31">
        <v>97010005</v>
      </c>
      <c r="AH105" s="31" t="s">
        <v>801</v>
      </c>
      <c r="AI105" s="31" t="s">
        <v>808</v>
      </c>
      <c r="AJ105" s="31">
        <v>2277</v>
      </c>
      <c r="AK105" s="31" t="s">
        <v>573</v>
      </c>
      <c r="AM105" s="31" t="s">
        <v>272</v>
      </c>
      <c r="AR105" s="31" t="s">
        <v>818</v>
      </c>
      <c r="AU105" s="31">
        <v>0</v>
      </c>
      <c r="AV105" s="31">
        <v>812020.49</v>
      </c>
      <c r="AZ105" s="31">
        <v>135740.14000000001</v>
      </c>
      <c r="BA105" s="31">
        <v>16.716344190000001</v>
      </c>
      <c r="BB105" s="31">
        <v>1</v>
      </c>
      <c r="BC105" s="31">
        <v>126</v>
      </c>
      <c r="BD105" s="31">
        <v>622478</v>
      </c>
      <c r="BE105" s="31" t="s">
        <v>422</v>
      </c>
      <c r="BF105" s="31">
        <v>0</v>
      </c>
      <c r="BG105" s="31">
        <v>3865845.91</v>
      </c>
      <c r="BH105" s="31">
        <v>0</v>
      </c>
      <c r="BI105" s="31">
        <v>0</v>
      </c>
      <c r="BJ105" s="31">
        <v>3865845.91</v>
      </c>
    </row>
    <row r="106" spans="1:62">
      <c r="A106" s="24" t="s">
        <v>78</v>
      </c>
      <c r="B106" s="31">
        <v>24534</v>
      </c>
      <c r="C106" s="31" t="s">
        <v>287</v>
      </c>
      <c r="D106" s="31" t="s">
        <v>137</v>
      </c>
      <c r="E106" s="31" t="s">
        <v>67</v>
      </c>
      <c r="F106" s="24" t="str">
        <f>IF(Tabela1[[#This Row],[Data Prevista de Conclusão da Obra]]&lt;$C$1,"Atrasada","-")</f>
        <v>Atrasada</v>
      </c>
      <c r="G106" s="53" t="s">
        <v>67</v>
      </c>
      <c r="H106" s="24">
        <f>IF(Tabela1[[#This Row],[Levant OS - Jun/17]]=Tabela1[[#This Row],[Situação2]],0,1)</f>
        <v>0</v>
      </c>
      <c r="I106" s="31" t="s">
        <v>272</v>
      </c>
      <c r="J106" s="31" t="s">
        <v>146</v>
      </c>
      <c r="K106" s="31">
        <v>97060330</v>
      </c>
      <c r="L106" s="31" t="s">
        <v>835</v>
      </c>
      <c r="M106" s="31" t="s">
        <v>836</v>
      </c>
      <c r="N106" s="31" t="s">
        <v>284</v>
      </c>
      <c r="O106" s="31" t="s">
        <v>829</v>
      </c>
      <c r="P106" s="31" t="s">
        <v>408</v>
      </c>
      <c r="Q106" s="31">
        <v>1.67</v>
      </c>
      <c r="R106" s="50">
        <v>42009</v>
      </c>
      <c r="S106" s="31" t="s">
        <v>409</v>
      </c>
      <c r="T106" s="31" t="s">
        <v>546</v>
      </c>
      <c r="U106" s="31" t="s">
        <v>290</v>
      </c>
      <c r="V106" s="31" t="s">
        <v>411</v>
      </c>
      <c r="W106" s="31">
        <v>1518709.11</v>
      </c>
      <c r="X106" s="31" t="s">
        <v>412</v>
      </c>
      <c r="Y106" s="31">
        <v>88488366000100</v>
      </c>
      <c r="AA106" s="31" t="s">
        <v>802</v>
      </c>
      <c r="AB106" s="31" t="s">
        <v>803</v>
      </c>
      <c r="AC106" s="31" t="s">
        <v>804</v>
      </c>
      <c r="AD106" s="31" t="s">
        <v>805</v>
      </c>
      <c r="AE106" s="31" t="s">
        <v>806</v>
      </c>
      <c r="AF106" s="31" t="s">
        <v>807</v>
      </c>
      <c r="AG106" s="31">
        <v>97010005</v>
      </c>
      <c r="AH106" s="31" t="s">
        <v>801</v>
      </c>
      <c r="AI106" s="31" t="s">
        <v>808</v>
      </c>
      <c r="AJ106" s="31">
        <v>2277</v>
      </c>
      <c r="AK106" s="31" t="s">
        <v>573</v>
      </c>
      <c r="AM106" s="31" t="s">
        <v>272</v>
      </c>
      <c r="AU106" s="31">
        <v>0</v>
      </c>
      <c r="AV106" s="31">
        <v>1518709.11</v>
      </c>
      <c r="AW106" s="55">
        <v>42677</v>
      </c>
      <c r="AX106" s="31" t="s">
        <v>429</v>
      </c>
      <c r="AY106" s="31" t="s">
        <v>430</v>
      </c>
      <c r="AZ106" s="31">
        <v>765493.72</v>
      </c>
      <c r="BA106" s="31">
        <v>50.404235739999997</v>
      </c>
      <c r="BB106" s="31">
        <v>1</v>
      </c>
      <c r="BC106" s="31">
        <v>126</v>
      </c>
      <c r="BD106" s="31">
        <v>622478</v>
      </c>
      <c r="BE106" s="31" t="s">
        <v>422</v>
      </c>
      <c r="BF106" s="31">
        <v>0</v>
      </c>
      <c r="BG106" s="31">
        <v>3865845.91</v>
      </c>
      <c r="BH106" s="31">
        <v>0</v>
      </c>
      <c r="BI106" s="31">
        <v>0</v>
      </c>
      <c r="BJ106" s="31">
        <v>3865845.91</v>
      </c>
    </row>
    <row r="107" spans="1:62">
      <c r="A107" s="24" t="s">
        <v>78</v>
      </c>
      <c r="B107" s="31">
        <v>24535</v>
      </c>
      <c r="C107" s="31" t="s">
        <v>288</v>
      </c>
      <c r="D107" s="31" t="s">
        <v>137</v>
      </c>
      <c r="E107" s="31" t="s">
        <v>67</v>
      </c>
      <c r="F107" s="24" t="str">
        <f>IF(Tabela1[[#This Row],[Data Prevista de Conclusão da Obra]]&lt;$C$1,"Atrasada","-")</f>
        <v>Atrasada</v>
      </c>
      <c r="G107" s="53" t="s">
        <v>67</v>
      </c>
      <c r="H107" s="24">
        <f>IF(Tabela1[[#This Row],[Levant OS - Jun/17]]=Tabela1[[#This Row],[Situação2]],0,1)</f>
        <v>0</v>
      </c>
      <c r="I107" s="31" t="s">
        <v>272</v>
      </c>
      <c r="J107" s="31" t="s">
        <v>146</v>
      </c>
      <c r="K107" s="31">
        <v>97037000</v>
      </c>
      <c r="L107" s="31" t="s">
        <v>837</v>
      </c>
      <c r="M107" s="31" t="s">
        <v>838</v>
      </c>
      <c r="N107" s="31" t="s">
        <v>284</v>
      </c>
      <c r="O107" s="31" t="s">
        <v>829</v>
      </c>
      <c r="P107" s="31" t="s">
        <v>408</v>
      </c>
      <c r="Q107" s="31">
        <v>19.3</v>
      </c>
      <c r="R107" s="50">
        <v>42453</v>
      </c>
      <c r="S107" s="31" t="s">
        <v>409</v>
      </c>
      <c r="T107" s="31" t="s">
        <v>546</v>
      </c>
      <c r="U107" s="31" t="s">
        <v>290</v>
      </c>
      <c r="V107" s="31" t="s">
        <v>411</v>
      </c>
      <c r="W107" s="31">
        <v>1533985.24</v>
      </c>
      <c r="X107" s="31" t="s">
        <v>412</v>
      </c>
      <c r="Y107" s="31">
        <v>88488366000100</v>
      </c>
      <c r="AA107" s="31" t="s">
        <v>802</v>
      </c>
      <c r="AB107" s="31" t="s">
        <v>803</v>
      </c>
      <c r="AC107" s="31" t="s">
        <v>804</v>
      </c>
      <c r="AD107" s="31" t="s">
        <v>805</v>
      </c>
      <c r="AE107" s="31" t="s">
        <v>806</v>
      </c>
      <c r="AF107" s="31" t="s">
        <v>807</v>
      </c>
      <c r="AG107" s="31">
        <v>97010005</v>
      </c>
      <c r="AH107" s="31" t="s">
        <v>801</v>
      </c>
      <c r="AI107" s="31" t="s">
        <v>808</v>
      </c>
      <c r="AJ107" s="31">
        <v>2277</v>
      </c>
      <c r="AK107" s="31" t="s">
        <v>573</v>
      </c>
      <c r="AM107" s="31" t="s">
        <v>272</v>
      </c>
      <c r="AP107" s="31" t="s">
        <v>823</v>
      </c>
      <c r="AR107" s="31" t="s">
        <v>818</v>
      </c>
      <c r="AS107" s="31">
        <v>360</v>
      </c>
      <c r="AT107" s="55">
        <v>41983</v>
      </c>
      <c r="AU107" s="31">
        <v>1533006.08</v>
      </c>
      <c r="AV107" s="31">
        <v>1533985.24</v>
      </c>
      <c r="AW107" s="31" t="s">
        <v>832</v>
      </c>
      <c r="AX107" s="31" t="s">
        <v>429</v>
      </c>
      <c r="AY107" s="31" t="s">
        <v>430</v>
      </c>
      <c r="AZ107" s="31">
        <v>765780.1</v>
      </c>
      <c r="BA107" s="31">
        <v>49.920956080000003</v>
      </c>
      <c r="BB107" s="31">
        <v>1</v>
      </c>
      <c r="BC107" s="31">
        <v>126</v>
      </c>
      <c r="BD107" s="31">
        <v>622478</v>
      </c>
      <c r="BE107" s="31" t="s">
        <v>422</v>
      </c>
      <c r="BF107" s="31">
        <v>0</v>
      </c>
      <c r="BG107" s="31">
        <v>3865845.91</v>
      </c>
      <c r="BH107" s="31">
        <v>0</v>
      </c>
      <c r="BI107" s="31">
        <v>0</v>
      </c>
      <c r="BJ107" s="31">
        <v>3865845.91</v>
      </c>
    </row>
    <row r="108" spans="1:62">
      <c r="A108" s="24" t="s">
        <v>78</v>
      </c>
      <c r="B108" s="31">
        <v>24536</v>
      </c>
      <c r="C108" s="31" t="s">
        <v>289</v>
      </c>
      <c r="D108" s="31" t="s">
        <v>137</v>
      </c>
      <c r="E108" s="31" t="s">
        <v>67</v>
      </c>
      <c r="F108" s="24" t="str">
        <f>IF(Tabela1[[#This Row],[Data Prevista de Conclusão da Obra]]&lt;$C$1,"Atrasada","-")</f>
        <v>Atrasada</v>
      </c>
      <c r="G108" s="53" t="s">
        <v>67</v>
      </c>
      <c r="H108" s="24">
        <f>IF(Tabela1[[#This Row],[Levant OS - Jun/17]]=Tabela1[[#This Row],[Situação2]],0,1)</f>
        <v>0</v>
      </c>
      <c r="I108" s="31" t="s">
        <v>272</v>
      </c>
      <c r="J108" s="31" t="s">
        <v>146</v>
      </c>
      <c r="K108" s="31">
        <v>97105682</v>
      </c>
      <c r="L108" s="31" t="s">
        <v>839</v>
      </c>
      <c r="M108" s="31" t="s">
        <v>840</v>
      </c>
      <c r="N108" s="31" t="s">
        <v>284</v>
      </c>
      <c r="O108" s="31" t="s">
        <v>829</v>
      </c>
      <c r="P108" s="31" t="s">
        <v>408</v>
      </c>
      <c r="Q108" s="31">
        <v>21.29</v>
      </c>
      <c r="R108" s="50">
        <v>42090</v>
      </c>
      <c r="S108" s="31" t="s">
        <v>409</v>
      </c>
      <c r="T108" s="31" t="s">
        <v>546</v>
      </c>
      <c r="U108" s="31" t="s">
        <v>290</v>
      </c>
      <c r="V108" s="31" t="s">
        <v>411</v>
      </c>
      <c r="W108" s="31">
        <v>1531784.78</v>
      </c>
      <c r="X108" s="31" t="s">
        <v>412</v>
      </c>
      <c r="Y108" s="31">
        <v>88488366000100</v>
      </c>
      <c r="AA108" s="31" t="s">
        <v>802</v>
      </c>
      <c r="AB108" s="31" t="s">
        <v>803</v>
      </c>
      <c r="AC108" s="31" t="s">
        <v>804</v>
      </c>
      <c r="AD108" s="31" t="s">
        <v>805</v>
      </c>
      <c r="AE108" s="31" t="s">
        <v>806</v>
      </c>
      <c r="AF108" s="31" t="s">
        <v>807</v>
      </c>
      <c r="AG108" s="31">
        <v>97010005</v>
      </c>
      <c r="AH108" s="31" t="s">
        <v>801</v>
      </c>
      <c r="AI108" s="31" t="s">
        <v>808</v>
      </c>
      <c r="AJ108" s="31">
        <v>2277</v>
      </c>
      <c r="AK108" s="31" t="s">
        <v>573</v>
      </c>
      <c r="AM108" s="31" t="s">
        <v>272</v>
      </c>
      <c r="AP108" s="31" t="s">
        <v>823</v>
      </c>
      <c r="AR108" s="31" t="s">
        <v>818</v>
      </c>
      <c r="AS108" s="31">
        <v>365</v>
      </c>
      <c r="AT108" s="31" t="s">
        <v>841</v>
      </c>
      <c r="AU108" s="31">
        <v>1531784.78</v>
      </c>
      <c r="AV108" s="31">
        <v>1531784.78</v>
      </c>
      <c r="AW108" s="31" t="s">
        <v>842</v>
      </c>
      <c r="AX108" s="31" t="s">
        <v>429</v>
      </c>
      <c r="AY108" s="31" t="s">
        <v>430</v>
      </c>
      <c r="AZ108" s="31">
        <v>766345.25</v>
      </c>
      <c r="BA108" s="31">
        <v>50.029564209999997</v>
      </c>
      <c r="BB108" s="31">
        <v>1</v>
      </c>
      <c r="BC108" s="31">
        <v>126</v>
      </c>
      <c r="BD108" s="31">
        <v>622478</v>
      </c>
      <c r="BE108" s="31" t="s">
        <v>422</v>
      </c>
      <c r="BF108" s="31">
        <v>0</v>
      </c>
      <c r="BG108" s="31">
        <v>3865845.91</v>
      </c>
      <c r="BH108" s="31">
        <v>0</v>
      </c>
      <c r="BI108" s="31">
        <v>0</v>
      </c>
      <c r="BJ108" s="31">
        <v>3865845.91</v>
      </c>
    </row>
    <row r="109" spans="1:62">
      <c r="A109" s="24" t="s">
        <v>78</v>
      </c>
      <c r="B109" s="31">
        <v>31256</v>
      </c>
      <c r="C109" s="31" t="s">
        <v>290</v>
      </c>
      <c r="D109" s="31" t="s">
        <v>23</v>
      </c>
      <c r="E109" s="31" t="s">
        <v>64</v>
      </c>
      <c r="F109" s="24" t="str">
        <f>IF(Tabela1[[#This Row],[Data Prevista de Conclusão da Obra]]&lt;$C$1,"Atrasada","-")</f>
        <v>-</v>
      </c>
      <c r="G109" s="53" t="s">
        <v>59</v>
      </c>
      <c r="H109" s="24" t="s">
        <v>59</v>
      </c>
      <c r="I109" s="31" t="s">
        <v>272</v>
      </c>
      <c r="J109" s="31" t="s">
        <v>146</v>
      </c>
      <c r="K109" s="31">
        <v>97010005</v>
      </c>
      <c r="L109" s="31" t="s">
        <v>843</v>
      </c>
      <c r="M109" s="31" t="s">
        <v>844</v>
      </c>
      <c r="N109" s="31" t="s">
        <v>291</v>
      </c>
      <c r="O109" s="31" t="s">
        <v>845</v>
      </c>
      <c r="P109" s="31" t="s">
        <v>408</v>
      </c>
      <c r="Q109" s="31">
        <v>0</v>
      </c>
      <c r="R109" s="24" t="s">
        <v>59</v>
      </c>
      <c r="S109" s="31" t="s">
        <v>409</v>
      </c>
      <c r="T109" s="31" t="s">
        <v>846</v>
      </c>
      <c r="U109" s="31" t="s">
        <v>290</v>
      </c>
      <c r="V109" s="31" t="s">
        <v>411</v>
      </c>
      <c r="W109" s="31">
        <v>431837.97</v>
      </c>
      <c r="X109" s="31" t="s">
        <v>412</v>
      </c>
      <c r="Y109" s="31">
        <v>88488366000100</v>
      </c>
      <c r="AA109" s="31" t="s">
        <v>802</v>
      </c>
      <c r="AB109" s="31" t="s">
        <v>803</v>
      </c>
      <c r="AC109" s="31" t="s">
        <v>804</v>
      </c>
      <c r="AD109" s="31" t="s">
        <v>805</v>
      </c>
      <c r="AE109" s="31" t="s">
        <v>806</v>
      </c>
      <c r="AF109" s="31" t="s">
        <v>807</v>
      </c>
      <c r="AG109" s="31">
        <v>97010005</v>
      </c>
      <c r="AH109" s="31" t="s">
        <v>801</v>
      </c>
      <c r="AI109" s="31" t="s">
        <v>808</v>
      </c>
      <c r="AJ109" s="31">
        <v>2277</v>
      </c>
      <c r="AK109" s="31" t="s">
        <v>573</v>
      </c>
      <c r="AM109" s="31" t="s">
        <v>272</v>
      </c>
      <c r="AN109" s="31" t="s">
        <v>494</v>
      </c>
      <c r="AO109" s="31">
        <v>72014</v>
      </c>
      <c r="AP109" s="55">
        <v>41830</v>
      </c>
      <c r="AQ109" s="31" t="s">
        <v>847</v>
      </c>
      <c r="AR109" s="55">
        <v>42312</v>
      </c>
      <c r="AS109" s="31">
        <v>120</v>
      </c>
      <c r="AT109" s="55">
        <v>42255</v>
      </c>
      <c r="AU109" s="31">
        <v>359669.09</v>
      </c>
      <c r="AV109" s="31">
        <v>431837.97</v>
      </c>
      <c r="AZ109" s="31">
        <v>86367.59</v>
      </c>
      <c r="BA109" s="31">
        <v>19.999999070000001</v>
      </c>
      <c r="BB109" s="31">
        <v>1</v>
      </c>
      <c r="BC109" s="31">
        <v>126</v>
      </c>
      <c r="BD109" s="31">
        <v>648043</v>
      </c>
      <c r="BE109" s="31" t="s">
        <v>422</v>
      </c>
      <c r="BF109" s="31">
        <v>0</v>
      </c>
      <c r="BG109" s="31">
        <v>2878.76</v>
      </c>
      <c r="BH109" s="31">
        <v>0</v>
      </c>
      <c r="BI109" s="31">
        <v>0</v>
      </c>
      <c r="BJ109" s="31">
        <v>2878.76</v>
      </c>
    </row>
    <row r="110" spans="1:62">
      <c r="A110" s="24" t="s">
        <v>78</v>
      </c>
      <c r="B110" s="31">
        <v>25206</v>
      </c>
      <c r="C110" s="31" t="s">
        <v>293</v>
      </c>
      <c r="D110" s="31" t="s">
        <v>22</v>
      </c>
      <c r="E110" s="31" t="s">
        <v>64</v>
      </c>
      <c r="F110" s="24" t="str">
        <f>IF(Tabela1[[#This Row],[Data Prevista de Conclusão da Obra]]&lt;$C$1,"Atrasada","-")</f>
        <v>-</v>
      </c>
      <c r="G110" s="53" t="s">
        <v>67</v>
      </c>
      <c r="H110" s="24">
        <f>IF(Tabela1[[#This Row],[Levant OS - Jun/17]]=Tabela1[[#This Row],[Situação2]],0,1)</f>
        <v>1</v>
      </c>
      <c r="I110" s="31" t="s">
        <v>292</v>
      </c>
      <c r="J110" s="31" t="s">
        <v>86</v>
      </c>
      <c r="K110" s="31">
        <v>89240000</v>
      </c>
      <c r="L110" s="31" t="s">
        <v>848</v>
      </c>
      <c r="M110" s="31" t="s">
        <v>849</v>
      </c>
      <c r="N110" s="31" t="s">
        <v>294</v>
      </c>
      <c r="O110" s="31" t="s">
        <v>850</v>
      </c>
      <c r="P110" s="31" t="s">
        <v>408</v>
      </c>
      <c r="Q110" s="31">
        <v>0</v>
      </c>
      <c r="R110" s="24" t="s">
        <v>59</v>
      </c>
      <c r="S110" s="31" t="s">
        <v>409</v>
      </c>
      <c r="T110" s="31" t="s">
        <v>546</v>
      </c>
      <c r="U110" s="31" t="s">
        <v>290</v>
      </c>
      <c r="V110" s="31" t="s">
        <v>411</v>
      </c>
      <c r="W110" s="31">
        <v>1499205.54</v>
      </c>
      <c r="X110" s="31" t="s">
        <v>412</v>
      </c>
      <c r="Y110" s="31">
        <v>83102269000106</v>
      </c>
      <c r="Z110" s="31">
        <v>281350</v>
      </c>
      <c r="AA110" s="31" t="s">
        <v>851</v>
      </c>
      <c r="AB110" s="31" t="s">
        <v>852</v>
      </c>
      <c r="AC110" s="31" t="s">
        <v>853</v>
      </c>
      <c r="AD110" s="31" t="s">
        <v>854</v>
      </c>
      <c r="AE110" s="31" t="s">
        <v>855</v>
      </c>
      <c r="AF110" s="31" t="s">
        <v>855</v>
      </c>
      <c r="AG110" s="31">
        <v>89240000</v>
      </c>
      <c r="AH110" s="31" t="s">
        <v>856</v>
      </c>
      <c r="AI110" s="31" t="s">
        <v>857</v>
      </c>
      <c r="AJ110" s="31">
        <v>1</v>
      </c>
      <c r="AK110" s="31" t="s">
        <v>421</v>
      </c>
      <c r="AM110" s="31" t="s">
        <v>292</v>
      </c>
      <c r="AN110" s="31" t="s">
        <v>427</v>
      </c>
      <c r="AO110" s="31">
        <v>12</v>
      </c>
      <c r="AR110" s="31" t="s">
        <v>858</v>
      </c>
      <c r="AU110" s="31">
        <v>0</v>
      </c>
      <c r="AV110" s="31">
        <v>1499205.54</v>
      </c>
      <c r="AZ110" s="31">
        <v>288886.01</v>
      </c>
      <c r="BA110" s="31">
        <v>15.300482430000001</v>
      </c>
      <c r="BB110" s="31">
        <v>1</v>
      </c>
      <c r="BC110" s="31">
        <v>466</v>
      </c>
      <c r="BD110" s="31">
        <v>222208</v>
      </c>
      <c r="BE110" s="31" t="s">
        <v>422</v>
      </c>
      <c r="BF110" s="31">
        <v>0</v>
      </c>
      <c r="BG110" s="31">
        <v>31357.78</v>
      </c>
      <c r="BH110" s="31">
        <v>0</v>
      </c>
      <c r="BI110" s="31">
        <v>0</v>
      </c>
      <c r="BJ110" s="31">
        <v>31357.78</v>
      </c>
    </row>
    <row r="111" spans="1:62">
      <c r="A111" s="24" t="s">
        <v>60</v>
      </c>
      <c r="B111" s="31">
        <v>1014175</v>
      </c>
      <c r="C111" s="31" t="s">
        <v>295</v>
      </c>
      <c r="D111" s="31" t="s">
        <v>58</v>
      </c>
      <c r="E111" s="31" t="s">
        <v>58</v>
      </c>
      <c r="F111" s="24" t="str">
        <f>IF(Tabela1[[#This Row],[Data Prevista de Conclusão da Obra]]&lt;$C$1,"Atrasada","-")</f>
        <v>Atrasada</v>
      </c>
      <c r="G111" s="53" t="s">
        <v>67</v>
      </c>
      <c r="H111" s="24">
        <f>IF(Tabela1[[#This Row],[Levant OS - Jun/17]]=Tabela1[[#This Row],[Situação2]],0,1)</f>
        <v>1</v>
      </c>
      <c r="I111" s="31" t="s">
        <v>292</v>
      </c>
      <c r="J111" s="31" t="s">
        <v>86</v>
      </c>
      <c r="K111" s="31">
        <v>89240000</v>
      </c>
      <c r="L111" s="31" t="s">
        <v>859</v>
      </c>
      <c r="M111" s="31" t="s">
        <v>860</v>
      </c>
      <c r="N111" s="31" t="s">
        <v>296</v>
      </c>
      <c r="O111" s="31" t="s">
        <v>861</v>
      </c>
      <c r="P111" s="31" t="s">
        <v>408</v>
      </c>
      <c r="Q111" s="31">
        <v>27.8</v>
      </c>
      <c r="R111" s="50">
        <v>42842</v>
      </c>
      <c r="S111" s="31" t="s">
        <v>409</v>
      </c>
      <c r="T111" s="31" t="s">
        <v>443</v>
      </c>
      <c r="U111" s="31" t="s">
        <v>290</v>
      </c>
      <c r="V111" s="31" t="s">
        <v>411</v>
      </c>
      <c r="W111" s="31">
        <v>3554832.03</v>
      </c>
      <c r="X111" s="31" t="s">
        <v>412</v>
      </c>
      <c r="Y111" s="31">
        <v>83102269000106</v>
      </c>
      <c r="Z111" s="31">
        <v>281350</v>
      </c>
      <c r="AA111" s="31" t="s">
        <v>851</v>
      </c>
      <c r="AB111" s="31" t="s">
        <v>852</v>
      </c>
      <c r="AC111" s="31" t="s">
        <v>853</v>
      </c>
      <c r="AD111" s="31" t="s">
        <v>854</v>
      </c>
      <c r="AE111" s="31" t="s">
        <v>855</v>
      </c>
      <c r="AF111" s="31" t="s">
        <v>855</v>
      </c>
      <c r="AG111" s="31">
        <v>89240000</v>
      </c>
      <c r="AH111" s="31" t="s">
        <v>856</v>
      </c>
      <c r="AI111" s="31" t="s">
        <v>857</v>
      </c>
      <c r="AJ111" s="31">
        <v>1</v>
      </c>
      <c r="AK111" s="31" t="s">
        <v>421</v>
      </c>
      <c r="AM111" s="31" t="s">
        <v>292</v>
      </c>
      <c r="AN111" s="31" t="s">
        <v>427</v>
      </c>
      <c r="AO111" s="31">
        <v>131</v>
      </c>
      <c r="AP111" s="55">
        <v>42432</v>
      </c>
      <c r="AQ111" s="31" t="s">
        <v>862</v>
      </c>
      <c r="AR111" s="55">
        <v>42432</v>
      </c>
      <c r="AS111" s="31">
        <v>729</v>
      </c>
      <c r="AT111" s="55">
        <v>43134</v>
      </c>
      <c r="AU111" s="31">
        <v>3330338.25</v>
      </c>
      <c r="AV111" s="31">
        <v>3554832.03</v>
      </c>
      <c r="AW111" s="31" t="s">
        <v>584</v>
      </c>
      <c r="AX111" s="31" t="s">
        <v>457</v>
      </c>
      <c r="AZ111" s="31">
        <v>959804.65</v>
      </c>
      <c r="BA111" s="31">
        <v>27.000000069999999</v>
      </c>
      <c r="BB111" s="31">
        <v>1</v>
      </c>
      <c r="BC111" s="31">
        <v>466</v>
      </c>
      <c r="BD111" s="31" t="s">
        <v>863</v>
      </c>
      <c r="BE111" s="31" t="s">
        <v>422</v>
      </c>
      <c r="BF111" s="31">
        <v>0</v>
      </c>
      <c r="BG111" s="31">
        <v>146322.26999999999</v>
      </c>
      <c r="BH111" s="31">
        <v>0</v>
      </c>
      <c r="BI111" s="31">
        <v>0</v>
      </c>
      <c r="BJ111" s="31">
        <v>146322.26999999999</v>
      </c>
    </row>
    <row r="112" spans="1:62">
      <c r="A112" s="24" t="s">
        <v>78</v>
      </c>
      <c r="B112" s="31">
        <v>24484</v>
      </c>
      <c r="C112" s="31" t="s">
        <v>68</v>
      </c>
      <c r="D112" s="31" t="s">
        <v>22</v>
      </c>
      <c r="E112" s="31" t="s">
        <v>64</v>
      </c>
      <c r="F112" s="24" t="str">
        <f>IF(Tabela1[[#This Row],[Data Prevista de Conclusão da Obra]]&lt;$C$1,"Atrasada","-")</f>
        <v>-</v>
      </c>
      <c r="G112" s="53" t="s">
        <v>58</v>
      </c>
      <c r="H112" s="24">
        <f>IF(Tabela1[[#This Row],[Levant OS - Jun/17]]=Tabela1[[#This Row],[Situação2]],0,1)</f>
        <v>1</v>
      </c>
      <c r="I112" s="31" t="s">
        <v>297</v>
      </c>
      <c r="J112" s="31" t="s">
        <v>202</v>
      </c>
      <c r="K112" s="31">
        <v>12228000</v>
      </c>
      <c r="L112" s="31" t="s">
        <v>864</v>
      </c>
      <c r="M112" s="31" t="s">
        <v>865</v>
      </c>
      <c r="N112" s="31" t="s">
        <v>298</v>
      </c>
      <c r="O112" s="50">
        <v>42860</v>
      </c>
      <c r="P112" s="31" t="s">
        <v>408</v>
      </c>
      <c r="Q112" s="31">
        <v>0</v>
      </c>
      <c r="R112" s="24" t="s">
        <v>59</v>
      </c>
      <c r="S112" s="31" t="s">
        <v>409</v>
      </c>
      <c r="T112" s="31" t="s">
        <v>866</v>
      </c>
      <c r="U112" s="31" t="s">
        <v>290</v>
      </c>
      <c r="V112" s="31" t="s">
        <v>411</v>
      </c>
      <c r="W112" s="31">
        <v>8477691.4299999997</v>
      </c>
      <c r="X112" s="31" t="s">
        <v>412</v>
      </c>
      <c r="Y112" s="31">
        <v>46643466000106</v>
      </c>
      <c r="Z112" s="31">
        <v>280629</v>
      </c>
      <c r="AA112" s="31" t="s">
        <v>867</v>
      </c>
      <c r="AB112" s="31" t="s">
        <v>868</v>
      </c>
      <c r="AC112" s="31" t="s">
        <v>869</v>
      </c>
      <c r="AD112" s="31" t="s">
        <v>870</v>
      </c>
      <c r="AE112" s="31" t="s">
        <v>871</v>
      </c>
      <c r="AF112" s="31" t="s">
        <v>872</v>
      </c>
      <c r="AG112" s="31">
        <v>12209530</v>
      </c>
      <c r="AH112" s="31" t="s">
        <v>873</v>
      </c>
      <c r="AJ112" s="31">
        <v>123</v>
      </c>
      <c r="AK112" s="31" t="s">
        <v>874</v>
      </c>
      <c r="AM112" s="31" t="s">
        <v>297</v>
      </c>
      <c r="AN112" s="31" t="s">
        <v>427</v>
      </c>
      <c r="AO112" s="31">
        <v>1</v>
      </c>
      <c r="AP112" s="31" t="s">
        <v>875</v>
      </c>
      <c r="AU112" s="31">
        <v>0</v>
      </c>
      <c r="AV112" s="31">
        <v>8477691.4299999997</v>
      </c>
      <c r="AZ112" s="31">
        <v>1368257.26</v>
      </c>
      <c r="BA112" s="31">
        <v>16.139502969999999</v>
      </c>
      <c r="BB112" s="31">
        <v>1</v>
      </c>
      <c r="BC112" s="31">
        <v>175</v>
      </c>
      <c r="BD112" s="31">
        <v>821233</v>
      </c>
      <c r="BE112" s="31" t="s">
        <v>422</v>
      </c>
      <c r="BF112" s="31">
        <v>0</v>
      </c>
      <c r="BG112" s="31">
        <v>1358296.05</v>
      </c>
      <c r="BH112" s="31">
        <v>0</v>
      </c>
      <c r="BI112" s="31">
        <v>0</v>
      </c>
      <c r="BJ112" s="31">
        <v>1358296.05</v>
      </c>
    </row>
    <row r="113" spans="1:62">
      <c r="A113" s="24" t="s">
        <v>78</v>
      </c>
      <c r="B113" s="31">
        <v>1010716</v>
      </c>
      <c r="C113" s="31" t="s">
        <v>56</v>
      </c>
      <c r="D113" s="31" t="s">
        <v>58</v>
      </c>
      <c r="E113" s="31" t="s">
        <v>58</v>
      </c>
      <c r="F113" s="24" t="str">
        <f>IF(Tabela1[[#This Row],[Data Prevista de Conclusão da Obra]]&lt;$C$1,"Atrasada","-")</f>
        <v>Atrasada</v>
      </c>
      <c r="G113" s="53" t="s">
        <v>58</v>
      </c>
      <c r="H113" s="24">
        <f>IF(Tabela1[[#This Row],[Levant OS - Jun/17]]=Tabela1[[#This Row],[Situação2]],0,1)</f>
        <v>0</v>
      </c>
      <c r="I113" s="31" t="s">
        <v>297</v>
      </c>
      <c r="J113" s="31" t="s">
        <v>202</v>
      </c>
      <c r="K113" s="31">
        <v>12226691</v>
      </c>
      <c r="L113" s="31" t="s">
        <v>876</v>
      </c>
      <c r="M113" s="31" t="s">
        <v>877</v>
      </c>
      <c r="N113" s="31" t="s">
        <v>299</v>
      </c>
      <c r="O113" s="50">
        <v>42860</v>
      </c>
      <c r="P113" s="31" t="s">
        <v>408</v>
      </c>
      <c r="Q113" s="31">
        <v>73.84</v>
      </c>
      <c r="R113" s="50">
        <v>42740</v>
      </c>
      <c r="S113" s="31" t="s">
        <v>409</v>
      </c>
      <c r="T113" s="31" t="s">
        <v>866</v>
      </c>
      <c r="U113" s="31" t="s">
        <v>290</v>
      </c>
      <c r="V113" s="31" t="s">
        <v>411</v>
      </c>
      <c r="W113" s="31">
        <v>6100066.4299999997</v>
      </c>
      <c r="X113" s="31" t="s">
        <v>412</v>
      </c>
      <c r="Y113" s="31">
        <v>46643466000106</v>
      </c>
      <c r="Z113" s="31">
        <v>280629</v>
      </c>
      <c r="AA113" s="31" t="s">
        <v>867</v>
      </c>
      <c r="AB113" s="31" t="s">
        <v>868</v>
      </c>
      <c r="AC113" s="31" t="s">
        <v>869</v>
      </c>
      <c r="AD113" s="31" t="s">
        <v>870</v>
      </c>
      <c r="AE113" s="31" t="s">
        <v>871</v>
      </c>
      <c r="AF113" s="31" t="s">
        <v>872</v>
      </c>
      <c r="AG113" s="31">
        <v>12209530</v>
      </c>
      <c r="AH113" s="31" t="s">
        <v>873</v>
      </c>
      <c r="AJ113" s="31">
        <v>123</v>
      </c>
      <c r="AK113" s="31" t="s">
        <v>874</v>
      </c>
      <c r="AM113" s="31" t="s">
        <v>297</v>
      </c>
      <c r="AN113" s="31" t="s">
        <v>427</v>
      </c>
      <c r="AO113" s="31">
        <v>3</v>
      </c>
      <c r="AP113" s="55">
        <v>42491</v>
      </c>
      <c r="AQ113" s="31" t="s">
        <v>878</v>
      </c>
      <c r="AR113" s="31" t="s">
        <v>632</v>
      </c>
      <c r="AS113" s="31">
        <v>553</v>
      </c>
      <c r="AT113" s="55">
        <v>42743</v>
      </c>
      <c r="AU113" s="31">
        <v>7528580.0499999998</v>
      </c>
      <c r="AV113" s="31">
        <v>6100066.4299999997</v>
      </c>
      <c r="AW113" s="31" t="s">
        <v>611</v>
      </c>
      <c r="AX113" s="31" t="s">
        <v>457</v>
      </c>
      <c r="AZ113" s="31">
        <v>3796856.25</v>
      </c>
      <c r="BA113" s="31">
        <v>62.242867250000003</v>
      </c>
      <c r="BB113" s="31">
        <v>1</v>
      </c>
      <c r="BC113" s="31">
        <v>175</v>
      </c>
      <c r="BD113" s="31">
        <v>865745</v>
      </c>
      <c r="BE113" s="31" t="s">
        <v>422</v>
      </c>
      <c r="BF113" s="31">
        <v>0</v>
      </c>
      <c r="BG113" s="31">
        <v>711895.88</v>
      </c>
      <c r="BH113" s="31">
        <v>0</v>
      </c>
      <c r="BI113" s="31">
        <v>0</v>
      </c>
      <c r="BJ113" s="31">
        <v>711895.88</v>
      </c>
    </row>
    <row r="114" spans="1:62">
      <c r="A114" s="24" t="s">
        <v>60</v>
      </c>
      <c r="B114" s="31">
        <v>1010717</v>
      </c>
      <c r="C114" s="31" t="s">
        <v>300</v>
      </c>
      <c r="D114" s="31" t="s">
        <v>22</v>
      </c>
      <c r="E114" s="31" t="s">
        <v>64</v>
      </c>
      <c r="F114" s="24" t="str">
        <f>IF(Tabela1[[#This Row],[Data Prevista de Conclusão da Obra]]&lt;$C$1,"Atrasada","-")</f>
        <v>-</v>
      </c>
      <c r="G114" s="53" t="s">
        <v>58</v>
      </c>
      <c r="H114" s="24">
        <f>IF(Tabela1[[#This Row],[Levant OS - Jun/17]]=Tabela1[[#This Row],[Situação2]],0,1)</f>
        <v>1</v>
      </c>
      <c r="I114" s="31" t="s">
        <v>297</v>
      </c>
      <c r="J114" s="31" t="s">
        <v>202</v>
      </c>
      <c r="K114" s="31">
        <v>12234844</v>
      </c>
      <c r="L114" s="31" t="s">
        <v>879</v>
      </c>
      <c r="M114" s="31" t="s">
        <v>880</v>
      </c>
      <c r="N114" s="31" t="s">
        <v>299</v>
      </c>
      <c r="O114" s="50">
        <v>42860</v>
      </c>
      <c r="P114" s="31" t="s">
        <v>408</v>
      </c>
      <c r="Q114" s="31">
        <v>0</v>
      </c>
      <c r="R114" s="24" t="s">
        <v>59</v>
      </c>
      <c r="S114" s="31" t="s">
        <v>409</v>
      </c>
      <c r="T114" s="31" t="s">
        <v>424</v>
      </c>
      <c r="U114" s="31" t="s">
        <v>290</v>
      </c>
      <c r="V114" s="31" t="s">
        <v>411</v>
      </c>
      <c r="W114" s="31">
        <v>1979860.84</v>
      </c>
      <c r="X114" s="31" t="s">
        <v>412</v>
      </c>
      <c r="Y114" s="31">
        <v>46643466000106</v>
      </c>
      <c r="Z114" s="31">
        <v>280629</v>
      </c>
      <c r="AA114" s="31" t="s">
        <v>867</v>
      </c>
      <c r="AB114" s="31" t="s">
        <v>868</v>
      </c>
      <c r="AC114" s="31" t="s">
        <v>869</v>
      </c>
      <c r="AD114" s="31" t="s">
        <v>870</v>
      </c>
      <c r="AE114" s="31" t="s">
        <v>871</v>
      </c>
      <c r="AF114" s="31" t="s">
        <v>872</v>
      </c>
      <c r="AG114" s="31">
        <v>12209530</v>
      </c>
      <c r="AH114" s="31" t="s">
        <v>873</v>
      </c>
      <c r="AJ114" s="31">
        <v>123</v>
      </c>
      <c r="AK114" s="31" t="s">
        <v>874</v>
      </c>
      <c r="AM114" s="31" t="s">
        <v>297</v>
      </c>
      <c r="AN114" s="31" t="s">
        <v>427</v>
      </c>
      <c r="AO114" s="31">
        <v>5</v>
      </c>
      <c r="AP114" s="55">
        <v>42528</v>
      </c>
      <c r="AV114" s="31">
        <v>1979860.84</v>
      </c>
      <c r="AZ114" s="31">
        <v>764874.95</v>
      </c>
      <c r="BA114" s="31">
        <v>38.632763199999999</v>
      </c>
      <c r="BB114" s="31">
        <v>1</v>
      </c>
      <c r="BC114" s="31">
        <v>175</v>
      </c>
      <c r="BD114" s="31">
        <v>865745</v>
      </c>
      <c r="BE114" s="31" t="s">
        <v>422</v>
      </c>
      <c r="BF114" s="31">
        <v>0</v>
      </c>
      <c r="BG114" s="31">
        <v>711895.88</v>
      </c>
      <c r="BH114" s="31">
        <v>0</v>
      </c>
      <c r="BI114" s="31">
        <v>0</v>
      </c>
      <c r="BJ114" s="31">
        <v>711895.88</v>
      </c>
    </row>
    <row r="115" spans="1:62">
      <c r="A115" s="24" t="s">
        <v>78</v>
      </c>
      <c r="B115" s="31">
        <v>1001904</v>
      </c>
      <c r="C115" s="31" t="s">
        <v>302</v>
      </c>
      <c r="D115" s="31" t="s">
        <v>67</v>
      </c>
      <c r="E115" s="31" t="s">
        <v>67</v>
      </c>
      <c r="F115" s="24" t="str">
        <f>IF(Tabela1[[#This Row],[Data Prevista de Conclusão da Obra]]&lt;$C$1,"Atrasada","-")</f>
        <v>-</v>
      </c>
      <c r="G115" s="53" t="s">
        <v>67</v>
      </c>
      <c r="H115" s="24">
        <f>IF(Tabela1[[#This Row],[Levant OS - Jun/17]]=Tabela1[[#This Row],[Situação2]],0,1)</f>
        <v>0</v>
      </c>
      <c r="I115" s="31" t="s">
        <v>301</v>
      </c>
      <c r="J115" s="31" t="s">
        <v>202</v>
      </c>
      <c r="K115" s="31">
        <v>12042210</v>
      </c>
      <c r="L115" s="31" t="s">
        <v>881</v>
      </c>
      <c r="M115" s="31" t="s">
        <v>882</v>
      </c>
      <c r="N115" s="31" t="s">
        <v>303</v>
      </c>
      <c r="O115" s="31" t="s">
        <v>883</v>
      </c>
      <c r="P115" s="31" t="s">
        <v>408</v>
      </c>
      <c r="Q115" s="31">
        <v>56.45</v>
      </c>
      <c r="R115" s="50">
        <v>43059</v>
      </c>
      <c r="S115" s="31" t="s">
        <v>409</v>
      </c>
      <c r="T115" s="31" t="s">
        <v>546</v>
      </c>
      <c r="U115" s="31" t="s">
        <v>290</v>
      </c>
      <c r="V115" s="31" t="s">
        <v>411</v>
      </c>
      <c r="W115" s="31">
        <v>1536621.54</v>
      </c>
      <c r="X115" s="31" t="s">
        <v>412</v>
      </c>
      <c r="Y115" s="31">
        <v>45176005000108</v>
      </c>
      <c r="Z115" s="31">
        <v>280672</v>
      </c>
      <c r="AA115" s="31" t="s">
        <v>884</v>
      </c>
      <c r="AB115" s="31" t="s">
        <v>885</v>
      </c>
      <c r="AC115" s="31" t="s">
        <v>886</v>
      </c>
      <c r="AD115" s="31" t="s">
        <v>887</v>
      </c>
      <c r="AE115" s="31" t="s">
        <v>888</v>
      </c>
      <c r="AF115" s="31" t="s">
        <v>889</v>
      </c>
      <c r="AG115" s="31">
        <v>12030180</v>
      </c>
      <c r="AH115" s="31" t="s">
        <v>890</v>
      </c>
      <c r="AJ115" s="31">
        <v>520</v>
      </c>
      <c r="AK115" s="31" t="s">
        <v>421</v>
      </c>
      <c r="AM115" s="31" t="s">
        <v>301</v>
      </c>
      <c r="AN115" s="31" t="s">
        <v>891</v>
      </c>
      <c r="AO115" s="31">
        <v>552012</v>
      </c>
      <c r="AR115" s="55">
        <v>41915</v>
      </c>
      <c r="AS115" s="31">
        <v>765</v>
      </c>
      <c r="AT115" s="31" t="s">
        <v>892</v>
      </c>
      <c r="AU115" s="54">
        <v>1470560</v>
      </c>
      <c r="AV115" s="54">
        <v>1536621.54</v>
      </c>
      <c r="AW115" s="31" t="s">
        <v>893</v>
      </c>
      <c r="AX115" s="31" t="s">
        <v>429</v>
      </c>
      <c r="AY115" s="31" t="s">
        <v>430</v>
      </c>
      <c r="AZ115" s="31">
        <v>998804.01</v>
      </c>
      <c r="BA115" s="31">
        <v>65</v>
      </c>
      <c r="BB115" s="31">
        <v>1</v>
      </c>
      <c r="BC115" s="31">
        <v>76</v>
      </c>
      <c r="BD115" s="31">
        <v>837229</v>
      </c>
      <c r="BE115" s="31" t="s">
        <v>422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</row>
    <row r="116" spans="1:62">
      <c r="A116" s="24" t="s">
        <v>60</v>
      </c>
      <c r="B116" s="31">
        <v>1006108</v>
      </c>
      <c r="C116" s="31" t="s">
        <v>304</v>
      </c>
      <c r="D116" s="31" t="s">
        <v>22</v>
      </c>
      <c r="E116" s="31" t="s">
        <v>64</v>
      </c>
      <c r="F116" s="24" t="str">
        <f>IF(Tabela1[[#This Row],[Data Prevista de Conclusão da Obra]]&lt;$C$1,"Atrasada","-")</f>
        <v>-</v>
      </c>
      <c r="G116" s="53" t="s">
        <v>58</v>
      </c>
      <c r="H116" s="24">
        <f>IF(Tabela1[[#This Row],[Levant OS - Jun/17]]=Tabela1[[#This Row],[Situação2]],0,1)</f>
        <v>1</v>
      </c>
      <c r="I116" s="31" t="s">
        <v>301</v>
      </c>
      <c r="J116" s="31" t="s">
        <v>202</v>
      </c>
      <c r="K116" s="31">
        <v>12091550</v>
      </c>
      <c r="L116" s="31" t="s">
        <v>894</v>
      </c>
      <c r="M116" s="31" t="s">
        <v>895</v>
      </c>
      <c r="N116" s="31" t="s">
        <v>305</v>
      </c>
      <c r="O116" s="31" t="s">
        <v>896</v>
      </c>
      <c r="P116" s="31" t="s">
        <v>408</v>
      </c>
      <c r="Q116" s="31">
        <v>0</v>
      </c>
      <c r="R116" s="24" t="s">
        <v>59</v>
      </c>
      <c r="S116" s="31" t="s">
        <v>409</v>
      </c>
      <c r="T116" s="31" t="s">
        <v>424</v>
      </c>
      <c r="U116" s="31" t="s">
        <v>290</v>
      </c>
      <c r="V116" s="31" t="s">
        <v>411</v>
      </c>
      <c r="W116" s="31">
        <v>1979860.84</v>
      </c>
      <c r="X116" s="31" t="s">
        <v>412</v>
      </c>
      <c r="Y116" s="31">
        <v>45176005000108</v>
      </c>
      <c r="Z116" s="31">
        <v>280672</v>
      </c>
      <c r="AA116" s="31" t="s">
        <v>884</v>
      </c>
      <c r="AB116" s="31" t="s">
        <v>885</v>
      </c>
      <c r="AC116" s="31" t="s">
        <v>886</v>
      </c>
      <c r="AD116" s="31" t="s">
        <v>887</v>
      </c>
      <c r="AE116" s="31" t="s">
        <v>888</v>
      </c>
      <c r="AF116" s="31" t="s">
        <v>889</v>
      </c>
      <c r="AG116" s="31">
        <v>12030180</v>
      </c>
      <c r="AH116" s="31" t="s">
        <v>890</v>
      </c>
      <c r="AJ116" s="31">
        <v>520</v>
      </c>
      <c r="AK116" s="31" t="s">
        <v>421</v>
      </c>
      <c r="AM116" s="31" t="s">
        <v>301</v>
      </c>
      <c r="AN116" s="31" t="s">
        <v>427</v>
      </c>
      <c r="AO116" s="31">
        <v>816</v>
      </c>
      <c r="AP116" s="31" t="s">
        <v>693</v>
      </c>
      <c r="AR116" s="55">
        <v>41827</v>
      </c>
      <c r="AV116" s="54">
        <v>1979860.84</v>
      </c>
      <c r="AZ116" s="31">
        <v>383769.39</v>
      </c>
      <c r="BA116" s="31">
        <v>19.38</v>
      </c>
      <c r="BB116" s="31">
        <v>1</v>
      </c>
      <c r="BC116" s="31">
        <v>76</v>
      </c>
      <c r="BD116" s="31">
        <v>763357</v>
      </c>
      <c r="BE116" s="31" t="s">
        <v>422</v>
      </c>
      <c r="BF116" s="31">
        <v>0</v>
      </c>
      <c r="BG116" s="31">
        <v>248049.8</v>
      </c>
      <c r="BH116" s="31">
        <v>0</v>
      </c>
      <c r="BI116" s="31">
        <v>0</v>
      </c>
      <c r="BJ116" s="31">
        <v>248049.8</v>
      </c>
    </row>
    <row r="117" spans="1:62">
      <c r="A117" s="24" t="s">
        <v>60</v>
      </c>
      <c r="B117" s="31">
        <v>1006109</v>
      </c>
      <c r="C117" s="31" t="s">
        <v>306</v>
      </c>
      <c r="D117" s="31" t="s">
        <v>22</v>
      </c>
      <c r="E117" s="31" t="s">
        <v>64</v>
      </c>
      <c r="F117" s="24" t="str">
        <f>IF(Tabela1[[#This Row],[Data Prevista de Conclusão da Obra]]&lt;$C$1,"Atrasada","-")</f>
        <v>-</v>
      </c>
      <c r="G117" s="53" t="s">
        <v>58</v>
      </c>
      <c r="H117" s="24">
        <f>IF(Tabela1[[#This Row],[Levant OS - Jun/17]]=Tabela1[[#This Row],[Situação2]],0,1)</f>
        <v>1</v>
      </c>
      <c r="I117" s="31" t="s">
        <v>301</v>
      </c>
      <c r="J117" s="31" t="s">
        <v>202</v>
      </c>
      <c r="K117" s="31">
        <v>12040811</v>
      </c>
      <c r="L117" s="31" t="s">
        <v>897</v>
      </c>
      <c r="M117" s="31" t="s">
        <v>898</v>
      </c>
      <c r="N117" s="31" t="s">
        <v>307</v>
      </c>
      <c r="O117" s="31" t="s">
        <v>899</v>
      </c>
      <c r="P117" s="31" t="s">
        <v>408</v>
      </c>
      <c r="Q117" s="31">
        <v>0</v>
      </c>
      <c r="R117" s="24" t="s">
        <v>59</v>
      </c>
      <c r="S117" s="31" t="s">
        <v>409</v>
      </c>
      <c r="T117" s="31" t="s">
        <v>424</v>
      </c>
      <c r="U117" s="31" t="s">
        <v>290</v>
      </c>
      <c r="V117" s="31" t="s">
        <v>411</v>
      </c>
      <c r="W117" s="31">
        <v>1979860.84</v>
      </c>
      <c r="X117" s="31" t="s">
        <v>412</v>
      </c>
      <c r="Y117" s="31">
        <v>45176005000108</v>
      </c>
      <c r="Z117" s="31">
        <v>280672</v>
      </c>
      <c r="AA117" s="31" t="s">
        <v>884</v>
      </c>
      <c r="AB117" s="31" t="s">
        <v>885</v>
      </c>
      <c r="AC117" s="31" t="s">
        <v>886</v>
      </c>
      <c r="AD117" s="31" t="s">
        <v>887</v>
      </c>
      <c r="AE117" s="31" t="s">
        <v>888</v>
      </c>
      <c r="AF117" s="31" t="s">
        <v>889</v>
      </c>
      <c r="AG117" s="31">
        <v>12030180</v>
      </c>
      <c r="AH117" s="31" t="s">
        <v>890</v>
      </c>
      <c r="AJ117" s="31">
        <v>520</v>
      </c>
      <c r="AK117" s="31" t="s">
        <v>421</v>
      </c>
      <c r="AM117" s="31" t="s">
        <v>301</v>
      </c>
      <c r="AN117" s="31" t="s">
        <v>427</v>
      </c>
      <c r="AO117" s="31">
        <v>916</v>
      </c>
      <c r="AP117" s="31" t="s">
        <v>900</v>
      </c>
      <c r="AR117" s="55">
        <v>41827</v>
      </c>
      <c r="AV117" s="54">
        <v>1979860.84</v>
      </c>
      <c r="AZ117" s="31">
        <v>383806.14</v>
      </c>
      <c r="BA117" s="31">
        <v>19.39</v>
      </c>
      <c r="BB117" s="31">
        <v>1</v>
      </c>
      <c r="BC117" s="31">
        <v>76</v>
      </c>
      <c r="BD117" s="31">
        <v>763144</v>
      </c>
      <c r="BE117" s="31" t="s">
        <v>422</v>
      </c>
      <c r="BF117" s="31">
        <v>0</v>
      </c>
      <c r="BG117" s="31">
        <v>428264.04</v>
      </c>
      <c r="BH117" s="31">
        <v>0</v>
      </c>
      <c r="BI117" s="31">
        <v>0</v>
      </c>
      <c r="BJ117" s="31">
        <v>428264.04</v>
      </c>
    </row>
    <row r="118" spans="1:62">
      <c r="A118" s="24" t="s">
        <v>60</v>
      </c>
      <c r="B118" s="31">
        <v>1006110</v>
      </c>
      <c r="C118" s="31" t="s">
        <v>308</v>
      </c>
      <c r="D118" s="31" t="s">
        <v>22</v>
      </c>
      <c r="E118" s="31" t="s">
        <v>64</v>
      </c>
      <c r="F118" s="24" t="str">
        <f>IF(Tabela1[[#This Row],[Data Prevista de Conclusão da Obra]]&lt;$C$1,"Atrasada","-")</f>
        <v>-</v>
      </c>
      <c r="G118" s="53" t="s">
        <v>58</v>
      </c>
      <c r="H118" s="24">
        <f>IF(Tabela1[[#This Row],[Levant OS - Jun/17]]=Tabela1[[#This Row],[Situação2]],0,1)</f>
        <v>1</v>
      </c>
      <c r="I118" s="31" t="s">
        <v>301</v>
      </c>
      <c r="J118" s="31" t="s">
        <v>202</v>
      </c>
      <c r="K118" s="31">
        <v>12081603</v>
      </c>
      <c r="L118" s="31" t="s">
        <v>901</v>
      </c>
      <c r="M118" s="31" t="s">
        <v>902</v>
      </c>
      <c r="N118" s="31" t="s">
        <v>307</v>
      </c>
      <c r="O118" s="31" t="s">
        <v>899</v>
      </c>
      <c r="P118" s="31" t="s">
        <v>408</v>
      </c>
      <c r="Q118" s="31">
        <v>0</v>
      </c>
      <c r="R118" s="24" t="s">
        <v>59</v>
      </c>
      <c r="S118" s="31" t="s">
        <v>409</v>
      </c>
      <c r="T118" s="31" t="s">
        <v>424</v>
      </c>
      <c r="U118" s="31" t="s">
        <v>290</v>
      </c>
      <c r="V118" s="31" t="s">
        <v>411</v>
      </c>
      <c r="W118" s="31">
        <v>1979860.84</v>
      </c>
      <c r="X118" s="31" t="s">
        <v>412</v>
      </c>
      <c r="Y118" s="31">
        <v>45176005000108</v>
      </c>
      <c r="Z118" s="31">
        <v>280672</v>
      </c>
      <c r="AA118" s="31" t="s">
        <v>884</v>
      </c>
      <c r="AB118" s="31" t="s">
        <v>885</v>
      </c>
      <c r="AC118" s="31" t="s">
        <v>886</v>
      </c>
      <c r="AD118" s="31" t="s">
        <v>887</v>
      </c>
      <c r="AE118" s="31" t="s">
        <v>888</v>
      </c>
      <c r="AF118" s="31" t="s">
        <v>889</v>
      </c>
      <c r="AG118" s="31">
        <v>12030180</v>
      </c>
      <c r="AH118" s="31" t="s">
        <v>890</v>
      </c>
      <c r="AJ118" s="31">
        <v>520</v>
      </c>
      <c r="AK118" s="31" t="s">
        <v>421</v>
      </c>
      <c r="AM118" s="31" t="s">
        <v>301</v>
      </c>
      <c r="AN118" s="31" t="s">
        <v>427</v>
      </c>
      <c r="AO118" s="31">
        <v>716</v>
      </c>
      <c r="AP118" s="31" t="s">
        <v>903</v>
      </c>
      <c r="AV118" s="54">
        <v>1979860.84</v>
      </c>
      <c r="AZ118" s="31">
        <v>381244</v>
      </c>
      <c r="BA118" s="31">
        <v>19.260000000000002</v>
      </c>
      <c r="BB118" s="31">
        <v>1</v>
      </c>
      <c r="BC118" s="31">
        <v>76</v>
      </c>
      <c r="BD118" s="31">
        <v>763144</v>
      </c>
      <c r="BE118" s="31" t="s">
        <v>422</v>
      </c>
      <c r="BF118" s="31">
        <v>0</v>
      </c>
      <c r="BG118" s="31">
        <v>428264.04</v>
      </c>
      <c r="BH118" s="31">
        <v>0</v>
      </c>
      <c r="BI118" s="31">
        <v>0</v>
      </c>
      <c r="BJ118" s="31">
        <v>428264.04</v>
      </c>
    </row>
    <row r="119" spans="1:62">
      <c r="A119" s="24" t="s">
        <v>78</v>
      </c>
      <c r="B119" s="31">
        <v>4443</v>
      </c>
      <c r="C119" s="31" t="s">
        <v>311</v>
      </c>
      <c r="D119" s="31" t="s">
        <v>67</v>
      </c>
      <c r="E119" s="31" t="s">
        <v>67</v>
      </c>
      <c r="F119" s="24" t="str">
        <f>IF(Tabela1[[#This Row],[Data Prevista de Conclusão da Obra]]&lt;$C$1,"Atrasada","-")</f>
        <v>Atrasada</v>
      </c>
      <c r="G119" s="53" t="s">
        <v>67</v>
      </c>
      <c r="H119" s="24">
        <f>IF(Tabela1[[#This Row],[Levant OS - Jun/17]]=Tabela1[[#This Row],[Situação2]],0,1)</f>
        <v>0</v>
      </c>
      <c r="I119" s="31" t="s">
        <v>309</v>
      </c>
      <c r="J119" s="31" t="s">
        <v>310</v>
      </c>
      <c r="K119" s="31">
        <v>38412452</v>
      </c>
      <c r="L119" s="31" t="s">
        <v>904</v>
      </c>
      <c r="M119" s="31" t="s">
        <v>905</v>
      </c>
      <c r="N119" s="31" t="s">
        <v>312</v>
      </c>
      <c r="P119" s="31" t="s">
        <v>408</v>
      </c>
      <c r="Q119" s="31">
        <v>82.15</v>
      </c>
      <c r="R119" s="50">
        <v>42520</v>
      </c>
      <c r="S119" s="31" t="s">
        <v>409</v>
      </c>
      <c r="T119" s="31" t="s">
        <v>680</v>
      </c>
      <c r="U119" s="31" t="s">
        <v>290</v>
      </c>
      <c r="V119" s="31" t="s">
        <v>411</v>
      </c>
      <c r="W119" s="31" t="s">
        <v>906</v>
      </c>
      <c r="X119" s="31" t="s">
        <v>412</v>
      </c>
      <c r="Y119" s="31">
        <v>18431312000115</v>
      </c>
      <c r="AA119" s="31" t="s">
        <v>907</v>
      </c>
      <c r="AB119" s="31" t="s">
        <v>908</v>
      </c>
      <c r="AC119" s="31" t="s">
        <v>909</v>
      </c>
      <c r="AD119" s="31" t="s">
        <v>910</v>
      </c>
      <c r="AE119" s="31" t="s">
        <v>911</v>
      </c>
      <c r="AF119" s="31" t="s">
        <v>912</v>
      </c>
      <c r="AG119" s="31">
        <v>38408150</v>
      </c>
      <c r="AH119" s="31" t="s">
        <v>913</v>
      </c>
      <c r="AJ119" s="31">
        <v>600</v>
      </c>
      <c r="AK119" s="31" t="s">
        <v>914</v>
      </c>
      <c r="AM119" s="31" t="s">
        <v>309</v>
      </c>
      <c r="AN119" s="31" t="s">
        <v>427</v>
      </c>
      <c r="AO119" s="31">
        <v>241</v>
      </c>
      <c r="AP119" s="31" t="s">
        <v>915</v>
      </c>
      <c r="AQ119" s="31" t="s">
        <v>916</v>
      </c>
      <c r="AR119" s="31" t="s">
        <v>917</v>
      </c>
      <c r="AS119" s="31">
        <v>1007</v>
      </c>
      <c r="AT119" s="31" t="s">
        <v>918</v>
      </c>
      <c r="AU119" s="31">
        <v>1078530.6499999999</v>
      </c>
      <c r="AV119" s="31">
        <v>620209.84</v>
      </c>
      <c r="AW119" s="31" t="s">
        <v>510</v>
      </c>
      <c r="AX119" s="31" t="s">
        <v>429</v>
      </c>
      <c r="AY119" s="31" t="s">
        <v>430</v>
      </c>
      <c r="BB119" s="31">
        <v>1</v>
      </c>
      <c r="BC119" s="31">
        <v>2591</v>
      </c>
      <c r="BD119" s="31">
        <v>373737</v>
      </c>
      <c r="BE119" s="31" t="s">
        <v>422</v>
      </c>
      <c r="BF119" s="31">
        <v>0</v>
      </c>
      <c r="BG119" s="31" t="s">
        <v>919</v>
      </c>
      <c r="BH119" s="31">
        <v>0</v>
      </c>
      <c r="BI119" s="31">
        <v>0</v>
      </c>
      <c r="BJ119" s="31">
        <v>938016.64</v>
      </c>
    </row>
    <row r="120" spans="1:62">
      <c r="A120" s="24" t="s">
        <v>78</v>
      </c>
      <c r="B120" s="31">
        <v>7895</v>
      </c>
      <c r="C120" s="31" t="s">
        <v>313</v>
      </c>
      <c r="D120" s="31" t="s">
        <v>82</v>
      </c>
      <c r="E120" s="31" t="s">
        <v>64</v>
      </c>
      <c r="F120" s="24" t="str">
        <f>IF(Tabela1[[#This Row],[Data Prevista de Conclusão da Obra]]&lt;$C$1,"Atrasada","-")</f>
        <v>-</v>
      </c>
      <c r="G120" s="53" t="s">
        <v>64</v>
      </c>
      <c r="H120" s="24">
        <f>IF(Tabela1[[#This Row],[Levant OS - Jun/17]]=Tabela1[[#This Row],[Situação2]],0,1)</f>
        <v>0</v>
      </c>
      <c r="I120" s="31" t="s">
        <v>309</v>
      </c>
      <c r="J120" s="31" t="s">
        <v>310</v>
      </c>
      <c r="K120" s="31">
        <v>38412870</v>
      </c>
      <c r="L120" s="31" t="s">
        <v>920</v>
      </c>
      <c r="M120" s="31" t="s">
        <v>921</v>
      </c>
      <c r="N120" s="31" t="s">
        <v>314</v>
      </c>
      <c r="P120" s="31" t="s">
        <v>408</v>
      </c>
      <c r="Q120" s="31">
        <v>0</v>
      </c>
      <c r="R120" s="24" t="s">
        <v>59</v>
      </c>
      <c r="S120" s="31" t="s">
        <v>409</v>
      </c>
      <c r="T120" s="31" t="s">
        <v>680</v>
      </c>
      <c r="U120" s="31" t="s">
        <v>290</v>
      </c>
      <c r="V120" s="31" t="s">
        <v>411</v>
      </c>
      <c r="W120" s="31" t="s">
        <v>922</v>
      </c>
      <c r="X120" s="31" t="s">
        <v>412</v>
      </c>
      <c r="Y120" s="31">
        <v>18431312000115</v>
      </c>
      <c r="AA120" s="31" t="s">
        <v>907</v>
      </c>
      <c r="AB120" s="31" t="s">
        <v>908</v>
      </c>
      <c r="AC120" s="31" t="s">
        <v>909</v>
      </c>
      <c r="AD120" s="31" t="s">
        <v>910</v>
      </c>
      <c r="AE120" s="31" t="s">
        <v>911</v>
      </c>
      <c r="AF120" s="31" t="s">
        <v>912</v>
      </c>
      <c r="AG120" s="31">
        <v>38408150</v>
      </c>
      <c r="AH120" s="31" t="s">
        <v>913</v>
      </c>
      <c r="AJ120" s="31">
        <v>600</v>
      </c>
      <c r="AK120" s="31" t="s">
        <v>914</v>
      </c>
      <c r="AM120" s="31" t="s">
        <v>309</v>
      </c>
      <c r="AU120" s="31">
        <v>0</v>
      </c>
      <c r="AV120" s="31">
        <v>0</v>
      </c>
      <c r="BB120" s="31">
        <v>1</v>
      </c>
      <c r="BC120" s="31">
        <v>2591</v>
      </c>
      <c r="BD120" s="31">
        <v>365947</v>
      </c>
      <c r="BE120" s="31" t="s">
        <v>422</v>
      </c>
      <c r="BF120" s="31">
        <v>0</v>
      </c>
      <c r="BG120" s="31" t="s">
        <v>923</v>
      </c>
      <c r="BH120" s="31">
        <v>0</v>
      </c>
      <c r="BI120" s="31">
        <v>0</v>
      </c>
      <c r="BJ120" s="31">
        <v>2852670.06</v>
      </c>
    </row>
    <row r="121" spans="1:62">
      <c r="A121" s="24" t="s">
        <v>78</v>
      </c>
      <c r="B121" s="31">
        <v>8235</v>
      </c>
      <c r="C121" s="31" t="s">
        <v>315</v>
      </c>
      <c r="D121" s="31" t="s">
        <v>82</v>
      </c>
      <c r="E121" s="31" t="s">
        <v>64</v>
      </c>
      <c r="F121" s="24" t="str">
        <f>IF(Tabela1[[#This Row],[Data Prevista de Conclusão da Obra]]&lt;$C$1,"Atrasada","-")</f>
        <v>-</v>
      </c>
      <c r="G121" s="53" t="s">
        <v>64</v>
      </c>
      <c r="H121" s="24">
        <f>IF(Tabela1[[#This Row],[Levant OS - Jun/17]]=Tabela1[[#This Row],[Situação2]],0,1)</f>
        <v>0</v>
      </c>
      <c r="I121" s="31" t="s">
        <v>309</v>
      </c>
      <c r="J121" s="31" t="s">
        <v>310</v>
      </c>
      <c r="K121" s="31">
        <v>38414530</v>
      </c>
      <c r="L121" s="31" t="s">
        <v>924</v>
      </c>
      <c r="M121" s="31" t="s">
        <v>925</v>
      </c>
      <c r="N121" s="31" t="s">
        <v>314</v>
      </c>
      <c r="P121" s="31" t="s">
        <v>408</v>
      </c>
      <c r="Q121" s="31">
        <v>0</v>
      </c>
      <c r="R121" s="24" t="s">
        <v>59</v>
      </c>
      <c r="S121" s="31" t="s">
        <v>409</v>
      </c>
      <c r="T121" s="31" t="s">
        <v>680</v>
      </c>
      <c r="U121" s="31" t="s">
        <v>290</v>
      </c>
      <c r="V121" s="31" t="s">
        <v>411</v>
      </c>
      <c r="W121" s="31" t="s">
        <v>926</v>
      </c>
      <c r="X121" s="31" t="s">
        <v>412</v>
      </c>
      <c r="Y121" s="31">
        <v>18431312000115</v>
      </c>
      <c r="AA121" s="31" t="s">
        <v>907</v>
      </c>
      <c r="AB121" s="31" t="s">
        <v>908</v>
      </c>
      <c r="AC121" s="31" t="s">
        <v>909</v>
      </c>
      <c r="AD121" s="31" t="s">
        <v>910</v>
      </c>
      <c r="AE121" s="31" t="s">
        <v>911</v>
      </c>
      <c r="AF121" s="31" t="s">
        <v>912</v>
      </c>
      <c r="AG121" s="31">
        <v>38408150</v>
      </c>
      <c r="AH121" s="31" t="s">
        <v>913</v>
      </c>
      <c r="AJ121" s="31">
        <v>600</v>
      </c>
      <c r="AK121" s="31" t="s">
        <v>914</v>
      </c>
      <c r="AM121" s="31" t="s">
        <v>309</v>
      </c>
      <c r="AU121" s="31">
        <v>0</v>
      </c>
      <c r="AV121" s="31">
        <v>620700.9</v>
      </c>
      <c r="BB121" s="31">
        <v>1</v>
      </c>
      <c r="BC121" s="31">
        <v>2591</v>
      </c>
      <c r="BD121" s="31">
        <v>365947</v>
      </c>
      <c r="BE121" s="31" t="s">
        <v>422</v>
      </c>
      <c r="BF121" s="31">
        <v>0</v>
      </c>
      <c r="BG121" s="31" t="s">
        <v>923</v>
      </c>
      <c r="BH121" s="31">
        <v>0</v>
      </c>
      <c r="BI121" s="31">
        <v>0</v>
      </c>
      <c r="BJ121" s="31">
        <v>2852670.06</v>
      </c>
    </row>
    <row r="122" spans="1:62">
      <c r="A122" s="24" t="s">
        <v>78</v>
      </c>
      <c r="B122" s="31">
        <v>8236</v>
      </c>
      <c r="C122" s="31" t="s">
        <v>316</v>
      </c>
      <c r="D122" s="31" t="s">
        <v>82</v>
      </c>
      <c r="E122" s="31" t="s">
        <v>64</v>
      </c>
      <c r="F122" s="24" t="str">
        <f>IF(Tabela1[[#This Row],[Data Prevista de Conclusão da Obra]]&lt;$C$1,"Atrasada","-")</f>
        <v>-</v>
      </c>
      <c r="G122" s="53" t="s">
        <v>64</v>
      </c>
      <c r="H122" s="24">
        <f>IF(Tabela1[[#This Row],[Levant OS - Jun/17]]=Tabela1[[#This Row],[Situação2]],0,1)</f>
        <v>0</v>
      </c>
      <c r="I122" s="31" t="s">
        <v>309</v>
      </c>
      <c r="J122" s="31" t="s">
        <v>310</v>
      </c>
      <c r="K122" s="31">
        <v>38414490</v>
      </c>
      <c r="L122" s="31" t="s">
        <v>927</v>
      </c>
      <c r="M122" s="31" t="s">
        <v>928</v>
      </c>
      <c r="N122" s="31" t="s">
        <v>314</v>
      </c>
      <c r="P122" s="31" t="s">
        <v>408</v>
      </c>
      <c r="Q122" s="31">
        <v>0</v>
      </c>
      <c r="R122" s="24" t="s">
        <v>59</v>
      </c>
      <c r="S122" s="31" t="s">
        <v>409</v>
      </c>
      <c r="T122" s="31" t="s">
        <v>447</v>
      </c>
      <c r="U122" s="31" t="s">
        <v>290</v>
      </c>
      <c r="V122" s="31" t="s">
        <v>411</v>
      </c>
      <c r="W122" s="31" t="s">
        <v>922</v>
      </c>
      <c r="X122" s="31" t="s">
        <v>412</v>
      </c>
      <c r="Y122" s="31">
        <v>18431312000115</v>
      </c>
      <c r="AA122" s="31" t="s">
        <v>907</v>
      </c>
      <c r="AB122" s="31" t="s">
        <v>908</v>
      </c>
      <c r="AC122" s="31" t="s">
        <v>909</v>
      </c>
      <c r="AD122" s="31" t="s">
        <v>910</v>
      </c>
      <c r="AE122" s="31" t="s">
        <v>911</v>
      </c>
      <c r="AF122" s="31" t="s">
        <v>912</v>
      </c>
      <c r="AG122" s="31">
        <v>38408150</v>
      </c>
      <c r="AH122" s="31" t="s">
        <v>913</v>
      </c>
      <c r="AJ122" s="31">
        <v>600</v>
      </c>
      <c r="AK122" s="31" t="s">
        <v>914</v>
      </c>
      <c r="AM122" s="31" t="s">
        <v>309</v>
      </c>
      <c r="AU122" s="31">
        <v>0</v>
      </c>
      <c r="AV122" s="31">
        <v>0</v>
      </c>
      <c r="BB122" s="31">
        <v>1</v>
      </c>
      <c r="BC122" s="31">
        <v>2591</v>
      </c>
      <c r="BD122" s="31">
        <v>365947</v>
      </c>
      <c r="BE122" s="31" t="s">
        <v>422</v>
      </c>
      <c r="BF122" s="31">
        <v>0</v>
      </c>
      <c r="BG122" s="31" t="s">
        <v>923</v>
      </c>
      <c r="BH122" s="31">
        <v>0</v>
      </c>
      <c r="BI122" s="31">
        <v>0</v>
      </c>
      <c r="BJ122" s="31">
        <v>2852670.06</v>
      </c>
    </row>
    <row r="123" spans="1:62">
      <c r="A123" s="24" t="s">
        <v>78</v>
      </c>
      <c r="B123" s="31">
        <v>8237</v>
      </c>
      <c r="C123" s="31" t="s">
        <v>317</v>
      </c>
      <c r="D123" s="31" t="s">
        <v>82</v>
      </c>
      <c r="E123" s="31" t="s">
        <v>64</v>
      </c>
      <c r="F123" s="24" t="str">
        <f>IF(Tabela1[[#This Row],[Data Prevista de Conclusão da Obra]]&lt;$C$1,"Atrasada","-")</f>
        <v>-</v>
      </c>
      <c r="G123" s="53" t="s">
        <v>64</v>
      </c>
      <c r="H123" s="24">
        <f>IF(Tabela1[[#This Row],[Levant OS - Jun/17]]=Tabela1[[#This Row],[Situação2]],0,1)</f>
        <v>0</v>
      </c>
      <c r="I123" s="31" t="s">
        <v>309</v>
      </c>
      <c r="J123" s="31" t="s">
        <v>310</v>
      </c>
      <c r="K123" s="31">
        <v>38410652</v>
      </c>
      <c r="L123" s="31" t="s">
        <v>929</v>
      </c>
      <c r="M123" s="31" t="s">
        <v>930</v>
      </c>
      <c r="N123" s="31" t="s">
        <v>314</v>
      </c>
      <c r="P123" s="31" t="s">
        <v>408</v>
      </c>
      <c r="Q123" s="31">
        <v>0</v>
      </c>
      <c r="R123" s="24" t="s">
        <v>59</v>
      </c>
      <c r="S123" s="31" t="s">
        <v>409</v>
      </c>
      <c r="T123" s="31" t="s">
        <v>447</v>
      </c>
      <c r="U123" s="31" t="s">
        <v>290</v>
      </c>
      <c r="V123" s="31" t="s">
        <v>411</v>
      </c>
      <c r="W123" s="31" t="s">
        <v>922</v>
      </c>
      <c r="X123" s="31" t="s">
        <v>412</v>
      </c>
      <c r="Y123" s="31">
        <v>18431312000115</v>
      </c>
      <c r="AA123" s="31" t="s">
        <v>907</v>
      </c>
      <c r="AB123" s="31" t="s">
        <v>908</v>
      </c>
      <c r="AC123" s="31" t="s">
        <v>909</v>
      </c>
      <c r="AD123" s="31" t="s">
        <v>910</v>
      </c>
      <c r="AE123" s="31" t="s">
        <v>911</v>
      </c>
      <c r="AF123" s="31" t="s">
        <v>912</v>
      </c>
      <c r="AG123" s="31">
        <v>38408150</v>
      </c>
      <c r="AH123" s="31" t="s">
        <v>913</v>
      </c>
      <c r="AJ123" s="31">
        <v>600</v>
      </c>
      <c r="AK123" s="31" t="s">
        <v>914</v>
      </c>
      <c r="AM123" s="31" t="s">
        <v>309</v>
      </c>
      <c r="AU123" s="31">
        <v>0</v>
      </c>
      <c r="AV123" s="31">
        <v>0</v>
      </c>
      <c r="BB123" s="31">
        <v>1</v>
      </c>
      <c r="BC123" s="31">
        <v>2591</v>
      </c>
      <c r="BD123" s="31">
        <v>365947</v>
      </c>
      <c r="BE123" s="31" t="s">
        <v>422</v>
      </c>
      <c r="BF123" s="31">
        <v>0</v>
      </c>
      <c r="BG123" s="31" t="s">
        <v>923</v>
      </c>
      <c r="BH123" s="31">
        <v>0</v>
      </c>
      <c r="BI123" s="31">
        <v>0</v>
      </c>
      <c r="BJ123" s="31">
        <v>2852670.06</v>
      </c>
    </row>
    <row r="124" spans="1:62">
      <c r="A124" s="24" t="s">
        <v>78</v>
      </c>
      <c r="B124" s="31">
        <v>8238</v>
      </c>
      <c r="C124" s="31" t="s">
        <v>318</v>
      </c>
      <c r="D124" s="31" t="s">
        <v>82</v>
      </c>
      <c r="E124" s="31" t="s">
        <v>64</v>
      </c>
      <c r="F124" s="24" t="str">
        <f>IF(Tabela1[[#This Row],[Data Prevista de Conclusão da Obra]]&lt;$C$1,"Atrasada","-")</f>
        <v>-</v>
      </c>
      <c r="G124" s="53" t="s">
        <v>64</v>
      </c>
      <c r="H124" s="24">
        <f>IF(Tabela1[[#This Row],[Levant OS - Jun/17]]=Tabela1[[#This Row],[Situação2]],0,1)</f>
        <v>0</v>
      </c>
      <c r="I124" s="31" t="s">
        <v>309</v>
      </c>
      <c r="J124" s="31" t="s">
        <v>310</v>
      </c>
      <c r="K124" s="31">
        <v>38401526</v>
      </c>
      <c r="L124" s="31" t="s">
        <v>931</v>
      </c>
      <c r="M124" s="31" t="s">
        <v>932</v>
      </c>
      <c r="N124" s="31" t="s">
        <v>314</v>
      </c>
      <c r="P124" s="31" t="s">
        <v>408</v>
      </c>
      <c r="Q124" s="31">
        <v>0</v>
      </c>
      <c r="R124" s="24" t="s">
        <v>59</v>
      </c>
      <c r="S124" s="31" t="s">
        <v>409</v>
      </c>
      <c r="T124" s="31" t="s">
        <v>680</v>
      </c>
      <c r="U124" s="31" t="s">
        <v>290</v>
      </c>
      <c r="V124" s="31" t="s">
        <v>411</v>
      </c>
      <c r="W124" s="31" t="s">
        <v>933</v>
      </c>
      <c r="X124" s="31" t="s">
        <v>412</v>
      </c>
      <c r="Y124" s="31">
        <v>18431312000115</v>
      </c>
      <c r="AA124" s="31" t="s">
        <v>907</v>
      </c>
      <c r="AB124" s="31" t="s">
        <v>908</v>
      </c>
      <c r="AC124" s="31" t="s">
        <v>909</v>
      </c>
      <c r="AD124" s="31" t="s">
        <v>910</v>
      </c>
      <c r="AE124" s="31" t="s">
        <v>911</v>
      </c>
      <c r="AF124" s="31" t="s">
        <v>912</v>
      </c>
      <c r="AG124" s="31">
        <v>38408150</v>
      </c>
      <c r="AH124" s="31" t="s">
        <v>913</v>
      </c>
      <c r="AJ124" s="31">
        <v>600</v>
      </c>
      <c r="AK124" s="31" t="s">
        <v>914</v>
      </c>
      <c r="AM124" s="31" t="s">
        <v>309</v>
      </c>
      <c r="AU124" s="31">
        <v>0</v>
      </c>
      <c r="AV124" s="31">
        <v>1332216.81</v>
      </c>
      <c r="BB124" s="31">
        <v>1</v>
      </c>
      <c r="BC124" s="31">
        <v>2591</v>
      </c>
      <c r="BD124" s="31">
        <v>365947</v>
      </c>
      <c r="BE124" s="31" t="s">
        <v>422</v>
      </c>
      <c r="BF124" s="31">
        <v>0</v>
      </c>
      <c r="BG124" s="31" t="s">
        <v>923</v>
      </c>
      <c r="BH124" s="31">
        <v>0</v>
      </c>
      <c r="BI124" s="31">
        <v>0</v>
      </c>
      <c r="BJ124" s="31">
        <v>2852670.06</v>
      </c>
    </row>
    <row r="125" spans="1:62">
      <c r="A125" s="24" t="s">
        <v>78</v>
      </c>
      <c r="B125" s="31">
        <v>8239</v>
      </c>
      <c r="C125" s="31" t="s">
        <v>319</v>
      </c>
      <c r="D125" s="31" t="s">
        <v>82</v>
      </c>
      <c r="E125" s="31" t="s">
        <v>64</v>
      </c>
      <c r="F125" s="24" t="str">
        <f>IF(Tabela1[[#This Row],[Data Prevista de Conclusão da Obra]]&lt;$C$1,"Atrasada","-")</f>
        <v>-</v>
      </c>
      <c r="G125" s="53" t="s">
        <v>64</v>
      </c>
      <c r="H125" s="24">
        <f>IF(Tabela1[[#This Row],[Levant OS - Jun/17]]=Tabela1[[#This Row],[Situação2]],0,1)</f>
        <v>0</v>
      </c>
      <c r="I125" s="31" t="s">
        <v>309</v>
      </c>
      <c r="J125" s="31" t="s">
        <v>310</v>
      </c>
      <c r="K125" s="31">
        <v>38407624</v>
      </c>
      <c r="L125" s="31" t="s">
        <v>934</v>
      </c>
      <c r="M125" s="31" t="s">
        <v>935</v>
      </c>
      <c r="N125" s="31" t="s">
        <v>314</v>
      </c>
      <c r="P125" s="31" t="s">
        <v>408</v>
      </c>
      <c r="Q125" s="31">
        <v>0</v>
      </c>
      <c r="R125" s="24" t="s">
        <v>59</v>
      </c>
      <c r="S125" s="31" t="s">
        <v>409</v>
      </c>
      <c r="T125" s="31" t="s">
        <v>680</v>
      </c>
      <c r="U125" s="31" t="s">
        <v>290</v>
      </c>
      <c r="V125" s="31" t="s">
        <v>411</v>
      </c>
      <c r="W125" s="31" t="s">
        <v>922</v>
      </c>
      <c r="X125" s="31" t="s">
        <v>412</v>
      </c>
      <c r="Y125" s="31">
        <v>18431312000115</v>
      </c>
      <c r="AA125" s="31" t="s">
        <v>907</v>
      </c>
      <c r="AB125" s="31" t="s">
        <v>908</v>
      </c>
      <c r="AC125" s="31" t="s">
        <v>909</v>
      </c>
      <c r="AD125" s="31" t="s">
        <v>910</v>
      </c>
      <c r="AE125" s="31" t="s">
        <v>911</v>
      </c>
      <c r="AF125" s="31" t="s">
        <v>912</v>
      </c>
      <c r="AG125" s="31">
        <v>38408150</v>
      </c>
      <c r="AH125" s="31" t="s">
        <v>913</v>
      </c>
      <c r="AJ125" s="31">
        <v>600</v>
      </c>
      <c r="AK125" s="31" t="s">
        <v>914</v>
      </c>
      <c r="AM125" s="31" t="s">
        <v>309</v>
      </c>
      <c r="AU125" s="31">
        <v>0</v>
      </c>
      <c r="AV125" s="31">
        <v>0</v>
      </c>
      <c r="BB125" s="31">
        <v>1</v>
      </c>
      <c r="BC125" s="31">
        <v>2591</v>
      </c>
      <c r="BD125" s="31">
        <v>365947</v>
      </c>
      <c r="BE125" s="31" t="s">
        <v>422</v>
      </c>
      <c r="BF125" s="31">
        <v>0</v>
      </c>
      <c r="BG125" s="31" t="s">
        <v>923</v>
      </c>
      <c r="BH125" s="31">
        <v>0</v>
      </c>
      <c r="BI125" s="31">
        <v>0</v>
      </c>
      <c r="BJ125" s="31">
        <v>2852670.06</v>
      </c>
    </row>
    <row r="126" spans="1:62">
      <c r="A126" s="24" t="s">
        <v>78</v>
      </c>
      <c r="B126" s="31">
        <v>8240</v>
      </c>
      <c r="C126" s="31" t="s">
        <v>320</v>
      </c>
      <c r="D126" s="31" t="s">
        <v>82</v>
      </c>
      <c r="E126" s="31" t="s">
        <v>64</v>
      </c>
      <c r="F126" s="24" t="str">
        <f>IF(Tabela1[[#This Row],[Data Prevista de Conclusão da Obra]]&lt;$C$1,"Atrasada","-")</f>
        <v>-</v>
      </c>
      <c r="G126" s="53" t="s">
        <v>64</v>
      </c>
      <c r="H126" s="24">
        <f>IF(Tabela1[[#This Row],[Levant OS - Jun/17]]=Tabela1[[#This Row],[Situação2]],0,1)</f>
        <v>0</v>
      </c>
      <c r="I126" s="31" t="s">
        <v>309</v>
      </c>
      <c r="J126" s="31" t="s">
        <v>310</v>
      </c>
      <c r="K126" s="31">
        <v>38413153</v>
      </c>
      <c r="L126" s="31" t="s">
        <v>936</v>
      </c>
      <c r="M126" s="31" t="s">
        <v>937</v>
      </c>
      <c r="N126" s="31" t="s">
        <v>314</v>
      </c>
      <c r="P126" s="31" t="s">
        <v>408</v>
      </c>
      <c r="Q126" s="31">
        <v>0</v>
      </c>
      <c r="R126" s="24" t="s">
        <v>59</v>
      </c>
      <c r="S126" s="31" t="s">
        <v>409</v>
      </c>
      <c r="T126" s="31" t="s">
        <v>447</v>
      </c>
      <c r="U126" s="31" t="s">
        <v>290</v>
      </c>
      <c r="V126" s="31" t="s">
        <v>411</v>
      </c>
      <c r="W126" s="31" t="s">
        <v>926</v>
      </c>
      <c r="X126" s="31" t="s">
        <v>412</v>
      </c>
      <c r="Y126" s="31">
        <v>18431312000115</v>
      </c>
      <c r="AA126" s="31" t="s">
        <v>907</v>
      </c>
      <c r="AB126" s="31" t="s">
        <v>908</v>
      </c>
      <c r="AC126" s="31" t="s">
        <v>909</v>
      </c>
      <c r="AD126" s="31" t="s">
        <v>910</v>
      </c>
      <c r="AE126" s="31" t="s">
        <v>911</v>
      </c>
      <c r="AF126" s="31" t="s">
        <v>912</v>
      </c>
      <c r="AG126" s="31">
        <v>38408150</v>
      </c>
      <c r="AH126" s="31" t="s">
        <v>913</v>
      </c>
      <c r="AJ126" s="31">
        <v>600</v>
      </c>
      <c r="AK126" s="31" t="s">
        <v>914</v>
      </c>
      <c r="AM126" s="31" t="s">
        <v>309</v>
      </c>
      <c r="AU126" s="31">
        <v>0</v>
      </c>
      <c r="AV126" s="31">
        <v>620700.9</v>
      </c>
      <c r="BB126" s="31">
        <v>1</v>
      </c>
      <c r="BC126" s="31">
        <v>2591</v>
      </c>
      <c r="BD126" s="31">
        <v>365947</v>
      </c>
      <c r="BE126" s="31" t="s">
        <v>422</v>
      </c>
      <c r="BF126" s="31">
        <v>0</v>
      </c>
      <c r="BG126" s="31" t="s">
        <v>923</v>
      </c>
      <c r="BH126" s="31">
        <v>0</v>
      </c>
      <c r="BI126" s="31">
        <v>0</v>
      </c>
      <c r="BJ126" s="31">
        <v>2852670.06</v>
      </c>
    </row>
    <row r="127" spans="1:62">
      <c r="A127" s="24" t="s">
        <v>78</v>
      </c>
      <c r="B127" s="31">
        <v>8241</v>
      </c>
      <c r="C127" s="31" t="s">
        <v>321</v>
      </c>
      <c r="D127" s="31" t="s">
        <v>82</v>
      </c>
      <c r="E127" s="31" t="s">
        <v>64</v>
      </c>
      <c r="F127" s="24" t="str">
        <f>IF(Tabela1[[#This Row],[Data Prevista de Conclusão da Obra]]&lt;$C$1,"Atrasada","-")</f>
        <v>-</v>
      </c>
      <c r="G127" s="53" t="s">
        <v>64</v>
      </c>
      <c r="H127" s="24">
        <f>IF(Tabela1[[#This Row],[Levant OS - Jun/17]]=Tabela1[[#This Row],[Situação2]],0,1)</f>
        <v>0</v>
      </c>
      <c r="I127" s="31" t="s">
        <v>309</v>
      </c>
      <c r="J127" s="31" t="s">
        <v>310</v>
      </c>
      <c r="K127" s="31">
        <v>38407366</v>
      </c>
      <c r="L127" s="31" t="s">
        <v>938</v>
      </c>
      <c r="M127" s="31" t="s">
        <v>939</v>
      </c>
      <c r="N127" s="31" t="s">
        <v>314</v>
      </c>
      <c r="P127" s="31" t="s">
        <v>408</v>
      </c>
      <c r="Q127" s="31">
        <v>0</v>
      </c>
      <c r="R127" s="24" t="s">
        <v>59</v>
      </c>
      <c r="S127" s="31" t="s">
        <v>409</v>
      </c>
      <c r="T127" s="31" t="s">
        <v>680</v>
      </c>
      <c r="U127" s="31" t="s">
        <v>290</v>
      </c>
      <c r="V127" s="31" t="s">
        <v>411</v>
      </c>
      <c r="W127" s="31" t="s">
        <v>922</v>
      </c>
      <c r="X127" s="31" t="s">
        <v>412</v>
      </c>
      <c r="Y127" s="31">
        <v>18431312000115</v>
      </c>
      <c r="AA127" s="31" t="s">
        <v>907</v>
      </c>
      <c r="AB127" s="31" t="s">
        <v>908</v>
      </c>
      <c r="AC127" s="31" t="s">
        <v>909</v>
      </c>
      <c r="AD127" s="31" t="s">
        <v>910</v>
      </c>
      <c r="AE127" s="31" t="s">
        <v>911</v>
      </c>
      <c r="AF127" s="31" t="s">
        <v>912</v>
      </c>
      <c r="AG127" s="31">
        <v>38408150</v>
      </c>
      <c r="AH127" s="31" t="s">
        <v>913</v>
      </c>
      <c r="AJ127" s="31">
        <v>600</v>
      </c>
      <c r="AK127" s="31" t="s">
        <v>914</v>
      </c>
      <c r="AM127" s="31" t="s">
        <v>309</v>
      </c>
      <c r="AU127" s="31">
        <v>0</v>
      </c>
      <c r="AV127" s="31">
        <v>0</v>
      </c>
      <c r="BB127" s="31">
        <v>1</v>
      </c>
      <c r="BC127" s="31">
        <v>2591</v>
      </c>
      <c r="BD127" s="31">
        <v>365947</v>
      </c>
      <c r="BE127" s="31" t="s">
        <v>422</v>
      </c>
      <c r="BF127" s="31">
        <v>0</v>
      </c>
      <c r="BG127" s="31" t="s">
        <v>923</v>
      </c>
      <c r="BH127" s="31">
        <v>0</v>
      </c>
      <c r="BI127" s="31">
        <v>0</v>
      </c>
      <c r="BJ127" s="31">
        <v>2852670.06</v>
      </c>
    </row>
    <row r="128" spans="1:62">
      <c r="A128" s="24" t="s">
        <v>78</v>
      </c>
      <c r="B128" s="31">
        <v>1001247</v>
      </c>
      <c r="C128" s="31" t="s">
        <v>68</v>
      </c>
      <c r="D128" s="31" t="s">
        <v>137</v>
      </c>
      <c r="E128" s="31" t="s">
        <v>64</v>
      </c>
      <c r="F128" s="24" t="str">
        <f>IF(Tabela1[[#This Row],[Data Prevista de Conclusão da Obra]]&lt;$C$1,"Atrasada","-")</f>
        <v>-</v>
      </c>
      <c r="G128" s="53" t="s">
        <v>64</v>
      </c>
      <c r="H128" s="24">
        <f>IF(Tabela1[[#This Row],[Levant OS - Jun/17]]=Tabela1[[#This Row],[Situação2]],0,1)</f>
        <v>0</v>
      </c>
      <c r="I128" s="31" t="s">
        <v>309</v>
      </c>
      <c r="J128" s="31" t="s">
        <v>310</v>
      </c>
      <c r="K128" s="31">
        <v>38405210</v>
      </c>
      <c r="L128" s="31" t="s">
        <v>940</v>
      </c>
      <c r="M128" s="31" t="s">
        <v>941</v>
      </c>
      <c r="N128" s="31" t="s">
        <v>322</v>
      </c>
      <c r="O128" s="31" t="s">
        <v>942</v>
      </c>
      <c r="P128" s="31" t="s">
        <v>408</v>
      </c>
      <c r="Q128" s="31">
        <v>0</v>
      </c>
      <c r="R128" s="24" t="s">
        <v>59</v>
      </c>
      <c r="S128" s="31" t="s">
        <v>409</v>
      </c>
      <c r="T128" s="31" t="s">
        <v>546</v>
      </c>
      <c r="U128" s="31" t="s">
        <v>290</v>
      </c>
      <c r="V128" s="31" t="s">
        <v>411</v>
      </c>
      <c r="W128" s="31" t="s">
        <v>943</v>
      </c>
      <c r="X128" s="31" t="s">
        <v>412</v>
      </c>
      <c r="Y128" s="31">
        <v>18431312000115</v>
      </c>
      <c r="AA128" s="31" t="s">
        <v>907</v>
      </c>
      <c r="AB128" s="31" t="s">
        <v>908</v>
      </c>
      <c r="AC128" s="31" t="s">
        <v>909</v>
      </c>
      <c r="AD128" s="31" t="s">
        <v>910</v>
      </c>
      <c r="AE128" s="31" t="s">
        <v>911</v>
      </c>
      <c r="AF128" s="31" t="s">
        <v>912</v>
      </c>
      <c r="AG128" s="31">
        <v>38408150</v>
      </c>
      <c r="AH128" s="31" t="s">
        <v>913</v>
      </c>
      <c r="AJ128" s="31">
        <v>600</v>
      </c>
      <c r="AK128" s="31" t="s">
        <v>914</v>
      </c>
      <c r="AM128" s="31" t="s">
        <v>309</v>
      </c>
      <c r="AV128" s="31" t="s">
        <v>944</v>
      </c>
      <c r="AZ128" s="31" t="s">
        <v>945</v>
      </c>
      <c r="BA128" s="31">
        <v>32.779666499999998</v>
      </c>
      <c r="BB128" s="31">
        <v>1</v>
      </c>
      <c r="BC128" s="31">
        <v>2591</v>
      </c>
      <c r="BD128" s="31">
        <v>573744</v>
      </c>
      <c r="BE128" s="31" t="s">
        <v>422</v>
      </c>
      <c r="BF128" s="31">
        <v>0</v>
      </c>
      <c r="BG128" s="31" t="s">
        <v>922</v>
      </c>
      <c r="BH128" s="31">
        <v>0</v>
      </c>
      <c r="BI128" s="31">
        <v>0</v>
      </c>
      <c r="BJ128" s="31">
        <v>0</v>
      </c>
    </row>
    <row r="129" spans="1:63">
      <c r="A129" s="24" t="s">
        <v>78</v>
      </c>
      <c r="B129" s="31">
        <v>1001248</v>
      </c>
      <c r="C129" s="31" t="s">
        <v>62</v>
      </c>
      <c r="D129" s="31" t="s">
        <v>137</v>
      </c>
      <c r="E129" s="31" t="s">
        <v>64</v>
      </c>
      <c r="F129" s="24" t="str">
        <f>IF(Tabela1[[#This Row],[Data Prevista de Conclusão da Obra]]&lt;$C$1,"Atrasada","-")</f>
        <v>-</v>
      </c>
      <c r="G129" s="53" t="s">
        <v>64</v>
      </c>
      <c r="H129" s="24">
        <f>IF(Tabela1[[#This Row],[Levant OS - Jun/17]]=Tabela1[[#This Row],[Situação2]],0,1)</f>
        <v>0</v>
      </c>
      <c r="I129" s="31" t="s">
        <v>309</v>
      </c>
      <c r="J129" s="31" t="s">
        <v>310</v>
      </c>
      <c r="K129" s="31">
        <v>38414058</v>
      </c>
      <c r="L129" s="31" t="s">
        <v>946</v>
      </c>
      <c r="M129" s="31" t="s">
        <v>947</v>
      </c>
      <c r="N129" s="31" t="s">
        <v>322</v>
      </c>
      <c r="O129" s="31" t="s">
        <v>942</v>
      </c>
      <c r="P129" s="31" t="s">
        <v>408</v>
      </c>
      <c r="Q129" s="31">
        <v>0</v>
      </c>
      <c r="R129" s="24" t="s">
        <v>59</v>
      </c>
      <c r="S129" s="31" t="s">
        <v>409</v>
      </c>
      <c r="T129" s="31" t="s">
        <v>546</v>
      </c>
      <c r="U129" s="31" t="s">
        <v>290</v>
      </c>
      <c r="V129" s="31" t="s">
        <v>411</v>
      </c>
      <c r="W129" s="31" t="s">
        <v>948</v>
      </c>
      <c r="X129" s="31" t="s">
        <v>412</v>
      </c>
      <c r="Y129" s="31">
        <v>18431312000115</v>
      </c>
      <c r="AA129" s="31" t="s">
        <v>907</v>
      </c>
      <c r="AB129" s="31" t="s">
        <v>908</v>
      </c>
      <c r="AC129" s="31" t="s">
        <v>909</v>
      </c>
      <c r="AD129" s="31" t="s">
        <v>910</v>
      </c>
      <c r="AE129" s="31" t="s">
        <v>911</v>
      </c>
      <c r="AF129" s="31" t="s">
        <v>912</v>
      </c>
      <c r="AG129" s="31">
        <v>38408150</v>
      </c>
      <c r="AH129" s="31" t="s">
        <v>913</v>
      </c>
      <c r="AJ129" s="31">
        <v>600</v>
      </c>
      <c r="AK129" s="31" t="s">
        <v>914</v>
      </c>
      <c r="AM129" s="31" t="s">
        <v>309</v>
      </c>
      <c r="AV129" s="31">
        <v>1576736.04</v>
      </c>
      <c r="AZ129" s="31" t="s">
        <v>949</v>
      </c>
      <c r="BA129" s="31">
        <v>21.655843749999999</v>
      </c>
      <c r="BB129" s="31">
        <v>1</v>
      </c>
      <c r="BC129" s="31">
        <v>2591</v>
      </c>
      <c r="BD129" s="31">
        <v>573744</v>
      </c>
      <c r="BE129" s="31" t="s">
        <v>422</v>
      </c>
      <c r="BF129" s="31">
        <v>0</v>
      </c>
      <c r="BG129" s="31" t="s">
        <v>922</v>
      </c>
      <c r="BH129" s="31">
        <v>0</v>
      </c>
      <c r="BI129" s="31">
        <v>0</v>
      </c>
      <c r="BJ129" s="31">
        <v>0</v>
      </c>
    </row>
    <row r="130" spans="1:63">
      <c r="A130" s="24" t="s">
        <v>78</v>
      </c>
      <c r="B130" s="31">
        <v>1002357</v>
      </c>
      <c r="C130" s="31" t="s">
        <v>323</v>
      </c>
      <c r="D130" s="31" t="s">
        <v>137</v>
      </c>
      <c r="E130" s="31" t="s">
        <v>64</v>
      </c>
      <c r="F130" s="24" t="str">
        <f>IF(Tabela1[[#This Row],[Data Prevista de Conclusão da Obra]]&lt;$C$1,"Atrasada","-")</f>
        <v>-</v>
      </c>
      <c r="G130" s="53" t="s">
        <v>64</v>
      </c>
      <c r="H130" s="24">
        <f>IF(Tabela1[[#This Row],[Levant OS - Jun/17]]=Tabela1[[#This Row],[Situação2]],0,1)</f>
        <v>0</v>
      </c>
      <c r="I130" s="31" t="s">
        <v>309</v>
      </c>
      <c r="J130" s="31" t="s">
        <v>310</v>
      </c>
      <c r="K130" s="31">
        <v>38414503</v>
      </c>
      <c r="L130" s="31" t="s">
        <v>950</v>
      </c>
      <c r="M130" s="31" t="s">
        <v>951</v>
      </c>
      <c r="N130" s="31" t="s">
        <v>324</v>
      </c>
      <c r="O130" s="31" t="s">
        <v>952</v>
      </c>
      <c r="P130" s="31" t="s">
        <v>408</v>
      </c>
      <c r="Q130" s="31">
        <v>0</v>
      </c>
      <c r="R130" s="24" t="s">
        <v>59</v>
      </c>
      <c r="S130" s="31" t="s">
        <v>409</v>
      </c>
      <c r="T130" s="31" t="s">
        <v>546</v>
      </c>
      <c r="U130" s="31" t="s">
        <v>290</v>
      </c>
      <c r="V130" s="31" t="s">
        <v>411</v>
      </c>
      <c r="W130" s="31" t="s">
        <v>953</v>
      </c>
      <c r="X130" s="31" t="s">
        <v>412</v>
      </c>
      <c r="Y130" s="31">
        <v>18431312000115</v>
      </c>
      <c r="AA130" s="31" t="s">
        <v>907</v>
      </c>
      <c r="AB130" s="31" t="s">
        <v>908</v>
      </c>
      <c r="AC130" s="31" t="s">
        <v>909</v>
      </c>
      <c r="AD130" s="31" t="s">
        <v>910</v>
      </c>
      <c r="AE130" s="31" t="s">
        <v>911</v>
      </c>
      <c r="AF130" s="31" t="s">
        <v>912</v>
      </c>
      <c r="AG130" s="31">
        <v>38408150</v>
      </c>
      <c r="AH130" s="31" t="s">
        <v>913</v>
      </c>
      <c r="AJ130" s="31">
        <v>600</v>
      </c>
      <c r="AK130" s="31" t="s">
        <v>914</v>
      </c>
      <c r="AM130" s="31" t="s">
        <v>309</v>
      </c>
      <c r="AV130" s="31">
        <v>1574911.54</v>
      </c>
      <c r="AZ130" s="31" t="s">
        <v>954</v>
      </c>
      <c r="BA130" s="31">
        <v>21.644976400000001</v>
      </c>
      <c r="BB130" s="31">
        <v>1</v>
      </c>
      <c r="BC130" s="31">
        <v>2591</v>
      </c>
      <c r="BD130" s="31">
        <v>498238</v>
      </c>
      <c r="BE130" s="31" t="s">
        <v>422</v>
      </c>
      <c r="BF130" s="31">
        <v>0</v>
      </c>
      <c r="BG130" s="31" t="s">
        <v>955</v>
      </c>
      <c r="BH130" s="31">
        <v>0</v>
      </c>
      <c r="BI130" s="31">
        <v>0</v>
      </c>
      <c r="BJ130" s="31">
        <v>4604895.97</v>
      </c>
    </row>
    <row r="131" spans="1:63">
      <c r="A131" s="24" t="s">
        <v>78</v>
      </c>
      <c r="B131" s="31">
        <v>1002358</v>
      </c>
      <c r="C131" s="31" t="s">
        <v>325</v>
      </c>
      <c r="D131" s="31" t="s">
        <v>137</v>
      </c>
      <c r="E131" s="31" t="s">
        <v>64</v>
      </c>
      <c r="F131" s="24" t="str">
        <f>IF(Tabela1[[#This Row],[Data Prevista de Conclusão da Obra]]&lt;$C$1,"Atrasada","-")</f>
        <v>-</v>
      </c>
      <c r="G131" s="53" t="s">
        <v>64</v>
      </c>
      <c r="H131" s="24">
        <f>IF(Tabela1[[#This Row],[Levant OS - Jun/17]]=Tabela1[[#This Row],[Situação2]],0,1)</f>
        <v>0</v>
      </c>
      <c r="I131" s="31" t="s">
        <v>309</v>
      </c>
      <c r="J131" s="31" t="s">
        <v>310</v>
      </c>
      <c r="K131" s="31">
        <v>38415441</v>
      </c>
      <c r="L131" s="31" t="s">
        <v>956</v>
      </c>
      <c r="M131" s="31" t="s">
        <v>957</v>
      </c>
      <c r="N131" s="31" t="s">
        <v>324</v>
      </c>
      <c r="O131" s="31" t="s">
        <v>952</v>
      </c>
      <c r="P131" s="31" t="s">
        <v>408</v>
      </c>
      <c r="Q131" s="31">
        <v>0</v>
      </c>
      <c r="R131" s="24" t="s">
        <v>59</v>
      </c>
      <c r="S131" s="31" t="s">
        <v>409</v>
      </c>
      <c r="T131" s="31" t="s">
        <v>546</v>
      </c>
      <c r="U131" s="31" t="s">
        <v>290</v>
      </c>
      <c r="V131" s="31" t="s">
        <v>411</v>
      </c>
      <c r="W131" s="31" t="s">
        <v>958</v>
      </c>
      <c r="X131" s="31" t="s">
        <v>412</v>
      </c>
      <c r="Y131" s="31">
        <v>18431312000115</v>
      </c>
      <c r="AA131" s="31" t="s">
        <v>907</v>
      </c>
      <c r="AB131" s="31" t="s">
        <v>908</v>
      </c>
      <c r="AC131" s="31" t="s">
        <v>909</v>
      </c>
      <c r="AD131" s="31" t="s">
        <v>910</v>
      </c>
      <c r="AE131" s="31" t="s">
        <v>911</v>
      </c>
      <c r="AF131" s="31" t="s">
        <v>912</v>
      </c>
      <c r="AG131" s="31">
        <v>38408150</v>
      </c>
      <c r="AH131" s="31" t="s">
        <v>913</v>
      </c>
      <c r="AJ131" s="31">
        <v>600</v>
      </c>
      <c r="AK131" s="31" t="s">
        <v>914</v>
      </c>
      <c r="AM131" s="31" t="s">
        <v>309</v>
      </c>
      <c r="AV131" s="31">
        <v>1579200.04</v>
      </c>
      <c r="AZ131" s="31" t="s">
        <v>959</v>
      </c>
      <c r="BA131" s="31">
        <v>32.852430300000002</v>
      </c>
      <c r="BB131" s="31">
        <v>1</v>
      </c>
      <c r="BC131" s="31">
        <v>2591</v>
      </c>
      <c r="BD131" s="31">
        <v>498238</v>
      </c>
      <c r="BE131" s="31" t="s">
        <v>422</v>
      </c>
      <c r="BF131" s="31">
        <v>0</v>
      </c>
      <c r="BG131" s="31" t="s">
        <v>955</v>
      </c>
      <c r="BH131" s="31">
        <v>0</v>
      </c>
      <c r="BI131" s="31">
        <v>0</v>
      </c>
      <c r="BJ131" s="31">
        <v>4604895.97</v>
      </c>
    </row>
    <row r="132" spans="1:63">
      <c r="A132" s="24" t="s">
        <v>78</v>
      </c>
      <c r="B132" s="31">
        <v>1002359</v>
      </c>
      <c r="C132" s="31" t="s">
        <v>326</v>
      </c>
      <c r="D132" s="31" t="s">
        <v>137</v>
      </c>
      <c r="E132" s="31" t="s">
        <v>64</v>
      </c>
      <c r="F132" s="24" t="str">
        <f>IF(Tabela1[[#This Row],[Data Prevista de Conclusão da Obra]]&lt;$C$1,"Atrasada","-")</f>
        <v>-</v>
      </c>
      <c r="G132" s="53" t="s">
        <v>64</v>
      </c>
      <c r="H132" s="24">
        <f>IF(Tabela1[[#This Row],[Levant OS - Jun/17]]=Tabela1[[#This Row],[Situação2]],0,1)</f>
        <v>0</v>
      </c>
      <c r="I132" s="31" t="s">
        <v>309</v>
      </c>
      <c r="J132" s="31" t="s">
        <v>310</v>
      </c>
      <c r="K132" s="31">
        <v>38411763</v>
      </c>
      <c r="L132" s="31" t="s">
        <v>960</v>
      </c>
      <c r="M132" s="31" t="s">
        <v>961</v>
      </c>
      <c r="N132" s="31" t="s">
        <v>324</v>
      </c>
      <c r="O132" s="31" t="s">
        <v>952</v>
      </c>
      <c r="P132" s="31" t="s">
        <v>408</v>
      </c>
      <c r="Q132" s="31">
        <v>0</v>
      </c>
      <c r="R132" s="24" t="s">
        <v>59</v>
      </c>
      <c r="S132" s="31" t="s">
        <v>409</v>
      </c>
      <c r="T132" s="31" t="s">
        <v>546</v>
      </c>
      <c r="U132" s="31" t="s">
        <v>290</v>
      </c>
      <c r="V132" s="31" t="s">
        <v>411</v>
      </c>
      <c r="W132" s="31" t="s">
        <v>962</v>
      </c>
      <c r="X132" s="31" t="s">
        <v>412</v>
      </c>
      <c r="Y132" s="31">
        <v>18431312000115</v>
      </c>
      <c r="AA132" s="31" t="s">
        <v>907</v>
      </c>
      <c r="AB132" s="31" t="s">
        <v>908</v>
      </c>
      <c r="AC132" s="31" t="s">
        <v>909</v>
      </c>
      <c r="AD132" s="31" t="s">
        <v>910</v>
      </c>
      <c r="AE132" s="31" t="s">
        <v>911</v>
      </c>
      <c r="AF132" s="31" t="s">
        <v>912</v>
      </c>
      <c r="AG132" s="31">
        <v>38408150</v>
      </c>
      <c r="AH132" s="31" t="s">
        <v>913</v>
      </c>
      <c r="AJ132" s="31">
        <v>600</v>
      </c>
      <c r="AK132" s="31" t="s">
        <v>914</v>
      </c>
      <c r="AM132" s="31" t="s">
        <v>309</v>
      </c>
      <c r="AV132" s="31">
        <v>1565080.04</v>
      </c>
      <c r="AZ132" s="31" t="s">
        <v>963</v>
      </c>
      <c r="BA132" s="31">
        <v>21.50985579</v>
      </c>
      <c r="BB132" s="31">
        <v>1</v>
      </c>
      <c r="BC132" s="31">
        <v>2591</v>
      </c>
      <c r="BD132" s="31">
        <v>498238</v>
      </c>
      <c r="BE132" s="31" t="s">
        <v>422</v>
      </c>
      <c r="BF132" s="31">
        <v>0</v>
      </c>
      <c r="BG132" s="31" t="s">
        <v>955</v>
      </c>
      <c r="BH132" s="31">
        <v>0</v>
      </c>
      <c r="BI132" s="31">
        <v>0</v>
      </c>
      <c r="BJ132" s="31">
        <v>4604895.97</v>
      </c>
    </row>
    <row r="133" spans="1:63">
      <c r="A133" s="24" t="s">
        <v>78</v>
      </c>
      <c r="B133" s="31">
        <v>1002360</v>
      </c>
      <c r="C133" s="31" t="s">
        <v>73</v>
      </c>
      <c r="D133" s="31" t="s">
        <v>137</v>
      </c>
      <c r="E133" s="31" t="s">
        <v>64</v>
      </c>
      <c r="F133" s="24" t="str">
        <f>IF(Tabela1[[#This Row],[Data Prevista de Conclusão da Obra]]&lt;$C$1,"Atrasada","-")</f>
        <v>-</v>
      </c>
      <c r="G133" s="53" t="s">
        <v>64</v>
      </c>
      <c r="H133" s="24">
        <f>IF(Tabela1[[#This Row],[Levant OS - Jun/17]]=Tabela1[[#This Row],[Situação2]],0,1)</f>
        <v>0</v>
      </c>
      <c r="I133" s="31" t="s">
        <v>309</v>
      </c>
      <c r="J133" s="31" t="s">
        <v>310</v>
      </c>
      <c r="K133" s="31">
        <v>38412712</v>
      </c>
      <c r="L133" s="31" t="s">
        <v>964</v>
      </c>
      <c r="M133" s="31" t="s">
        <v>965</v>
      </c>
      <c r="N133" s="31" t="s">
        <v>324</v>
      </c>
      <c r="O133" s="31" t="s">
        <v>952</v>
      </c>
      <c r="P133" s="31" t="s">
        <v>408</v>
      </c>
      <c r="Q133" s="31">
        <v>0</v>
      </c>
      <c r="R133" s="24" t="s">
        <v>59</v>
      </c>
      <c r="S133" s="31" t="s">
        <v>409</v>
      </c>
      <c r="T133" s="31" t="s">
        <v>546</v>
      </c>
      <c r="U133" s="31" t="s">
        <v>290</v>
      </c>
      <c r="V133" s="31" t="s">
        <v>411</v>
      </c>
      <c r="W133" s="31" t="s">
        <v>966</v>
      </c>
      <c r="X133" s="31" t="s">
        <v>412</v>
      </c>
      <c r="Y133" s="31">
        <v>18431312000115</v>
      </c>
      <c r="AA133" s="31" t="s">
        <v>907</v>
      </c>
      <c r="AB133" s="31" t="s">
        <v>908</v>
      </c>
      <c r="AC133" s="31" t="s">
        <v>909</v>
      </c>
      <c r="AD133" s="31" t="s">
        <v>910</v>
      </c>
      <c r="AE133" s="31" t="s">
        <v>911</v>
      </c>
      <c r="AF133" s="31" t="s">
        <v>912</v>
      </c>
      <c r="AG133" s="31">
        <v>38408150</v>
      </c>
      <c r="AH133" s="31" t="s">
        <v>913</v>
      </c>
      <c r="AJ133" s="31">
        <v>600</v>
      </c>
      <c r="AK133" s="31" t="s">
        <v>914</v>
      </c>
      <c r="AM133" s="31" t="s">
        <v>309</v>
      </c>
      <c r="AV133" s="31">
        <v>1591930.04</v>
      </c>
      <c r="AZ133" s="31" t="s">
        <v>967</v>
      </c>
      <c r="BA133" s="31">
        <v>21.878871820000001</v>
      </c>
      <c r="BB133" s="31">
        <v>1</v>
      </c>
      <c r="BC133" s="31">
        <v>2591</v>
      </c>
      <c r="BD133" s="31">
        <v>498238</v>
      </c>
      <c r="BE133" s="31" t="s">
        <v>422</v>
      </c>
      <c r="BF133" s="31">
        <v>0</v>
      </c>
      <c r="BG133" s="31" t="s">
        <v>955</v>
      </c>
      <c r="BH133" s="31">
        <v>0</v>
      </c>
      <c r="BI133" s="31">
        <v>0</v>
      </c>
      <c r="BJ133" s="31">
        <v>4604895.97</v>
      </c>
    </row>
    <row r="134" spans="1:63">
      <c r="A134" s="24" t="s">
        <v>78</v>
      </c>
      <c r="B134" s="31">
        <v>1002361</v>
      </c>
      <c r="C134" s="31" t="s">
        <v>327</v>
      </c>
      <c r="D134" s="31" t="s">
        <v>137</v>
      </c>
      <c r="E134" s="31" t="s">
        <v>64</v>
      </c>
      <c r="F134" s="24" t="str">
        <f>IF(Tabela1[[#This Row],[Data Prevista de Conclusão da Obra]]&lt;$C$1,"Atrasada","-")</f>
        <v>-</v>
      </c>
      <c r="G134" s="53" t="s">
        <v>64</v>
      </c>
      <c r="H134" s="24">
        <f>IF(Tabela1[[#This Row],[Levant OS - Jun/17]]=Tabela1[[#This Row],[Situação2]],0,1)</f>
        <v>0</v>
      </c>
      <c r="I134" s="31" t="s">
        <v>309</v>
      </c>
      <c r="J134" s="31" t="s">
        <v>310</v>
      </c>
      <c r="K134" s="31">
        <v>38406560</v>
      </c>
      <c r="L134" s="31" t="s">
        <v>968</v>
      </c>
      <c r="M134" s="31" t="s">
        <v>969</v>
      </c>
      <c r="N134" s="31" t="s">
        <v>324</v>
      </c>
      <c r="O134" s="31" t="s">
        <v>952</v>
      </c>
      <c r="P134" s="31" t="s">
        <v>408</v>
      </c>
      <c r="Q134" s="31">
        <v>0</v>
      </c>
      <c r="R134" s="24" t="s">
        <v>59</v>
      </c>
      <c r="S134" s="31" t="s">
        <v>409</v>
      </c>
      <c r="T134" s="31" t="s">
        <v>546</v>
      </c>
      <c r="U134" s="31" t="s">
        <v>290</v>
      </c>
      <c r="V134" s="31" t="s">
        <v>411</v>
      </c>
      <c r="W134" s="31" t="s">
        <v>970</v>
      </c>
      <c r="X134" s="31" t="s">
        <v>412</v>
      </c>
      <c r="Y134" s="31">
        <v>18431312000115</v>
      </c>
      <c r="AA134" s="31" t="s">
        <v>907</v>
      </c>
      <c r="AB134" s="31" t="s">
        <v>908</v>
      </c>
      <c r="AC134" s="31" t="s">
        <v>909</v>
      </c>
      <c r="AD134" s="31" t="s">
        <v>910</v>
      </c>
      <c r="AE134" s="31" t="s">
        <v>911</v>
      </c>
      <c r="AF134" s="31" t="s">
        <v>912</v>
      </c>
      <c r="AG134" s="31">
        <v>38408150</v>
      </c>
      <c r="AH134" s="31" t="s">
        <v>913</v>
      </c>
      <c r="AJ134" s="31">
        <v>600</v>
      </c>
      <c r="AK134" s="31" t="s">
        <v>914</v>
      </c>
      <c r="AM134" s="31" t="s">
        <v>309</v>
      </c>
      <c r="AV134" s="31">
        <v>1578826.54</v>
      </c>
      <c r="AZ134" s="31" t="s">
        <v>971</v>
      </c>
      <c r="BA134" s="31">
        <v>21.698782649999998</v>
      </c>
      <c r="BB134" s="31">
        <v>1</v>
      </c>
      <c r="BC134" s="31">
        <v>2591</v>
      </c>
      <c r="BD134" s="31">
        <v>498238</v>
      </c>
      <c r="BE134" s="31" t="s">
        <v>422</v>
      </c>
      <c r="BF134" s="31">
        <v>0</v>
      </c>
      <c r="BG134" s="31" t="s">
        <v>955</v>
      </c>
      <c r="BH134" s="31">
        <v>0</v>
      </c>
      <c r="BI134" s="31">
        <v>0</v>
      </c>
      <c r="BJ134" s="31">
        <v>4604895.97</v>
      </c>
    </row>
    <row r="135" spans="1:63">
      <c r="A135" s="24" t="s">
        <v>78</v>
      </c>
      <c r="B135" s="31">
        <v>1002362</v>
      </c>
      <c r="C135" s="31" t="s">
        <v>328</v>
      </c>
      <c r="D135" s="31" t="s">
        <v>137</v>
      </c>
      <c r="E135" s="31" t="s">
        <v>64</v>
      </c>
      <c r="F135" s="24" t="str">
        <f>IF(Tabela1[[#This Row],[Data Prevista de Conclusão da Obra]]&lt;$C$1,"Atrasada","-")</f>
        <v>-</v>
      </c>
      <c r="G135" s="53" t="s">
        <v>64</v>
      </c>
      <c r="H135" s="24">
        <f>IF(Tabela1[[#This Row],[Levant OS - Jun/17]]=Tabela1[[#This Row],[Situação2]],0,1)</f>
        <v>0</v>
      </c>
      <c r="I135" s="31" t="s">
        <v>309</v>
      </c>
      <c r="J135" s="31" t="s">
        <v>310</v>
      </c>
      <c r="K135" s="31">
        <v>38414712</v>
      </c>
      <c r="L135" s="31" t="s">
        <v>972</v>
      </c>
      <c r="M135" s="31" t="s">
        <v>973</v>
      </c>
      <c r="N135" s="31" t="s">
        <v>324</v>
      </c>
      <c r="O135" s="31" t="s">
        <v>952</v>
      </c>
      <c r="P135" s="31" t="s">
        <v>408</v>
      </c>
      <c r="Q135" s="31">
        <v>0</v>
      </c>
      <c r="R135" s="24" t="s">
        <v>59</v>
      </c>
      <c r="S135" s="31" t="s">
        <v>409</v>
      </c>
      <c r="T135" s="31" t="s">
        <v>546</v>
      </c>
      <c r="U135" s="31" t="s">
        <v>290</v>
      </c>
      <c r="V135" s="31" t="s">
        <v>411</v>
      </c>
      <c r="W135" s="31" t="s">
        <v>974</v>
      </c>
      <c r="X135" s="31" t="s">
        <v>412</v>
      </c>
      <c r="Y135" s="31">
        <v>18431312000115</v>
      </c>
      <c r="AA135" s="31" t="s">
        <v>907</v>
      </c>
      <c r="AB135" s="31" t="s">
        <v>908</v>
      </c>
      <c r="AC135" s="31" t="s">
        <v>909</v>
      </c>
      <c r="AD135" s="31" t="s">
        <v>910</v>
      </c>
      <c r="AE135" s="31" t="s">
        <v>911</v>
      </c>
      <c r="AF135" s="31" t="s">
        <v>912</v>
      </c>
      <c r="AG135" s="31">
        <v>38408150</v>
      </c>
      <c r="AH135" s="31" t="s">
        <v>913</v>
      </c>
      <c r="AJ135" s="31">
        <v>600</v>
      </c>
      <c r="AK135" s="31" t="s">
        <v>914</v>
      </c>
      <c r="AM135" s="31" t="s">
        <v>309</v>
      </c>
      <c r="AV135" s="31">
        <v>1583065.04</v>
      </c>
      <c r="AZ135" s="31" t="s">
        <v>975</v>
      </c>
      <c r="BA135" s="31">
        <v>21.75703468</v>
      </c>
      <c r="BB135" s="31">
        <v>1</v>
      </c>
      <c r="BC135" s="31">
        <v>2591</v>
      </c>
      <c r="BD135" s="31">
        <v>498238</v>
      </c>
      <c r="BE135" s="31" t="s">
        <v>422</v>
      </c>
      <c r="BF135" s="31">
        <v>0</v>
      </c>
      <c r="BG135" s="31" t="s">
        <v>955</v>
      </c>
      <c r="BH135" s="31">
        <v>0</v>
      </c>
      <c r="BI135" s="31">
        <v>0</v>
      </c>
      <c r="BJ135" s="31">
        <v>4604895.97</v>
      </c>
    </row>
    <row r="136" spans="1:63">
      <c r="A136" s="24" t="s">
        <v>78</v>
      </c>
      <c r="B136" s="31">
        <v>1002363</v>
      </c>
      <c r="C136" s="31" t="s">
        <v>65</v>
      </c>
      <c r="D136" s="31" t="s">
        <v>137</v>
      </c>
      <c r="E136" s="31" t="s">
        <v>64</v>
      </c>
      <c r="F136" s="24" t="str">
        <f>IF(Tabela1[[#This Row],[Data Prevista de Conclusão da Obra]]&lt;$C$1,"Atrasada","-")</f>
        <v>-</v>
      </c>
      <c r="G136" s="53" t="s">
        <v>64</v>
      </c>
      <c r="H136" s="24">
        <f>IF(Tabela1[[#This Row],[Levant OS - Jun/17]]=Tabela1[[#This Row],[Situação2]],0,1)</f>
        <v>0</v>
      </c>
      <c r="I136" s="31" t="s">
        <v>309</v>
      </c>
      <c r="J136" s="31" t="s">
        <v>310</v>
      </c>
      <c r="K136" s="31">
        <v>38405378</v>
      </c>
      <c r="L136" s="31" t="s">
        <v>976</v>
      </c>
      <c r="M136" s="31" t="s">
        <v>941</v>
      </c>
      <c r="N136" s="31" t="s">
        <v>324</v>
      </c>
      <c r="O136" s="31" t="s">
        <v>952</v>
      </c>
      <c r="P136" s="31" t="s">
        <v>408</v>
      </c>
      <c r="Q136" s="31">
        <v>0</v>
      </c>
      <c r="R136" s="24" t="s">
        <v>59</v>
      </c>
      <c r="S136" s="31" t="s">
        <v>409</v>
      </c>
      <c r="T136" s="31" t="s">
        <v>546</v>
      </c>
      <c r="U136" s="31" t="s">
        <v>290</v>
      </c>
      <c r="V136" s="31" t="s">
        <v>411</v>
      </c>
      <c r="W136" s="31" t="s">
        <v>977</v>
      </c>
      <c r="X136" s="31" t="s">
        <v>412</v>
      </c>
      <c r="Y136" s="31">
        <v>18431312000115</v>
      </c>
      <c r="AA136" s="31" t="s">
        <v>907</v>
      </c>
      <c r="AB136" s="31" t="s">
        <v>908</v>
      </c>
      <c r="AC136" s="31" t="s">
        <v>909</v>
      </c>
      <c r="AD136" s="31" t="s">
        <v>910</v>
      </c>
      <c r="AE136" s="31" t="s">
        <v>911</v>
      </c>
      <c r="AF136" s="31" t="s">
        <v>912</v>
      </c>
      <c r="AG136" s="31">
        <v>38408150</v>
      </c>
      <c r="AH136" s="31" t="s">
        <v>913</v>
      </c>
      <c r="AJ136" s="31">
        <v>600</v>
      </c>
      <c r="AK136" s="31" t="s">
        <v>914</v>
      </c>
      <c r="AM136" s="31" t="s">
        <v>309</v>
      </c>
      <c r="AV136" s="31">
        <v>1591580.04</v>
      </c>
      <c r="AZ136" s="31" t="s">
        <v>978</v>
      </c>
      <c r="BA136" s="31">
        <v>21.87406155</v>
      </c>
      <c r="BB136" s="31">
        <v>1</v>
      </c>
      <c r="BC136" s="31">
        <v>2591</v>
      </c>
      <c r="BD136" s="31">
        <v>498238</v>
      </c>
      <c r="BE136" s="31" t="s">
        <v>422</v>
      </c>
      <c r="BF136" s="31">
        <v>0</v>
      </c>
      <c r="BG136" s="31" t="s">
        <v>955</v>
      </c>
      <c r="BH136" s="31">
        <v>0</v>
      </c>
      <c r="BI136" s="31">
        <v>0</v>
      </c>
      <c r="BJ136" s="31">
        <v>4604895.97</v>
      </c>
    </row>
    <row r="137" spans="1:63">
      <c r="A137" s="24" t="s">
        <v>78</v>
      </c>
      <c r="B137" s="31">
        <v>1002364</v>
      </c>
      <c r="C137" s="31" t="s">
        <v>268</v>
      </c>
      <c r="D137" s="31" t="s">
        <v>23</v>
      </c>
      <c r="E137" s="31" t="s">
        <v>64</v>
      </c>
      <c r="F137" s="24" t="str">
        <f>IF(Tabela1[[#This Row],[Data Prevista de Conclusão da Obra]]&lt;$C$1,"Atrasada","-")</f>
        <v>-</v>
      </c>
      <c r="G137" s="53" t="s">
        <v>64</v>
      </c>
      <c r="H137" s="24">
        <f>IF(Tabela1[[#This Row],[Levant OS - Jun/17]]=Tabela1[[#This Row],[Situação2]],0,1)</f>
        <v>0</v>
      </c>
      <c r="I137" s="31" t="s">
        <v>309</v>
      </c>
      <c r="J137" s="31" t="s">
        <v>310</v>
      </c>
      <c r="K137" s="31">
        <v>38412434</v>
      </c>
      <c r="L137" s="31" t="s">
        <v>979</v>
      </c>
      <c r="M137" s="31" t="s">
        <v>980</v>
      </c>
      <c r="N137" s="31" t="s">
        <v>324</v>
      </c>
      <c r="O137" s="31" t="s">
        <v>952</v>
      </c>
      <c r="P137" s="31" t="s">
        <v>408</v>
      </c>
      <c r="Q137" s="31">
        <v>0</v>
      </c>
      <c r="R137" s="24" t="s">
        <v>59</v>
      </c>
      <c r="S137" s="31" t="s">
        <v>409</v>
      </c>
      <c r="T137" s="31" t="s">
        <v>546</v>
      </c>
      <c r="U137" s="31" t="s">
        <v>290</v>
      </c>
      <c r="V137" s="31" t="s">
        <v>411</v>
      </c>
      <c r="W137" s="31" t="s">
        <v>981</v>
      </c>
      <c r="X137" s="31" t="s">
        <v>412</v>
      </c>
      <c r="Y137" s="31">
        <v>18431312000115</v>
      </c>
      <c r="AA137" s="31" t="s">
        <v>907</v>
      </c>
      <c r="AB137" s="31" t="s">
        <v>908</v>
      </c>
      <c r="AC137" s="31" t="s">
        <v>909</v>
      </c>
      <c r="AD137" s="31" t="s">
        <v>910</v>
      </c>
      <c r="AE137" s="31" t="s">
        <v>911</v>
      </c>
      <c r="AF137" s="31" t="s">
        <v>912</v>
      </c>
      <c r="AG137" s="31">
        <v>38408150</v>
      </c>
      <c r="AH137" s="31" t="s">
        <v>913</v>
      </c>
      <c r="AJ137" s="31">
        <v>600</v>
      </c>
      <c r="AK137" s="31" t="s">
        <v>914</v>
      </c>
      <c r="AM137" s="31" t="s">
        <v>309</v>
      </c>
      <c r="AV137" s="31">
        <v>1581735.04</v>
      </c>
      <c r="AZ137" s="31" t="s">
        <v>982</v>
      </c>
      <c r="BA137" s="31">
        <v>25</v>
      </c>
      <c r="BB137" s="31">
        <v>1</v>
      </c>
      <c r="BC137" s="31">
        <v>2591</v>
      </c>
      <c r="BD137" s="31">
        <v>498238</v>
      </c>
      <c r="BE137" s="31" t="s">
        <v>422</v>
      </c>
      <c r="BF137" s="31">
        <v>0</v>
      </c>
      <c r="BG137" s="31" t="s">
        <v>955</v>
      </c>
      <c r="BH137" s="31">
        <v>0</v>
      </c>
      <c r="BI137" s="31">
        <v>0</v>
      </c>
      <c r="BJ137" s="31">
        <v>4604895.97</v>
      </c>
    </row>
    <row r="138" spans="1:63">
      <c r="A138" s="24" t="s">
        <v>78</v>
      </c>
      <c r="B138" s="31">
        <v>1002365</v>
      </c>
      <c r="C138" s="31" t="s">
        <v>56</v>
      </c>
      <c r="D138" s="31" t="s">
        <v>137</v>
      </c>
      <c r="E138" s="31" t="s">
        <v>64</v>
      </c>
      <c r="F138" s="24" t="str">
        <f>IF(Tabela1[[#This Row],[Data Prevista de Conclusão da Obra]]&lt;$C$1,"Atrasada","-")</f>
        <v>-</v>
      </c>
      <c r="G138" s="53" t="s">
        <v>64</v>
      </c>
      <c r="H138" s="24">
        <f>IF(Tabela1[[#This Row],[Levant OS - Jun/17]]=Tabela1[[#This Row],[Situação2]],0,1)</f>
        <v>0</v>
      </c>
      <c r="I138" s="31" t="s">
        <v>309</v>
      </c>
      <c r="J138" s="31" t="s">
        <v>310</v>
      </c>
      <c r="K138" s="31">
        <v>38400356</v>
      </c>
      <c r="L138" s="31" t="s">
        <v>983</v>
      </c>
      <c r="M138" s="31" t="s">
        <v>984</v>
      </c>
      <c r="N138" s="31" t="s">
        <v>324</v>
      </c>
      <c r="O138" s="31" t="s">
        <v>952</v>
      </c>
      <c r="P138" s="31" t="s">
        <v>408</v>
      </c>
      <c r="Q138" s="31">
        <v>0</v>
      </c>
      <c r="R138" s="24" t="s">
        <v>59</v>
      </c>
      <c r="S138" s="31" t="s">
        <v>409</v>
      </c>
      <c r="T138" s="31" t="s">
        <v>546</v>
      </c>
      <c r="U138" s="31" t="s">
        <v>290</v>
      </c>
      <c r="V138" s="31" t="s">
        <v>411</v>
      </c>
      <c r="W138" s="31" t="s">
        <v>985</v>
      </c>
      <c r="X138" s="31" t="s">
        <v>412</v>
      </c>
      <c r="Y138" s="31">
        <v>18431312000115</v>
      </c>
      <c r="AA138" s="31" t="s">
        <v>907</v>
      </c>
      <c r="AB138" s="31" t="s">
        <v>908</v>
      </c>
      <c r="AC138" s="31" t="s">
        <v>909</v>
      </c>
      <c r="AD138" s="31" t="s">
        <v>910</v>
      </c>
      <c r="AE138" s="31" t="s">
        <v>911</v>
      </c>
      <c r="AF138" s="31" t="s">
        <v>912</v>
      </c>
      <c r="AG138" s="31">
        <v>38408150</v>
      </c>
      <c r="AH138" s="31" t="s">
        <v>913</v>
      </c>
      <c r="AJ138" s="31">
        <v>600</v>
      </c>
      <c r="AK138" s="31" t="s">
        <v>914</v>
      </c>
      <c r="AM138" s="31" t="s">
        <v>309</v>
      </c>
      <c r="AV138" s="31">
        <v>1578611.54</v>
      </c>
      <c r="AZ138" s="31" t="s">
        <v>986</v>
      </c>
      <c r="BA138" s="31">
        <v>21.695827770000001</v>
      </c>
      <c r="BB138" s="31">
        <v>1</v>
      </c>
      <c r="BC138" s="31">
        <v>2591</v>
      </c>
      <c r="BD138" s="31">
        <v>498238</v>
      </c>
      <c r="BE138" s="31" t="s">
        <v>422</v>
      </c>
      <c r="BF138" s="31">
        <v>0</v>
      </c>
      <c r="BG138" s="31" t="s">
        <v>955</v>
      </c>
      <c r="BH138" s="31">
        <v>0</v>
      </c>
      <c r="BI138" s="31">
        <v>0</v>
      </c>
      <c r="BJ138" s="31">
        <v>4604895.97</v>
      </c>
    </row>
    <row r="139" spans="1:63">
      <c r="A139" s="24" t="s">
        <v>78</v>
      </c>
      <c r="B139" s="31">
        <v>1004081</v>
      </c>
      <c r="C139" s="31" t="s">
        <v>329</v>
      </c>
      <c r="D139" s="31" t="s">
        <v>82</v>
      </c>
      <c r="E139" s="31" t="s">
        <v>64</v>
      </c>
      <c r="F139" s="24" t="str">
        <f>IF(Tabela1[[#This Row],[Data Prevista de Conclusão da Obra]]&lt;$C$1,"Atrasada","-")</f>
        <v>-</v>
      </c>
      <c r="G139" s="53" t="s">
        <v>64</v>
      </c>
      <c r="H139" s="24">
        <f>IF(Tabela1[[#This Row],[Levant OS - Jun/17]]=Tabela1[[#This Row],[Situação2]],0,1)</f>
        <v>0</v>
      </c>
      <c r="I139" s="31" t="s">
        <v>309</v>
      </c>
      <c r="J139" s="31" t="s">
        <v>310</v>
      </c>
      <c r="K139" s="31">
        <v>38408150</v>
      </c>
      <c r="L139" s="31" t="s">
        <v>913</v>
      </c>
      <c r="M139" s="31" t="s">
        <v>914</v>
      </c>
      <c r="P139" s="31" t="s">
        <v>408</v>
      </c>
      <c r="Q139" s="31">
        <v>0</v>
      </c>
      <c r="R139" s="24" t="s">
        <v>59</v>
      </c>
      <c r="S139" s="31" t="s">
        <v>409</v>
      </c>
      <c r="T139" s="31" t="s">
        <v>846</v>
      </c>
      <c r="U139" s="31" t="s">
        <v>290</v>
      </c>
      <c r="V139" s="31" t="s">
        <v>411</v>
      </c>
      <c r="W139" s="31" t="s">
        <v>987</v>
      </c>
      <c r="X139" s="31" t="s">
        <v>412</v>
      </c>
      <c r="Y139" s="31">
        <v>18431312000115</v>
      </c>
      <c r="AA139" s="31" t="s">
        <v>907</v>
      </c>
      <c r="AB139" s="31" t="s">
        <v>908</v>
      </c>
      <c r="AC139" s="31" t="s">
        <v>909</v>
      </c>
      <c r="AD139" s="31" t="s">
        <v>910</v>
      </c>
      <c r="AE139" s="31" t="s">
        <v>911</v>
      </c>
      <c r="AF139" s="31" t="s">
        <v>912</v>
      </c>
      <c r="AG139" s="31">
        <v>38408150</v>
      </c>
      <c r="AH139" s="31" t="s">
        <v>913</v>
      </c>
      <c r="AJ139" s="31">
        <v>600</v>
      </c>
      <c r="AK139" s="31" t="s">
        <v>914</v>
      </c>
      <c r="AM139" s="31" t="s">
        <v>309</v>
      </c>
      <c r="AV139" s="31">
        <v>5000000</v>
      </c>
    </row>
    <row r="140" spans="1:63">
      <c r="A140" s="102"/>
      <c r="B140" s="103"/>
      <c r="C140" s="103"/>
      <c r="D140" s="103"/>
      <c r="E140" s="103"/>
      <c r="F140" s="104"/>
      <c r="G140" s="105"/>
      <c r="H140" s="104">
        <f>SUM([Divergência])</f>
        <v>37</v>
      </c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</row>
    <row r="142" spans="1:63">
      <c r="BK142" s="57" t="s">
        <v>988</v>
      </c>
    </row>
  </sheetData>
  <conditionalFormatting sqref="A4:A139">
    <cfRule type="containsText" dxfId="275" priority="3" operator="containsText" text="Não">
      <formula>NOT(ISERROR(SEARCH("Não",A4)))</formula>
    </cfRule>
    <cfRule type="containsText" dxfId="274" priority="4" operator="containsText" text="Sim">
      <formula>NOT(ISERROR(SEARCH("Sim",A4)))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3:F33"/>
  <sheetViews>
    <sheetView topLeftCell="A19" workbookViewId="0">
      <selection activeCell="B24" sqref="B24:F33"/>
    </sheetView>
  </sheetViews>
  <sheetFormatPr baseColWidth="10" defaultRowHeight="14.5"/>
  <cols>
    <col min="3" max="3" width="45" bestFit="1" customWidth="1"/>
    <col min="4" max="4" width="14.26953125" bestFit="1" customWidth="1"/>
  </cols>
  <sheetData>
    <row r="3" spans="2:6" ht="15" thickBot="1">
      <c r="B3" s="199" t="s">
        <v>7</v>
      </c>
      <c r="C3" s="200" t="s">
        <v>8</v>
      </c>
      <c r="D3" s="133" t="s">
        <v>26</v>
      </c>
      <c r="E3" s="201" t="s">
        <v>1722</v>
      </c>
    </row>
    <row r="4" spans="2:6">
      <c r="B4" s="202">
        <v>17386</v>
      </c>
      <c r="C4" s="203" t="s">
        <v>208</v>
      </c>
      <c r="D4" s="134" t="s">
        <v>210</v>
      </c>
      <c r="E4" s="204" t="s">
        <v>88</v>
      </c>
    </row>
    <row r="5" spans="2:6">
      <c r="B5" s="202">
        <v>25132</v>
      </c>
      <c r="C5" s="203" t="s">
        <v>212</v>
      </c>
      <c r="D5" s="134" t="s">
        <v>214</v>
      </c>
      <c r="E5" s="204" t="s">
        <v>89</v>
      </c>
    </row>
    <row r="6" spans="2:6">
      <c r="B6" s="202">
        <v>25133</v>
      </c>
      <c r="C6" s="203" t="s">
        <v>216</v>
      </c>
      <c r="D6" s="134" t="s">
        <v>214</v>
      </c>
      <c r="E6" s="204" t="s">
        <v>89</v>
      </c>
    </row>
    <row r="7" spans="2:6">
      <c r="B7" s="202">
        <v>25134</v>
      </c>
      <c r="C7" s="203" t="s">
        <v>217</v>
      </c>
      <c r="D7" s="134" t="s">
        <v>214</v>
      </c>
      <c r="E7" s="204" t="s">
        <v>89</v>
      </c>
    </row>
    <row r="8" spans="2:6">
      <c r="B8" s="202">
        <v>25135</v>
      </c>
      <c r="C8" s="203" t="s">
        <v>218</v>
      </c>
      <c r="D8" s="134" t="s">
        <v>214</v>
      </c>
      <c r="E8" s="204" t="s">
        <v>204</v>
      </c>
    </row>
    <row r="9" spans="2:6">
      <c r="B9" s="202">
        <v>1006536</v>
      </c>
      <c r="C9" s="203" t="s">
        <v>219</v>
      </c>
      <c r="D9" s="134" t="s">
        <v>220</v>
      </c>
      <c r="E9" s="204" t="s">
        <v>204</v>
      </c>
    </row>
    <row r="12" spans="2:6">
      <c r="D12" s="50">
        <v>41205</v>
      </c>
      <c r="E12" s="50">
        <f>D12+180</f>
        <v>41385</v>
      </c>
    </row>
    <row r="13" spans="2:6">
      <c r="E13" s="50">
        <f>E12+210</f>
        <v>41595</v>
      </c>
    </row>
    <row r="14" spans="2:6">
      <c r="E14" s="50">
        <f>E13+180</f>
        <v>41775</v>
      </c>
    </row>
    <row r="16" spans="2:6">
      <c r="B16" s="31" t="s">
        <v>1723</v>
      </c>
      <c r="C16" s="31" t="s">
        <v>1728</v>
      </c>
      <c r="D16" s="31" t="s">
        <v>1729</v>
      </c>
      <c r="E16" s="31" t="s">
        <v>1730</v>
      </c>
      <c r="F16" s="31" t="s">
        <v>1731</v>
      </c>
    </row>
    <row r="17" spans="2:6">
      <c r="B17" s="31" t="s">
        <v>1724</v>
      </c>
      <c r="C17" s="50">
        <v>41205</v>
      </c>
      <c r="D17" s="50">
        <v>41205</v>
      </c>
      <c r="E17" s="50">
        <f>D17+180-1</f>
        <v>41384</v>
      </c>
      <c r="F17" s="31" t="s">
        <v>59</v>
      </c>
    </row>
    <row r="18" spans="2:6">
      <c r="B18" s="31" t="s">
        <v>1725</v>
      </c>
      <c r="C18" s="50">
        <v>41383</v>
      </c>
      <c r="D18" s="50">
        <v>41385</v>
      </c>
      <c r="E18" s="50">
        <f>D18+209</f>
        <v>41594</v>
      </c>
      <c r="F18" s="31" t="s">
        <v>1734</v>
      </c>
    </row>
    <row r="19" spans="2:6">
      <c r="B19" s="31" t="s">
        <v>1726</v>
      </c>
      <c r="C19" s="205">
        <v>41745</v>
      </c>
      <c r="D19" s="205">
        <v>41594</v>
      </c>
      <c r="E19" s="205">
        <f>D19+179</f>
        <v>41773</v>
      </c>
      <c r="F19" s="206" t="s">
        <v>1732</v>
      </c>
    </row>
    <row r="20" spans="2:6">
      <c r="B20" s="31" t="s">
        <v>1727</v>
      </c>
      <c r="C20" s="205">
        <v>42485</v>
      </c>
      <c r="D20" s="205">
        <v>41774</v>
      </c>
      <c r="E20" s="205">
        <f>D20+814</f>
        <v>42588</v>
      </c>
      <c r="F20" s="206" t="s">
        <v>1733</v>
      </c>
    </row>
    <row r="22" spans="2:6">
      <c r="D22">
        <v>608411.02</v>
      </c>
      <c r="E22">
        <f>D22*3</f>
        <v>1825233.06</v>
      </c>
    </row>
    <row r="24" spans="2:6">
      <c r="B24" s="49" t="s">
        <v>1723</v>
      </c>
      <c r="C24" s="49" t="s">
        <v>1728</v>
      </c>
      <c r="D24" s="49" t="s">
        <v>1729</v>
      </c>
      <c r="E24" s="49" t="s">
        <v>1730</v>
      </c>
      <c r="F24" s="49" t="s">
        <v>1731</v>
      </c>
    </row>
    <row r="25" spans="2:6">
      <c r="B25" s="31" t="s">
        <v>1724</v>
      </c>
      <c r="C25" s="50">
        <v>41641</v>
      </c>
      <c r="D25" s="50">
        <v>41641</v>
      </c>
      <c r="E25" s="207">
        <f>D25+229</f>
        <v>41870</v>
      </c>
    </row>
    <row r="26" spans="2:6">
      <c r="B26" s="31" t="s">
        <v>1725</v>
      </c>
      <c r="C26" s="50">
        <v>41789</v>
      </c>
      <c r="D26" s="50">
        <v>41789</v>
      </c>
      <c r="E26" s="207">
        <v>41870</v>
      </c>
      <c r="F26" s="31" t="s">
        <v>1740</v>
      </c>
    </row>
    <row r="27" spans="2:6">
      <c r="B27" s="31" t="s">
        <v>1726</v>
      </c>
      <c r="C27" s="50">
        <v>41852</v>
      </c>
      <c r="D27" s="208">
        <v>41899</v>
      </c>
      <c r="E27" s="50">
        <f>D27+119</f>
        <v>42018</v>
      </c>
    </row>
    <row r="28" spans="2:6">
      <c r="B28" s="31" t="s">
        <v>1727</v>
      </c>
      <c r="C28" s="50">
        <v>41950</v>
      </c>
      <c r="D28" s="50">
        <v>41950</v>
      </c>
      <c r="E28" s="50">
        <v>42018</v>
      </c>
      <c r="F28" s="31" t="s">
        <v>1741</v>
      </c>
    </row>
    <row r="29" spans="2:6">
      <c r="B29" s="31" t="s">
        <v>1735</v>
      </c>
      <c r="C29" s="50">
        <v>41977</v>
      </c>
      <c r="D29" s="50">
        <v>42019</v>
      </c>
      <c r="E29" s="50">
        <f>E28+150</f>
        <v>42168</v>
      </c>
    </row>
    <row r="30" spans="2:6">
      <c r="B30" s="31" t="s">
        <v>1736</v>
      </c>
      <c r="C30" s="50">
        <v>42194</v>
      </c>
      <c r="D30" s="205">
        <v>42169</v>
      </c>
      <c r="E30" s="50">
        <f>D30+119</f>
        <v>42288</v>
      </c>
    </row>
    <row r="31" spans="2:6">
      <c r="B31" s="31" t="s">
        <v>1737</v>
      </c>
      <c r="C31" s="50">
        <v>42297</v>
      </c>
      <c r="D31" s="205">
        <v>42320</v>
      </c>
      <c r="E31" s="50">
        <v>42438</v>
      </c>
    </row>
    <row r="32" spans="2:6">
      <c r="B32" s="31" t="s">
        <v>1738</v>
      </c>
      <c r="C32" s="50">
        <v>42443</v>
      </c>
      <c r="D32" s="205">
        <v>42439</v>
      </c>
      <c r="E32" s="50">
        <v>42618</v>
      </c>
    </row>
    <row r="33" spans="2:5">
      <c r="B33" s="31" t="s">
        <v>1739</v>
      </c>
      <c r="C33" s="50">
        <v>42628</v>
      </c>
      <c r="D33" s="205">
        <v>42619</v>
      </c>
      <c r="E33" s="50">
        <v>42798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140"/>
  <sheetViews>
    <sheetView zoomScale="80" zoomScaleNormal="80" workbookViewId="0">
      <pane xSplit="6" ySplit="1" topLeftCell="G116" activePane="bottomRight" state="frozen"/>
      <selection pane="topRight" activeCell="G1" sqref="G1"/>
      <selection pane="bottomLeft" activeCell="A2" sqref="A2"/>
      <selection pane="bottomRight" activeCell="B137" sqref="B137"/>
    </sheetView>
  </sheetViews>
  <sheetFormatPr baseColWidth="10" defaultColWidth="10.90625" defaultRowHeight="14.5"/>
  <cols>
    <col min="1" max="1" width="8.1796875" style="31" bestFit="1" customWidth="1"/>
    <col min="2" max="5" width="10.90625" style="31"/>
    <col min="6" max="7" width="4" style="31" bestFit="1" customWidth="1"/>
    <col min="8" max="11" width="10.90625" style="31"/>
    <col min="12" max="12" width="10.90625" style="24"/>
    <col min="13" max="39" width="10.90625" style="31"/>
    <col min="40" max="40" width="12.453125" style="31" customWidth="1"/>
    <col min="41" max="41" width="10.90625" style="31"/>
    <col min="42" max="42" width="17" style="31" customWidth="1"/>
    <col min="43" max="45" width="10.90625" style="31"/>
    <col min="46" max="46" width="16.81640625" style="31" bestFit="1" customWidth="1"/>
    <col min="47" max="49" width="10.90625" style="31"/>
    <col min="50" max="50" width="15.6328125" style="31" bestFit="1" customWidth="1"/>
    <col min="51" max="51" width="13.26953125" style="31" customWidth="1"/>
    <col min="52" max="59" width="10.90625" style="31"/>
    <col min="60" max="60" width="16.81640625" style="31" bestFit="1" customWidth="1"/>
    <col min="61" max="16384" width="10.90625" style="31"/>
  </cols>
  <sheetData>
    <row r="1" spans="1:60">
      <c r="A1" s="65" t="s">
        <v>350</v>
      </c>
      <c r="B1" s="66" t="s">
        <v>8</v>
      </c>
      <c r="C1" s="66" t="s">
        <v>10</v>
      </c>
      <c r="D1" s="78" t="s">
        <v>13</v>
      </c>
      <c r="E1" s="66" t="s">
        <v>5</v>
      </c>
      <c r="F1" s="66" t="s">
        <v>6</v>
      </c>
      <c r="G1" s="66" t="s">
        <v>347</v>
      </c>
      <c r="H1" s="66" t="s">
        <v>354</v>
      </c>
      <c r="I1" s="66" t="s">
        <v>355</v>
      </c>
      <c r="J1" s="66" t="s">
        <v>356</v>
      </c>
      <c r="K1" s="66" t="s">
        <v>357</v>
      </c>
      <c r="L1" s="93" t="s">
        <v>1445</v>
      </c>
      <c r="M1" s="66" t="s">
        <v>358</v>
      </c>
      <c r="N1" s="66" t="s">
        <v>359</v>
      </c>
      <c r="O1" s="66" t="s">
        <v>990</v>
      </c>
      <c r="P1" s="66" t="s">
        <v>361</v>
      </c>
      <c r="Q1" s="66" t="s">
        <v>362</v>
      </c>
      <c r="R1" s="66" t="s">
        <v>363</v>
      </c>
      <c r="S1" s="66" t="s">
        <v>364</v>
      </c>
      <c r="T1" s="66" t="s">
        <v>365</v>
      </c>
      <c r="U1" s="66" t="s">
        <v>366</v>
      </c>
      <c r="V1" s="66" t="s">
        <v>367</v>
      </c>
      <c r="W1" s="66" t="s">
        <v>368</v>
      </c>
      <c r="X1" s="66" t="s">
        <v>369</v>
      </c>
      <c r="Y1" s="66" t="s">
        <v>370</v>
      </c>
      <c r="Z1" s="66" t="s">
        <v>371</v>
      </c>
      <c r="AA1" s="66" t="s">
        <v>372</v>
      </c>
      <c r="AB1" s="66" t="s">
        <v>373</v>
      </c>
      <c r="AC1" s="66" t="s">
        <v>374</v>
      </c>
      <c r="AD1" s="66" t="s">
        <v>375</v>
      </c>
      <c r="AE1" s="66" t="s">
        <v>376</v>
      </c>
      <c r="AF1" s="66" t="s">
        <v>377</v>
      </c>
      <c r="AG1" s="66" t="s">
        <v>378</v>
      </c>
      <c r="AH1" s="66" t="s">
        <v>379</v>
      </c>
      <c r="AI1" s="66" t="s">
        <v>380</v>
      </c>
      <c r="AJ1" s="66" t="s">
        <v>381</v>
      </c>
      <c r="AK1" s="66" t="s">
        <v>382</v>
      </c>
      <c r="AL1" s="66" t="s">
        <v>383</v>
      </c>
      <c r="AM1" s="66" t="s">
        <v>384</v>
      </c>
      <c r="AN1" s="66" t="s">
        <v>385</v>
      </c>
      <c r="AO1" s="66" t="s">
        <v>386</v>
      </c>
      <c r="AP1" s="66" t="s">
        <v>387</v>
      </c>
      <c r="AQ1" s="66" t="s">
        <v>388</v>
      </c>
      <c r="AR1" s="66" t="s">
        <v>389</v>
      </c>
      <c r="AS1" s="66" t="s">
        <v>390</v>
      </c>
      <c r="AT1" s="66" t="s">
        <v>391</v>
      </c>
      <c r="AU1" s="66" t="s">
        <v>392</v>
      </c>
      <c r="AV1" s="66" t="s">
        <v>393</v>
      </c>
      <c r="AW1" s="66" t="s">
        <v>394</v>
      </c>
      <c r="AX1" s="66" t="s">
        <v>395</v>
      </c>
      <c r="AY1" s="66" t="s">
        <v>396</v>
      </c>
      <c r="AZ1" s="66" t="s">
        <v>397</v>
      </c>
      <c r="BA1" s="66" t="s">
        <v>398</v>
      </c>
      <c r="BB1" s="66" t="s">
        <v>399</v>
      </c>
      <c r="BC1" s="66" t="s">
        <v>400</v>
      </c>
      <c r="BD1" s="66" t="s">
        <v>401</v>
      </c>
      <c r="BE1" s="66" t="s">
        <v>402</v>
      </c>
      <c r="BF1" s="66" t="s">
        <v>403</v>
      </c>
      <c r="BG1" s="66" t="s">
        <v>404</v>
      </c>
      <c r="BH1" s="67" t="s">
        <v>405</v>
      </c>
    </row>
    <row r="2" spans="1:60">
      <c r="A2" s="68">
        <v>25351</v>
      </c>
      <c r="B2" s="69" t="s">
        <v>991</v>
      </c>
      <c r="C2" s="69" t="s">
        <v>22</v>
      </c>
      <c r="D2" s="79" t="s">
        <v>64</v>
      </c>
      <c r="E2" s="69" t="s">
        <v>54</v>
      </c>
      <c r="F2" s="69" t="s">
        <v>55</v>
      </c>
      <c r="G2" s="69" t="s">
        <v>60</v>
      </c>
      <c r="H2" s="69">
        <v>83704515</v>
      </c>
      <c r="I2" s="69" t="s">
        <v>406</v>
      </c>
      <c r="J2" s="69" t="s">
        <v>992</v>
      </c>
      <c r="K2" s="69" t="s">
        <v>61</v>
      </c>
      <c r="L2" s="94" t="str">
        <f>RIGHT(K2,4)</f>
        <v>2013</v>
      </c>
      <c r="M2" s="70">
        <v>43495</v>
      </c>
      <c r="N2" s="69" t="s">
        <v>408</v>
      </c>
      <c r="O2" s="69" t="s">
        <v>988</v>
      </c>
      <c r="P2" s="69"/>
      <c r="Q2" s="69" t="s">
        <v>409</v>
      </c>
      <c r="R2" s="69" t="s">
        <v>410</v>
      </c>
      <c r="S2" s="69" t="s">
        <v>290</v>
      </c>
      <c r="T2" s="69" t="s">
        <v>411</v>
      </c>
      <c r="U2" s="69" t="s">
        <v>993</v>
      </c>
      <c r="V2" s="69" t="s">
        <v>412</v>
      </c>
      <c r="W2" s="69">
        <v>76105535000199</v>
      </c>
      <c r="X2" s="69" t="s">
        <v>413</v>
      </c>
      <c r="Y2" s="69" t="s">
        <v>414</v>
      </c>
      <c r="Z2" s="69" t="s">
        <v>994</v>
      </c>
      <c r="AA2" s="69" t="s">
        <v>416</v>
      </c>
      <c r="AB2" s="69" t="s">
        <v>995</v>
      </c>
      <c r="AC2" s="69" t="s">
        <v>996</v>
      </c>
      <c r="AD2" s="69" t="s">
        <v>997</v>
      </c>
      <c r="AE2" s="69">
        <v>83702080</v>
      </c>
      <c r="AF2" s="69" t="s">
        <v>420</v>
      </c>
      <c r="AG2" s="69"/>
      <c r="AH2" s="69">
        <v>111</v>
      </c>
      <c r="AI2" s="69" t="s">
        <v>421</v>
      </c>
      <c r="AJ2" s="69"/>
      <c r="AK2" s="69" t="s">
        <v>54</v>
      </c>
      <c r="AL2" s="69" t="s">
        <v>427</v>
      </c>
      <c r="AM2" s="69">
        <v>182016</v>
      </c>
      <c r="AN2" s="71">
        <v>42746</v>
      </c>
      <c r="AO2" s="69"/>
      <c r="AP2" s="69"/>
      <c r="AQ2" s="69"/>
      <c r="AR2" s="69"/>
      <c r="AS2" s="69" t="s">
        <v>988</v>
      </c>
      <c r="AT2" s="69">
        <v>1267584.72</v>
      </c>
      <c r="AU2" s="69"/>
      <c r="AV2" s="69"/>
      <c r="AW2" s="69"/>
      <c r="AX2" s="151">
        <v>133353.57999999999</v>
      </c>
      <c r="AY2" s="72">
        <v>1.0520289336261699E+17</v>
      </c>
      <c r="AZ2" s="69">
        <v>1</v>
      </c>
      <c r="BA2" s="69">
        <v>1467</v>
      </c>
      <c r="BB2" s="69">
        <v>433101</v>
      </c>
      <c r="BC2" s="71">
        <v>43251</v>
      </c>
      <c r="BD2" s="69" t="s">
        <v>988</v>
      </c>
      <c r="BE2" s="69" t="s">
        <v>988</v>
      </c>
      <c r="BF2" s="69" t="s">
        <v>998</v>
      </c>
      <c r="BG2" s="69" t="s">
        <v>988</v>
      </c>
      <c r="BH2" s="73">
        <v>576713.35</v>
      </c>
    </row>
    <row r="3" spans="1:60">
      <c r="A3" s="68">
        <v>25352</v>
      </c>
      <c r="B3" s="69" t="s">
        <v>999</v>
      </c>
      <c r="C3" s="69" t="s">
        <v>22</v>
      </c>
      <c r="D3" s="79" t="s">
        <v>64</v>
      </c>
      <c r="E3" s="69" t="s">
        <v>54</v>
      </c>
      <c r="F3" s="69" t="s">
        <v>55</v>
      </c>
      <c r="G3" s="69" t="s">
        <v>60</v>
      </c>
      <c r="H3" s="69">
        <v>83709310</v>
      </c>
      <c r="I3" s="69" t="s">
        <v>423</v>
      </c>
      <c r="J3" s="69" t="s">
        <v>1000</v>
      </c>
      <c r="K3" s="69" t="s">
        <v>61</v>
      </c>
      <c r="L3" s="94" t="str">
        <f t="shared" ref="L3:L66" si="0">RIGHT(K3,4)</f>
        <v>2013</v>
      </c>
      <c r="M3" s="70">
        <v>43495</v>
      </c>
      <c r="N3" s="69" t="s">
        <v>408</v>
      </c>
      <c r="O3" s="69" t="s">
        <v>988</v>
      </c>
      <c r="P3" s="69"/>
      <c r="Q3" s="69" t="s">
        <v>409</v>
      </c>
      <c r="R3" s="69" t="s">
        <v>424</v>
      </c>
      <c r="S3" s="69" t="s">
        <v>290</v>
      </c>
      <c r="T3" s="69" t="s">
        <v>411</v>
      </c>
      <c r="U3" s="69" t="s">
        <v>1001</v>
      </c>
      <c r="V3" s="69" t="s">
        <v>412</v>
      </c>
      <c r="W3" s="69">
        <v>76105535000199</v>
      </c>
      <c r="X3" s="69" t="s">
        <v>413</v>
      </c>
      <c r="Y3" s="69" t="s">
        <v>414</v>
      </c>
      <c r="Z3" s="69" t="s">
        <v>994</v>
      </c>
      <c r="AA3" s="69" t="s">
        <v>416</v>
      </c>
      <c r="AB3" s="69" t="s">
        <v>995</v>
      </c>
      <c r="AC3" s="69" t="s">
        <v>996</v>
      </c>
      <c r="AD3" s="69" t="s">
        <v>997</v>
      </c>
      <c r="AE3" s="69">
        <v>83702080</v>
      </c>
      <c r="AF3" s="69" t="s">
        <v>420</v>
      </c>
      <c r="AG3" s="69"/>
      <c r="AH3" s="69">
        <v>111</v>
      </c>
      <c r="AI3" s="69" t="s">
        <v>421</v>
      </c>
      <c r="AJ3" s="69"/>
      <c r="AK3" s="69" t="s">
        <v>54</v>
      </c>
      <c r="AL3" s="69" t="s">
        <v>427</v>
      </c>
      <c r="AM3" s="69">
        <v>182016</v>
      </c>
      <c r="AN3" s="71">
        <v>42746</v>
      </c>
      <c r="AO3" s="69"/>
      <c r="AP3" s="71">
        <v>41744</v>
      </c>
      <c r="AQ3" s="69"/>
      <c r="AR3" s="69"/>
      <c r="AS3" s="69" t="s">
        <v>988</v>
      </c>
      <c r="AT3" s="69">
        <v>1927667.98</v>
      </c>
      <c r="AU3" s="69"/>
      <c r="AV3" s="69"/>
      <c r="AW3" s="69"/>
      <c r="AX3" s="151">
        <v>289979.11</v>
      </c>
      <c r="AY3" s="72">
        <v>1.5043000855472198E+17</v>
      </c>
      <c r="AZ3" s="69">
        <v>1</v>
      </c>
      <c r="BA3" s="69">
        <v>1467</v>
      </c>
      <c r="BB3" s="69">
        <v>433101</v>
      </c>
      <c r="BC3" s="71">
        <v>43251</v>
      </c>
      <c r="BD3" s="69" t="s">
        <v>988</v>
      </c>
      <c r="BE3" s="69" t="s">
        <v>988</v>
      </c>
      <c r="BF3" s="69" t="s">
        <v>998</v>
      </c>
      <c r="BG3" s="69" t="s">
        <v>988</v>
      </c>
      <c r="BH3" s="73">
        <v>576713.35</v>
      </c>
    </row>
    <row r="4" spans="1:60">
      <c r="A4" s="68">
        <v>25353</v>
      </c>
      <c r="B4" s="69" t="s">
        <v>1002</v>
      </c>
      <c r="C4" s="69" t="s">
        <v>22</v>
      </c>
      <c r="D4" s="79" t="s">
        <v>67</v>
      </c>
      <c r="E4" s="69" t="s">
        <v>54</v>
      </c>
      <c r="F4" s="69" t="s">
        <v>55</v>
      </c>
      <c r="G4" s="69" t="s">
        <v>60</v>
      </c>
      <c r="H4" s="69">
        <v>83706070</v>
      </c>
      <c r="I4" s="69" t="s">
        <v>426</v>
      </c>
      <c r="J4" s="69" t="s">
        <v>1003</v>
      </c>
      <c r="K4" s="69" t="s">
        <v>61</v>
      </c>
      <c r="L4" s="94" t="str">
        <f t="shared" si="0"/>
        <v>2013</v>
      </c>
      <c r="M4" s="70">
        <v>43495</v>
      </c>
      <c r="N4" s="69" t="s">
        <v>408</v>
      </c>
      <c r="O4" s="74" t="s">
        <v>1004</v>
      </c>
      <c r="P4" s="70">
        <v>42135</v>
      </c>
      <c r="Q4" s="69" t="s">
        <v>409</v>
      </c>
      <c r="R4" s="69" t="s">
        <v>424</v>
      </c>
      <c r="S4" s="69" t="s">
        <v>290</v>
      </c>
      <c r="T4" s="69" t="s">
        <v>411</v>
      </c>
      <c r="U4" s="69" t="s">
        <v>1001</v>
      </c>
      <c r="V4" s="69" t="s">
        <v>412</v>
      </c>
      <c r="W4" s="69">
        <v>76105535000199</v>
      </c>
      <c r="X4" s="69" t="s">
        <v>413</v>
      </c>
      <c r="Y4" s="69" t="s">
        <v>414</v>
      </c>
      <c r="Z4" s="69" t="s">
        <v>994</v>
      </c>
      <c r="AA4" s="69" t="s">
        <v>416</v>
      </c>
      <c r="AB4" s="69" t="s">
        <v>995</v>
      </c>
      <c r="AC4" s="69" t="s">
        <v>996</v>
      </c>
      <c r="AD4" s="69" t="s">
        <v>997</v>
      </c>
      <c r="AE4" s="69">
        <v>83702080</v>
      </c>
      <c r="AF4" s="69" t="s">
        <v>420</v>
      </c>
      <c r="AG4" s="69"/>
      <c r="AH4" s="69">
        <v>111</v>
      </c>
      <c r="AI4" s="69" t="s">
        <v>421</v>
      </c>
      <c r="AJ4" s="69"/>
      <c r="AK4" s="69" t="s">
        <v>54</v>
      </c>
      <c r="AL4" s="69" t="s">
        <v>427</v>
      </c>
      <c r="AM4" s="69">
        <v>128262017</v>
      </c>
      <c r="AN4" s="71">
        <v>43160</v>
      </c>
      <c r="AO4" s="69"/>
      <c r="AP4" s="71">
        <v>41744</v>
      </c>
      <c r="AQ4" s="69"/>
      <c r="AR4" s="69"/>
      <c r="AS4" s="69" t="s">
        <v>988</v>
      </c>
      <c r="AT4" s="69">
        <v>1927667.98</v>
      </c>
      <c r="AU4" s="71">
        <v>42293</v>
      </c>
      <c r="AV4" s="69" t="s">
        <v>429</v>
      </c>
      <c r="AW4" s="69" t="s">
        <v>430</v>
      </c>
      <c r="AX4" s="151">
        <v>289979.11</v>
      </c>
      <c r="AY4" s="72">
        <v>1.5043000855472198E+17</v>
      </c>
      <c r="AZ4" s="69">
        <v>1</v>
      </c>
      <c r="BA4" s="69">
        <v>1467</v>
      </c>
      <c r="BB4" s="69">
        <v>433101</v>
      </c>
      <c r="BC4" s="71">
        <v>43251</v>
      </c>
      <c r="BD4" s="69" t="s">
        <v>988</v>
      </c>
      <c r="BE4" s="69" t="s">
        <v>988</v>
      </c>
      <c r="BF4" s="69" t="s">
        <v>998</v>
      </c>
      <c r="BG4" s="69" t="s">
        <v>988</v>
      </c>
      <c r="BH4" s="73">
        <v>576713.35</v>
      </c>
    </row>
    <row r="5" spans="1:60">
      <c r="A5" s="68">
        <v>33214</v>
      </c>
      <c r="B5" s="69" t="s">
        <v>1005</v>
      </c>
      <c r="C5" s="69" t="s">
        <v>22</v>
      </c>
      <c r="D5" s="79" t="s">
        <v>64</v>
      </c>
      <c r="E5" s="69" t="s">
        <v>54</v>
      </c>
      <c r="F5" s="69" t="s">
        <v>55</v>
      </c>
      <c r="G5" s="69" t="s">
        <v>60</v>
      </c>
      <c r="H5" s="69">
        <v>83705450</v>
      </c>
      <c r="I5" s="69" t="s">
        <v>431</v>
      </c>
      <c r="J5" s="69" t="s">
        <v>1003</v>
      </c>
      <c r="K5" s="69" t="s">
        <v>70</v>
      </c>
      <c r="L5" s="94" t="str">
        <f t="shared" si="0"/>
        <v>2013</v>
      </c>
      <c r="M5" s="70">
        <v>43585</v>
      </c>
      <c r="N5" s="69" t="s">
        <v>408</v>
      </c>
      <c r="O5" s="69" t="s">
        <v>988</v>
      </c>
      <c r="P5" s="69"/>
      <c r="Q5" s="69" t="s">
        <v>409</v>
      </c>
      <c r="R5" s="69" t="s">
        <v>424</v>
      </c>
      <c r="S5" s="69" t="s">
        <v>290</v>
      </c>
      <c r="T5" s="69" t="s">
        <v>411</v>
      </c>
      <c r="U5" s="69" t="s">
        <v>1001</v>
      </c>
      <c r="V5" s="69" t="s">
        <v>412</v>
      </c>
      <c r="W5" s="69">
        <v>76105535000199</v>
      </c>
      <c r="X5" s="69" t="s">
        <v>413</v>
      </c>
      <c r="Y5" s="69" t="s">
        <v>414</v>
      </c>
      <c r="Z5" s="69" t="s">
        <v>994</v>
      </c>
      <c r="AA5" s="69" t="s">
        <v>416</v>
      </c>
      <c r="AB5" s="69" t="s">
        <v>995</v>
      </c>
      <c r="AC5" s="69" t="s">
        <v>996</v>
      </c>
      <c r="AD5" s="69" t="s">
        <v>997</v>
      </c>
      <c r="AE5" s="69">
        <v>83702080</v>
      </c>
      <c r="AF5" s="69" t="s">
        <v>420</v>
      </c>
      <c r="AG5" s="69"/>
      <c r="AH5" s="69">
        <v>111</v>
      </c>
      <c r="AI5" s="69" t="s">
        <v>421</v>
      </c>
      <c r="AJ5" s="69"/>
      <c r="AK5" s="69" t="s">
        <v>54</v>
      </c>
      <c r="AL5" s="69"/>
      <c r="AM5" s="69"/>
      <c r="AN5" s="69"/>
      <c r="AO5" s="69"/>
      <c r="AP5" s="71">
        <v>41815</v>
      </c>
      <c r="AQ5" s="69"/>
      <c r="AR5" s="69"/>
      <c r="AS5" s="69" t="s">
        <v>988</v>
      </c>
      <c r="AT5" s="69">
        <v>1927667.98</v>
      </c>
      <c r="AU5" s="69"/>
      <c r="AV5" s="69"/>
      <c r="AW5" s="69"/>
      <c r="AX5" s="151">
        <v>374180.39</v>
      </c>
      <c r="AY5" s="72">
        <v>1.9411039391323398E+17</v>
      </c>
      <c r="AZ5" s="69">
        <v>1</v>
      </c>
      <c r="BA5" s="69">
        <v>1467</v>
      </c>
      <c r="BB5" s="69">
        <v>576948</v>
      </c>
      <c r="BC5" s="71">
        <v>43251</v>
      </c>
      <c r="BD5" s="69" t="s">
        <v>988</v>
      </c>
      <c r="BE5" s="69" t="s">
        <v>988</v>
      </c>
      <c r="BF5" s="69" t="s">
        <v>988</v>
      </c>
      <c r="BG5" s="69" t="s">
        <v>988</v>
      </c>
      <c r="BH5" s="73">
        <v>0</v>
      </c>
    </row>
    <row r="6" spans="1:60">
      <c r="A6" s="68">
        <v>33215</v>
      </c>
      <c r="B6" s="69" t="s">
        <v>1006</v>
      </c>
      <c r="C6" s="69" t="s">
        <v>22</v>
      </c>
      <c r="D6" s="79" t="s">
        <v>64</v>
      </c>
      <c r="E6" s="69" t="s">
        <v>54</v>
      </c>
      <c r="F6" s="69" t="s">
        <v>55</v>
      </c>
      <c r="G6" s="69" t="s">
        <v>60</v>
      </c>
      <c r="H6" s="69">
        <v>83703094</v>
      </c>
      <c r="I6" s="69" t="s">
        <v>433</v>
      </c>
      <c r="J6" s="69" t="s">
        <v>1007</v>
      </c>
      <c r="K6" s="69" t="s">
        <v>70</v>
      </c>
      <c r="L6" s="94" t="str">
        <f t="shared" si="0"/>
        <v>2013</v>
      </c>
      <c r="M6" s="70">
        <v>43585</v>
      </c>
      <c r="N6" s="69" t="s">
        <v>408</v>
      </c>
      <c r="O6" s="69" t="s">
        <v>988</v>
      </c>
      <c r="P6" s="69"/>
      <c r="Q6" s="69" t="s">
        <v>409</v>
      </c>
      <c r="R6" s="69" t="s">
        <v>424</v>
      </c>
      <c r="S6" s="69" t="s">
        <v>290</v>
      </c>
      <c r="T6" s="69" t="s">
        <v>411</v>
      </c>
      <c r="U6" s="69" t="s">
        <v>1001</v>
      </c>
      <c r="V6" s="69" t="s">
        <v>412</v>
      </c>
      <c r="W6" s="69">
        <v>76105535000199</v>
      </c>
      <c r="X6" s="69" t="s">
        <v>413</v>
      </c>
      <c r="Y6" s="69" t="s">
        <v>414</v>
      </c>
      <c r="Z6" s="69" t="s">
        <v>994</v>
      </c>
      <c r="AA6" s="69" t="s">
        <v>416</v>
      </c>
      <c r="AB6" s="69" t="s">
        <v>995</v>
      </c>
      <c r="AC6" s="69" t="s">
        <v>996</v>
      </c>
      <c r="AD6" s="69" t="s">
        <v>997</v>
      </c>
      <c r="AE6" s="69">
        <v>83702080</v>
      </c>
      <c r="AF6" s="69" t="s">
        <v>420</v>
      </c>
      <c r="AG6" s="69"/>
      <c r="AH6" s="69">
        <v>111</v>
      </c>
      <c r="AI6" s="69" t="s">
        <v>421</v>
      </c>
      <c r="AJ6" s="69"/>
      <c r="AK6" s="69" t="s">
        <v>54</v>
      </c>
      <c r="AL6" s="69" t="s">
        <v>427</v>
      </c>
      <c r="AM6" s="69">
        <v>112016</v>
      </c>
      <c r="AN6" s="71">
        <v>42555</v>
      </c>
      <c r="AO6" s="69"/>
      <c r="AP6" s="71">
        <v>41815</v>
      </c>
      <c r="AQ6" s="69"/>
      <c r="AR6" s="69"/>
      <c r="AS6" s="69" t="s">
        <v>988</v>
      </c>
      <c r="AT6" s="69">
        <v>1927667.98</v>
      </c>
      <c r="AU6" s="69"/>
      <c r="AV6" s="69"/>
      <c r="AW6" s="69"/>
      <c r="AX6" s="151">
        <v>373444.64</v>
      </c>
      <c r="AY6" s="72">
        <v>1.9372871511301299E+17</v>
      </c>
      <c r="AZ6" s="69">
        <v>1</v>
      </c>
      <c r="BA6" s="69">
        <v>1467</v>
      </c>
      <c r="BB6" s="69">
        <v>576948</v>
      </c>
      <c r="BC6" s="71">
        <v>43251</v>
      </c>
      <c r="BD6" s="69" t="s">
        <v>988</v>
      </c>
      <c r="BE6" s="69" t="s">
        <v>988</v>
      </c>
      <c r="BF6" s="69" t="s">
        <v>988</v>
      </c>
      <c r="BG6" s="69" t="s">
        <v>988</v>
      </c>
      <c r="BH6" s="73">
        <v>0</v>
      </c>
    </row>
    <row r="7" spans="1:60">
      <c r="A7" s="68">
        <v>1003823</v>
      </c>
      <c r="B7" s="69" t="s">
        <v>1008</v>
      </c>
      <c r="C7" s="69" t="s">
        <v>22</v>
      </c>
      <c r="D7" s="79" t="s">
        <v>64</v>
      </c>
      <c r="E7" s="69" t="s">
        <v>54</v>
      </c>
      <c r="F7" s="69" t="s">
        <v>55</v>
      </c>
      <c r="G7" s="69" t="s">
        <v>60</v>
      </c>
      <c r="H7" s="69">
        <v>83709150</v>
      </c>
      <c r="I7" s="69" t="s">
        <v>435</v>
      </c>
      <c r="J7" s="69" t="s">
        <v>1009</v>
      </c>
      <c r="K7" s="69" t="s">
        <v>75</v>
      </c>
      <c r="L7" s="94" t="str">
        <f t="shared" si="0"/>
        <v>2013</v>
      </c>
      <c r="M7" s="70">
        <v>43554</v>
      </c>
      <c r="N7" s="69" t="s">
        <v>408</v>
      </c>
      <c r="O7" s="69" t="s">
        <v>988</v>
      </c>
      <c r="P7" s="69"/>
      <c r="Q7" s="69" t="s">
        <v>409</v>
      </c>
      <c r="R7" s="69" t="s">
        <v>424</v>
      </c>
      <c r="S7" s="69" t="s">
        <v>290</v>
      </c>
      <c r="T7" s="69" t="s">
        <v>411</v>
      </c>
      <c r="U7" s="69" t="s">
        <v>1001</v>
      </c>
      <c r="V7" s="69" t="s">
        <v>412</v>
      </c>
      <c r="W7" s="69">
        <v>76105535000199</v>
      </c>
      <c r="X7" s="69" t="s">
        <v>413</v>
      </c>
      <c r="Y7" s="69" t="s">
        <v>414</v>
      </c>
      <c r="Z7" s="69" t="s">
        <v>994</v>
      </c>
      <c r="AA7" s="69" t="s">
        <v>416</v>
      </c>
      <c r="AB7" s="69" t="s">
        <v>995</v>
      </c>
      <c r="AC7" s="69" t="s">
        <v>996</v>
      </c>
      <c r="AD7" s="69" t="s">
        <v>997</v>
      </c>
      <c r="AE7" s="69">
        <v>83702080</v>
      </c>
      <c r="AF7" s="69" t="s">
        <v>420</v>
      </c>
      <c r="AG7" s="69"/>
      <c r="AH7" s="69">
        <v>111</v>
      </c>
      <c r="AI7" s="69" t="s">
        <v>421</v>
      </c>
      <c r="AJ7" s="69"/>
      <c r="AK7" s="69" t="s">
        <v>54</v>
      </c>
      <c r="AL7" s="69" t="s">
        <v>427</v>
      </c>
      <c r="AM7" s="69">
        <v>112016</v>
      </c>
      <c r="AN7" s="71">
        <v>42555</v>
      </c>
      <c r="AO7" s="69"/>
      <c r="AP7" s="71">
        <v>41815</v>
      </c>
      <c r="AQ7" s="69"/>
      <c r="AR7" s="69"/>
      <c r="AS7" s="69"/>
      <c r="AT7" s="69">
        <v>1927667.98</v>
      </c>
      <c r="AU7" s="69"/>
      <c r="AV7" s="69"/>
      <c r="AW7" s="69"/>
      <c r="AX7" s="151">
        <v>374180.39</v>
      </c>
      <c r="AY7" s="72">
        <v>1.9411039391323398E+17</v>
      </c>
      <c r="AZ7" s="69">
        <v>1</v>
      </c>
      <c r="BA7" s="69">
        <v>1467</v>
      </c>
      <c r="BB7" s="69">
        <v>480487</v>
      </c>
      <c r="BC7" s="71">
        <v>43251</v>
      </c>
      <c r="BD7" s="69" t="s">
        <v>988</v>
      </c>
      <c r="BE7" s="69" t="s">
        <v>1010</v>
      </c>
      <c r="BF7" s="69" t="s">
        <v>988</v>
      </c>
      <c r="BG7" s="69" t="s">
        <v>988</v>
      </c>
      <c r="BH7" s="73">
        <v>7753.68</v>
      </c>
    </row>
    <row r="8" spans="1:60">
      <c r="A8" s="68">
        <v>1012813</v>
      </c>
      <c r="B8" s="69" t="s">
        <v>76</v>
      </c>
      <c r="C8" s="69" t="s">
        <v>22</v>
      </c>
      <c r="D8" s="79" t="s">
        <v>64</v>
      </c>
      <c r="E8" s="69" t="s">
        <v>54</v>
      </c>
      <c r="F8" s="69" t="s">
        <v>55</v>
      </c>
      <c r="G8" s="69" t="s">
        <v>60</v>
      </c>
      <c r="H8" s="69">
        <v>83701450</v>
      </c>
      <c r="I8" s="69" t="s">
        <v>438</v>
      </c>
      <c r="J8" s="69" t="s">
        <v>1011</v>
      </c>
      <c r="K8" s="69" t="s">
        <v>79</v>
      </c>
      <c r="L8" s="94" t="str">
        <f t="shared" si="0"/>
        <v>2014</v>
      </c>
      <c r="M8" s="70">
        <v>43522</v>
      </c>
      <c r="N8" s="69" t="s">
        <v>408</v>
      </c>
      <c r="O8" s="69" t="s">
        <v>988</v>
      </c>
      <c r="P8" s="69"/>
      <c r="Q8" s="69" t="s">
        <v>409</v>
      </c>
      <c r="R8" s="69" t="s">
        <v>424</v>
      </c>
      <c r="S8" s="69" t="s">
        <v>290</v>
      </c>
      <c r="T8" s="69" t="s">
        <v>411</v>
      </c>
      <c r="U8" s="69" t="s">
        <v>1001</v>
      </c>
      <c r="V8" s="69" t="s">
        <v>412</v>
      </c>
      <c r="W8" s="69">
        <v>76105535000199</v>
      </c>
      <c r="X8" s="69" t="s">
        <v>413</v>
      </c>
      <c r="Y8" s="69" t="s">
        <v>414</v>
      </c>
      <c r="Z8" s="69" t="s">
        <v>994</v>
      </c>
      <c r="AA8" s="69" t="s">
        <v>416</v>
      </c>
      <c r="AB8" s="69" t="s">
        <v>995</v>
      </c>
      <c r="AC8" s="69" t="s">
        <v>996</v>
      </c>
      <c r="AD8" s="69" t="s">
        <v>997</v>
      </c>
      <c r="AE8" s="69">
        <v>83702080</v>
      </c>
      <c r="AF8" s="69" t="s">
        <v>420</v>
      </c>
      <c r="AG8" s="69"/>
      <c r="AH8" s="69">
        <v>111</v>
      </c>
      <c r="AI8" s="69" t="s">
        <v>421</v>
      </c>
      <c r="AJ8" s="69"/>
      <c r="AK8" s="69" t="s">
        <v>54</v>
      </c>
      <c r="AL8" s="69" t="s">
        <v>427</v>
      </c>
      <c r="AM8" s="69">
        <v>182016</v>
      </c>
      <c r="AN8" s="71">
        <v>42746</v>
      </c>
      <c r="AO8" s="69"/>
      <c r="AP8" s="69"/>
      <c r="AQ8" s="69"/>
      <c r="AR8" s="69"/>
      <c r="AS8" s="69"/>
      <c r="AT8" s="69">
        <v>1927667.98</v>
      </c>
      <c r="AU8" s="69"/>
      <c r="AV8" s="69"/>
      <c r="AW8" s="69"/>
      <c r="AX8" s="151"/>
      <c r="AY8" s="69"/>
      <c r="AZ8" s="69">
        <v>1</v>
      </c>
      <c r="BA8" s="69">
        <v>1467</v>
      </c>
      <c r="BB8" s="69">
        <v>493651</v>
      </c>
      <c r="BC8" s="71">
        <v>42551.999988425923</v>
      </c>
      <c r="BD8" s="69" t="s">
        <v>988</v>
      </c>
      <c r="BE8" s="69" t="s">
        <v>988</v>
      </c>
      <c r="BF8" s="69" t="s">
        <v>988</v>
      </c>
      <c r="BG8" s="69" t="s">
        <v>988</v>
      </c>
      <c r="BH8" s="73">
        <v>0</v>
      </c>
    </row>
    <row r="9" spans="1:60">
      <c r="A9" s="68">
        <v>1017726</v>
      </c>
      <c r="B9" s="69" t="s">
        <v>80</v>
      </c>
      <c r="C9" s="69" t="s">
        <v>82</v>
      </c>
      <c r="D9" s="79" t="s">
        <v>64</v>
      </c>
      <c r="E9" s="69" t="s">
        <v>54</v>
      </c>
      <c r="F9" s="69" t="s">
        <v>55</v>
      </c>
      <c r="G9" s="69" t="s">
        <v>60</v>
      </c>
      <c r="H9" s="69">
        <v>83706000</v>
      </c>
      <c r="I9" s="69" t="s">
        <v>441</v>
      </c>
      <c r="J9" s="69" t="s">
        <v>81</v>
      </c>
      <c r="K9" s="69" t="s">
        <v>84</v>
      </c>
      <c r="L9" s="94" t="str">
        <f t="shared" si="0"/>
        <v>2014</v>
      </c>
      <c r="M9" s="70">
        <v>43332</v>
      </c>
      <c r="N9" s="69" t="s">
        <v>408</v>
      </c>
      <c r="O9" s="69" t="s">
        <v>988</v>
      </c>
      <c r="P9" s="69"/>
      <c r="Q9" s="69" t="s">
        <v>409</v>
      </c>
      <c r="R9" s="69" t="s">
        <v>443</v>
      </c>
      <c r="S9" s="69" t="s">
        <v>290</v>
      </c>
      <c r="T9" s="69" t="s">
        <v>411</v>
      </c>
      <c r="U9" s="69" t="s">
        <v>1012</v>
      </c>
      <c r="V9" s="69" t="s">
        <v>412</v>
      </c>
      <c r="W9" s="69">
        <v>76105535000199</v>
      </c>
      <c r="X9" s="69" t="s">
        <v>413</v>
      </c>
      <c r="Y9" s="69" t="s">
        <v>414</v>
      </c>
      <c r="Z9" s="69" t="s">
        <v>994</v>
      </c>
      <c r="AA9" s="69" t="s">
        <v>416</v>
      </c>
      <c r="AB9" s="69" t="s">
        <v>995</v>
      </c>
      <c r="AC9" s="69" t="s">
        <v>996</v>
      </c>
      <c r="AD9" s="69" t="s">
        <v>997</v>
      </c>
      <c r="AE9" s="69">
        <v>83702080</v>
      </c>
      <c r="AF9" s="69" t="s">
        <v>420</v>
      </c>
      <c r="AG9" s="69"/>
      <c r="AH9" s="69">
        <v>111</v>
      </c>
      <c r="AI9" s="69" t="s">
        <v>421</v>
      </c>
      <c r="AJ9" s="69"/>
      <c r="AK9" s="69" t="s">
        <v>54</v>
      </c>
      <c r="AL9" s="69"/>
      <c r="AM9" s="69"/>
      <c r="AN9" s="69"/>
      <c r="AO9" s="69"/>
      <c r="AP9" s="69"/>
      <c r="AQ9" s="69"/>
      <c r="AR9" s="69"/>
      <c r="AS9" s="69"/>
      <c r="AT9" s="69">
        <v>3552543.79</v>
      </c>
      <c r="AU9" s="69"/>
      <c r="AV9" s="69"/>
      <c r="AW9" s="69"/>
      <c r="AX9" s="151">
        <v>710508.76</v>
      </c>
      <c r="AY9" s="72">
        <v>2.00000000534828E+17</v>
      </c>
      <c r="AZ9" s="69">
        <v>1</v>
      </c>
      <c r="BA9" s="69">
        <v>1467</v>
      </c>
      <c r="BB9" s="69">
        <v>501247</v>
      </c>
      <c r="BC9" s="71">
        <v>43251</v>
      </c>
      <c r="BD9" s="69" t="s">
        <v>988</v>
      </c>
      <c r="BE9" s="69" t="s">
        <v>988</v>
      </c>
      <c r="BF9" s="69" t="s">
        <v>1013</v>
      </c>
      <c r="BG9" s="69" t="s">
        <v>988</v>
      </c>
      <c r="BH9" s="73">
        <v>932385.96</v>
      </c>
    </row>
    <row r="10" spans="1:60">
      <c r="A10" s="68">
        <v>19887</v>
      </c>
      <c r="B10" s="69" t="s">
        <v>87</v>
      </c>
      <c r="C10" s="69" t="s">
        <v>88</v>
      </c>
      <c r="D10" s="79" t="s">
        <v>67</v>
      </c>
      <c r="E10" s="69" t="s">
        <v>85</v>
      </c>
      <c r="F10" s="69" t="s">
        <v>86</v>
      </c>
      <c r="G10" s="69" t="s">
        <v>60</v>
      </c>
      <c r="H10" s="69">
        <v>89500000</v>
      </c>
      <c r="I10" s="69" t="s">
        <v>1014</v>
      </c>
      <c r="J10" s="69" t="s">
        <v>444</v>
      </c>
      <c r="K10" s="69" t="s">
        <v>90</v>
      </c>
      <c r="L10" s="94" t="str">
        <f t="shared" si="0"/>
        <v>2011</v>
      </c>
      <c r="M10" s="70">
        <v>42578</v>
      </c>
      <c r="N10" s="69" t="s">
        <v>446</v>
      </c>
      <c r="O10" s="69" t="s">
        <v>1015</v>
      </c>
      <c r="P10" s="70">
        <v>42667</v>
      </c>
      <c r="Q10" s="69" t="s">
        <v>409</v>
      </c>
      <c r="R10" s="69" t="s">
        <v>447</v>
      </c>
      <c r="S10" s="69" t="s">
        <v>290</v>
      </c>
      <c r="T10" s="69" t="s">
        <v>411</v>
      </c>
      <c r="U10" s="69" t="s">
        <v>1016</v>
      </c>
      <c r="V10" s="69" t="s">
        <v>412</v>
      </c>
      <c r="W10" s="69">
        <v>83074302000131</v>
      </c>
      <c r="X10" s="69">
        <v>281200</v>
      </c>
      <c r="Y10" s="69" t="s">
        <v>448</v>
      </c>
      <c r="Z10" s="69" t="s">
        <v>1017</v>
      </c>
      <c r="AA10" s="69" t="s">
        <v>450</v>
      </c>
      <c r="AB10" s="69" t="s">
        <v>451</v>
      </c>
      <c r="AC10" s="69" t="s">
        <v>452</v>
      </c>
      <c r="AD10" s="69" t="s">
        <v>1018</v>
      </c>
      <c r="AE10" s="69">
        <v>89500000</v>
      </c>
      <c r="AF10" s="69" t="s">
        <v>1019</v>
      </c>
      <c r="AG10" s="69"/>
      <c r="AH10" s="69">
        <v>195</v>
      </c>
      <c r="AI10" s="69" t="s">
        <v>421</v>
      </c>
      <c r="AJ10" s="69"/>
      <c r="AK10" s="69" t="s">
        <v>85</v>
      </c>
      <c r="AL10" s="69" t="s">
        <v>427</v>
      </c>
      <c r="AM10" s="69">
        <v>552015</v>
      </c>
      <c r="AN10" s="71">
        <v>42208</v>
      </c>
      <c r="AO10" s="69" t="s">
        <v>92</v>
      </c>
      <c r="AP10" s="71">
        <v>42208</v>
      </c>
      <c r="AQ10" s="69">
        <v>337</v>
      </c>
      <c r="AR10" s="71">
        <v>42545</v>
      </c>
      <c r="AS10" s="69" t="s">
        <v>1020</v>
      </c>
      <c r="AT10" s="69">
        <v>1134108.98</v>
      </c>
      <c r="AU10" s="71">
        <v>42563</v>
      </c>
      <c r="AV10" s="69" t="s">
        <v>457</v>
      </c>
      <c r="AW10" s="69"/>
      <c r="AX10" s="151">
        <v>1134108.97</v>
      </c>
      <c r="AY10" s="72">
        <v>9.9999998906630605E+17</v>
      </c>
      <c r="AZ10" s="69">
        <v>1</v>
      </c>
      <c r="BA10" s="69">
        <v>375</v>
      </c>
      <c r="BB10" s="69" t="s">
        <v>458</v>
      </c>
      <c r="BC10" s="71">
        <v>43251</v>
      </c>
      <c r="BD10" s="69" t="s">
        <v>988</v>
      </c>
      <c r="BE10" s="69" t="s">
        <v>1021</v>
      </c>
      <c r="BF10" s="69" t="s">
        <v>988</v>
      </c>
      <c r="BG10" s="69" t="s">
        <v>988</v>
      </c>
      <c r="BH10" s="73">
        <v>112305.58</v>
      </c>
    </row>
    <row r="11" spans="1:60">
      <c r="A11" s="68">
        <v>25121</v>
      </c>
      <c r="B11" s="69" t="s">
        <v>93</v>
      </c>
      <c r="C11" s="69" t="s">
        <v>58</v>
      </c>
      <c r="D11" s="79" t="s">
        <v>1443</v>
      </c>
      <c r="E11" s="69" t="s">
        <v>85</v>
      </c>
      <c r="F11" s="69" t="s">
        <v>86</v>
      </c>
      <c r="G11" s="69" t="s">
        <v>60</v>
      </c>
      <c r="H11" s="69">
        <v>89500000</v>
      </c>
      <c r="I11" s="69" t="s">
        <v>1022</v>
      </c>
      <c r="J11" s="69" t="s">
        <v>459</v>
      </c>
      <c r="K11" s="69" t="s">
        <v>94</v>
      </c>
      <c r="L11" s="94" t="str">
        <f t="shared" si="0"/>
        <v>2012</v>
      </c>
      <c r="M11" s="70">
        <v>43361</v>
      </c>
      <c r="N11" s="69" t="s">
        <v>408</v>
      </c>
      <c r="O11" s="69" t="s">
        <v>1023</v>
      </c>
      <c r="P11" s="70">
        <v>43221</v>
      </c>
      <c r="Q11" s="69" t="s">
        <v>409</v>
      </c>
      <c r="R11" s="69" t="s">
        <v>447</v>
      </c>
      <c r="S11" s="69" t="s">
        <v>290</v>
      </c>
      <c r="T11" s="69" t="s">
        <v>411</v>
      </c>
      <c r="U11" s="69" t="s">
        <v>1024</v>
      </c>
      <c r="V11" s="69" t="s">
        <v>412</v>
      </c>
      <c r="W11" s="69">
        <v>83074302000131</v>
      </c>
      <c r="X11" s="69">
        <v>281200</v>
      </c>
      <c r="Y11" s="69" t="s">
        <v>448</v>
      </c>
      <c r="Z11" s="69" t="s">
        <v>1017</v>
      </c>
      <c r="AA11" s="69" t="s">
        <v>450</v>
      </c>
      <c r="AB11" s="69" t="s">
        <v>451</v>
      </c>
      <c r="AC11" s="69" t="s">
        <v>452</v>
      </c>
      <c r="AD11" s="69" t="s">
        <v>1018</v>
      </c>
      <c r="AE11" s="69">
        <v>89500000</v>
      </c>
      <c r="AF11" s="69" t="s">
        <v>1019</v>
      </c>
      <c r="AG11" s="69"/>
      <c r="AH11" s="69">
        <v>195</v>
      </c>
      <c r="AI11" s="69" t="s">
        <v>421</v>
      </c>
      <c r="AJ11" s="69"/>
      <c r="AK11" s="69" t="s">
        <v>85</v>
      </c>
      <c r="AL11" s="69" t="s">
        <v>427</v>
      </c>
      <c r="AM11" s="69">
        <v>2</v>
      </c>
      <c r="AN11" s="71">
        <v>43011</v>
      </c>
      <c r="AO11" s="69" t="s">
        <v>1025</v>
      </c>
      <c r="AP11" s="71">
        <v>43011</v>
      </c>
      <c r="AQ11" s="69">
        <v>271</v>
      </c>
      <c r="AR11" s="71">
        <v>43282</v>
      </c>
      <c r="AS11" s="69" t="s">
        <v>1026</v>
      </c>
      <c r="AT11" s="69">
        <v>1453995.37</v>
      </c>
      <c r="AU11" s="71">
        <v>43186</v>
      </c>
      <c r="AV11" s="69" t="s">
        <v>457</v>
      </c>
      <c r="AW11" s="69"/>
      <c r="AX11" s="151">
        <v>1395835.54</v>
      </c>
      <c r="AY11" s="72">
        <v>9.5999999040437094E+17</v>
      </c>
      <c r="AZ11" s="69">
        <v>1</v>
      </c>
      <c r="BA11" s="69">
        <v>375</v>
      </c>
      <c r="BB11" s="69">
        <v>382655</v>
      </c>
      <c r="BC11" s="71">
        <v>43251</v>
      </c>
      <c r="BD11" s="69" t="s">
        <v>988</v>
      </c>
      <c r="BE11" s="69" t="s">
        <v>1027</v>
      </c>
      <c r="BF11" s="69" t="s">
        <v>988</v>
      </c>
      <c r="BG11" s="69" t="s">
        <v>988</v>
      </c>
      <c r="BH11" s="73">
        <v>46313.43</v>
      </c>
    </row>
    <row r="12" spans="1:60">
      <c r="A12" s="68">
        <v>1006363</v>
      </c>
      <c r="B12" s="69" t="s">
        <v>96</v>
      </c>
      <c r="C12" s="69" t="s">
        <v>82</v>
      </c>
      <c r="D12" s="79" t="s">
        <v>64</v>
      </c>
      <c r="E12" s="69" t="s">
        <v>85</v>
      </c>
      <c r="F12" s="69" t="s">
        <v>86</v>
      </c>
      <c r="G12" s="69" t="s">
        <v>60</v>
      </c>
      <c r="H12" s="69">
        <v>89500000</v>
      </c>
      <c r="I12" s="69" t="s">
        <v>1028</v>
      </c>
      <c r="J12" s="69" t="s">
        <v>1029</v>
      </c>
      <c r="K12" s="69" t="s">
        <v>97</v>
      </c>
      <c r="L12" s="94" t="str">
        <f t="shared" si="0"/>
        <v>2013</v>
      </c>
      <c r="M12" s="70">
        <v>43465</v>
      </c>
      <c r="N12" s="69" t="s">
        <v>408</v>
      </c>
      <c r="O12" s="69" t="s">
        <v>988</v>
      </c>
      <c r="P12" s="69"/>
      <c r="Q12" s="69" t="s">
        <v>409</v>
      </c>
      <c r="R12" s="69" t="s">
        <v>424</v>
      </c>
      <c r="S12" s="69" t="s">
        <v>290</v>
      </c>
      <c r="T12" s="69" t="s">
        <v>411</v>
      </c>
      <c r="U12" s="69" t="s">
        <v>1030</v>
      </c>
      <c r="V12" s="69" t="s">
        <v>412</v>
      </c>
      <c r="W12" s="69">
        <v>83074302000131</v>
      </c>
      <c r="X12" s="69">
        <v>281200</v>
      </c>
      <c r="Y12" s="69" t="s">
        <v>448</v>
      </c>
      <c r="Z12" s="69" t="s">
        <v>1017</v>
      </c>
      <c r="AA12" s="69" t="s">
        <v>450</v>
      </c>
      <c r="AB12" s="69" t="s">
        <v>451</v>
      </c>
      <c r="AC12" s="69" t="s">
        <v>452</v>
      </c>
      <c r="AD12" s="69" t="s">
        <v>1018</v>
      </c>
      <c r="AE12" s="69">
        <v>89500000</v>
      </c>
      <c r="AF12" s="69" t="s">
        <v>1019</v>
      </c>
      <c r="AG12" s="69"/>
      <c r="AH12" s="69">
        <v>195</v>
      </c>
      <c r="AI12" s="69" t="s">
        <v>421</v>
      </c>
      <c r="AJ12" s="69"/>
      <c r="AK12" s="69" t="s">
        <v>85</v>
      </c>
      <c r="AL12" s="69"/>
      <c r="AM12" s="69"/>
      <c r="AN12" s="69"/>
      <c r="AO12" s="69"/>
      <c r="AP12" s="69"/>
      <c r="AQ12" s="69"/>
      <c r="AR12" s="69"/>
      <c r="AS12" s="69"/>
      <c r="AT12" s="69">
        <v>1888084.32</v>
      </c>
      <c r="AU12" s="69"/>
      <c r="AV12" s="69"/>
      <c r="AW12" s="69"/>
      <c r="AX12" s="151">
        <v>372049.64</v>
      </c>
      <c r="AY12" s="72">
        <v>1.9705138988070202E+17</v>
      </c>
      <c r="AZ12" s="69">
        <v>1</v>
      </c>
      <c r="BA12" s="69">
        <v>375</v>
      </c>
      <c r="BB12" s="69">
        <v>417025</v>
      </c>
      <c r="BC12" s="71">
        <v>43251</v>
      </c>
      <c r="BD12" s="69" t="s">
        <v>988</v>
      </c>
      <c r="BE12" s="69" t="s">
        <v>1031</v>
      </c>
      <c r="BF12" s="69" t="s">
        <v>988</v>
      </c>
      <c r="BG12" s="69" t="s">
        <v>988</v>
      </c>
      <c r="BH12" s="73">
        <v>500438.36</v>
      </c>
    </row>
    <row r="13" spans="1:60">
      <c r="A13" s="68">
        <v>1004300</v>
      </c>
      <c r="B13" s="69" t="s">
        <v>99</v>
      </c>
      <c r="C13" s="69" t="s">
        <v>58</v>
      </c>
      <c r="D13" s="79" t="s">
        <v>1443</v>
      </c>
      <c r="E13" s="69" t="s">
        <v>98</v>
      </c>
      <c r="F13" s="69" t="s">
        <v>55</v>
      </c>
      <c r="G13" s="69" t="s">
        <v>60</v>
      </c>
      <c r="H13" s="69">
        <v>87309818</v>
      </c>
      <c r="I13" s="69" t="s">
        <v>465</v>
      </c>
      <c r="J13" s="69" t="s">
        <v>1032</v>
      </c>
      <c r="K13" s="69" t="s">
        <v>100</v>
      </c>
      <c r="L13" s="94" t="str">
        <f t="shared" si="0"/>
        <v>2013</v>
      </c>
      <c r="M13" s="70">
        <v>43434</v>
      </c>
      <c r="N13" s="69" t="s">
        <v>408</v>
      </c>
      <c r="O13" s="69" t="s">
        <v>1033</v>
      </c>
      <c r="P13" s="70">
        <v>43504</v>
      </c>
      <c r="Q13" s="69" t="s">
        <v>409</v>
      </c>
      <c r="R13" s="69" t="s">
        <v>424</v>
      </c>
      <c r="S13" s="69" t="s">
        <v>290</v>
      </c>
      <c r="T13" s="69" t="s">
        <v>411</v>
      </c>
      <c r="U13" s="69" t="s">
        <v>1001</v>
      </c>
      <c r="V13" s="69" t="s">
        <v>412</v>
      </c>
      <c r="W13" s="69">
        <v>75904524000106</v>
      </c>
      <c r="X13" s="69">
        <v>280819</v>
      </c>
      <c r="Y13" s="69" t="s">
        <v>467</v>
      </c>
      <c r="Z13" s="69" t="s">
        <v>1034</v>
      </c>
      <c r="AA13" s="69" t="s">
        <v>469</v>
      </c>
      <c r="AB13" s="69" t="s">
        <v>470</v>
      </c>
      <c r="AC13" s="69" t="s">
        <v>471</v>
      </c>
      <c r="AD13" s="69" t="s">
        <v>472</v>
      </c>
      <c r="AE13" s="69">
        <v>87301140</v>
      </c>
      <c r="AF13" s="69" t="s">
        <v>473</v>
      </c>
      <c r="AG13" s="69" t="s">
        <v>474</v>
      </c>
      <c r="AH13" s="69">
        <v>1487</v>
      </c>
      <c r="AI13" s="69" t="s">
        <v>421</v>
      </c>
      <c r="AJ13" s="69"/>
      <c r="AK13" s="69" t="s">
        <v>98</v>
      </c>
      <c r="AL13" s="69" t="s">
        <v>427</v>
      </c>
      <c r="AM13" s="69">
        <v>4</v>
      </c>
      <c r="AN13" s="71">
        <v>42503</v>
      </c>
      <c r="AO13" s="69" t="s">
        <v>101</v>
      </c>
      <c r="AP13" s="71">
        <v>42508</v>
      </c>
      <c r="AQ13" s="69">
        <v>1085</v>
      </c>
      <c r="AR13" s="71">
        <v>43593</v>
      </c>
      <c r="AS13" s="69" t="s">
        <v>1035</v>
      </c>
      <c r="AT13" s="69">
        <v>1927667.98</v>
      </c>
      <c r="AU13" s="71">
        <v>43279</v>
      </c>
      <c r="AV13" s="69" t="s">
        <v>457</v>
      </c>
      <c r="AW13" s="69"/>
      <c r="AX13" s="151">
        <v>719579.88</v>
      </c>
      <c r="AY13" s="72">
        <v>3.7329036393071802E+17</v>
      </c>
      <c r="AZ13" s="69">
        <v>1</v>
      </c>
      <c r="BA13" s="69">
        <v>406</v>
      </c>
      <c r="BB13" s="69">
        <v>576824</v>
      </c>
      <c r="BC13" s="71">
        <v>43251</v>
      </c>
      <c r="BD13" s="69" t="s">
        <v>988</v>
      </c>
      <c r="BE13" s="69" t="s">
        <v>1036</v>
      </c>
      <c r="BF13" s="69" t="s">
        <v>988</v>
      </c>
      <c r="BG13" s="69" t="s">
        <v>988</v>
      </c>
      <c r="BH13" s="73">
        <v>12229.64</v>
      </c>
    </row>
    <row r="14" spans="1:60">
      <c r="A14" s="68">
        <v>1004301</v>
      </c>
      <c r="B14" s="69" t="s">
        <v>102</v>
      </c>
      <c r="C14" s="69" t="s">
        <v>58</v>
      </c>
      <c r="D14" s="79" t="s">
        <v>1443</v>
      </c>
      <c r="E14" s="69" t="s">
        <v>98</v>
      </c>
      <c r="F14" s="69" t="s">
        <v>55</v>
      </c>
      <c r="G14" s="69" t="s">
        <v>60</v>
      </c>
      <c r="H14" s="69">
        <v>87308638</v>
      </c>
      <c r="I14" s="69" t="s">
        <v>476</v>
      </c>
      <c r="J14" s="69" t="s">
        <v>1037</v>
      </c>
      <c r="K14" s="69" t="s">
        <v>100</v>
      </c>
      <c r="L14" s="94" t="str">
        <f t="shared" si="0"/>
        <v>2013</v>
      </c>
      <c r="M14" s="70">
        <v>43434</v>
      </c>
      <c r="N14" s="69" t="s">
        <v>408</v>
      </c>
      <c r="O14" s="69" t="s">
        <v>1038</v>
      </c>
      <c r="P14" s="70">
        <v>43376</v>
      </c>
      <c r="Q14" s="69" t="s">
        <v>409</v>
      </c>
      <c r="R14" s="69" t="s">
        <v>424</v>
      </c>
      <c r="S14" s="69" t="s">
        <v>290</v>
      </c>
      <c r="T14" s="69" t="s">
        <v>411</v>
      </c>
      <c r="U14" s="69" t="s">
        <v>1001</v>
      </c>
      <c r="V14" s="69" t="s">
        <v>412</v>
      </c>
      <c r="W14" s="69">
        <v>75904524000106</v>
      </c>
      <c r="X14" s="69">
        <v>280819</v>
      </c>
      <c r="Y14" s="69" t="s">
        <v>467</v>
      </c>
      <c r="Z14" s="69" t="s">
        <v>1034</v>
      </c>
      <c r="AA14" s="69" t="s">
        <v>469</v>
      </c>
      <c r="AB14" s="69" t="s">
        <v>470</v>
      </c>
      <c r="AC14" s="69" t="s">
        <v>471</v>
      </c>
      <c r="AD14" s="69" t="s">
        <v>472</v>
      </c>
      <c r="AE14" s="69">
        <v>87301140</v>
      </c>
      <c r="AF14" s="69" t="s">
        <v>473</v>
      </c>
      <c r="AG14" s="69" t="s">
        <v>474</v>
      </c>
      <c r="AH14" s="69">
        <v>1487</v>
      </c>
      <c r="AI14" s="69" t="s">
        <v>421</v>
      </c>
      <c r="AJ14" s="69"/>
      <c r="AK14" s="69" t="s">
        <v>98</v>
      </c>
      <c r="AL14" s="69" t="s">
        <v>427</v>
      </c>
      <c r="AM14" s="69">
        <v>7842015</v>
      </c>
      <c r="AN14" s="71">
        <v>42600</v>
      </c>
      <c r="AO14" s="69" t="s">
        <v>103</v>
      </c>
      <c r="AP14" s="71">
        <v>42641</v>
      </c>
      <c r="AQ14" s="69">
        <v>735</v>
      </c>
      <c r="AR14" s="71">
        <v>43376</v>
      </c>
      <c r="AS14" s="69" t="s">
        <v>1039</v>
      </c>
      <c r="AT14" s="69">
        <v>1927667.98</v>
      </c>
      <c r="AU14" s="71">
        <v>43279</v>
      </c>
      <c r="AV14" s="69" t="s">
        <v>457</v>
      </c>
      <c r="AW14" s="69"/>
      <c r="AX14" s="151">
        <v>819392.35</v>
      </c>
      <c r="AY14" s="72">
        <v>4.2506923419474502E+17</v>
      </c>
      <c r="AZ14" s="69">
        <v>1</v>
      </c>
      <c r="BA14" s="69">
        <v>406</v>
      </c>
      <c r="BB14" s="69">
        <v>576824</v>
      </c>
      <c r="BC14" s="71">
        <v>43251</v>
      </c>
      <c r="BD14" s="69" t="s">
        <v>988</v>
      </c>
      <c r="BE14" s="69" t="s">
        <v>1036</v>
      </c>
      <c r="BF14" s="69" t="s">
        <v>988</v>
      </c>
      <c r="BG14" s="69" t="s">
        <v>988</v>
      </c>
      <c r="BH14" s="73">
        <v>12229.64</v>
      </c>
    </row>
    <row r="15" spans="1:60">
      <c r="A15" s="68">
        <v>1010390</v>
      </c>
      <c r="B15" s="69" t="s">
        <v>105</v>
      </c>
      <c r="C15" s="69" t="s">
        <v>58</v>
      </c>
      <c r="D15" s="79" t="s">
        <v>1443</v>
      </c>
      <c r="E15" s="69" t="s">
        <v>98</v>
      </c>
      <c r="F15" s="69" t="s">
        <v>55</v>
      </c>
      <c r="G15" s="69" t="s">
        <v>60</v>
      </c>
      <c r="H15" s="69">
        <v>87310050</v>
      </c>
      <c r="I15" s="69" t="s">
        <v>480</v>
      </c>
      <c r="J15" s="69" t="s">
        <v>1040</v>
      </c>
      <c r="K15" s="69" t="s">
        <v>106</v>
      </c>
      <c r="L15" s="94" t="str">
        <f t="shared" si="0"/>
        <v>2014</v>
      </c>
      <c r="M15" s="70">
        <v>43495</v>
      </c>
      <c r="N15" s="69" t="s">
        <v>408</v>
      </c>
      <c r="O15" s="69" t="s">
        <v>1041</v>
      </c>
      <c r="P15" s="70">
        <v>43297</v>
      </c>
      <c r="Q15" s="69" t="s">
        <v>409</v>
      </c>
      <c r="R15" s="69" t="s">
        <v>483</v>
      </c>
      <c r="S15" s="69" t="s">
        <v>290</v>
      </c>
      <c r="T15" s="69" t="s">
        <v>411</v>
      </c>
      <c r="U15" s="69" t="s">
        <v>1042</v>
      </c>
      <c r="V15" s="69" t="s">
        <v>412</v>
      </c>
      <c r="W15" s="69">
        <v>75904524000106</v>
      </c>
      <c r="X15" s="69">
        <v>280819</v>
      </c>
      <c r="Y15" s="69" t="s">
        <v>467</v>
      </c>
      <c r="Z15" s="69" t="s">
        <v>1034</v>
      </c>
      <c r="AA15" s="69" t="s">
        <v>469</v>
      </c>
      <c r="AB15" s="69" t="s">
        <v>470</v>
      </c>
      <c r="AC15" s="69" t="s">
        <v>471</v>
      </c>
      <c r="AD15" s="69" t="s">
        <v>472</v>
      </c>
      <c r="AE15" s="69">
        <v>87301140</v>
      </c>
      <c r="AF15" s="69" t="s">
        <v>473</v>
      </c>
      <c r="AG15" s="69" t="s">
        <v>474</v>
      </c>
      <c r="AH15" s="69">
        <v>1487</v>
      </c>
      <c r="AI15" s="69" t="s">
        <v>421</v>
      </c>
      <c r="AJ15" s="69"/>
      <c r="AK15" s="69" t="s">
        <v>98</v>
      </c>
      <c r="AL15" s="69" t="s">
        <v>494</v>
      </c>
      <c r="AM15" s="69">
        <v>1</v>
      </c>
      <c r="AN15" s="71">
        <v>42863</v>
      </c>
      <c r="AO15" s="69" t="s">
        <v>103</v>
      </c>
      <c r="AP15" s="71">
        <v>42933</v>
      </c>
      <c r="AQ15" s="69">
        <v>365</v>
      </c>
      <c r="AR15" s="71">
        <v>43298</v>
      </c>
      <c r="AS15" s="69" t="s">
        <v>1043</v>
      </c>
      <c r="AT15" s="69">
        <v>1021589.39</v>
      </c>
      <c r="AU15" s="71">
        <v>43279</v>
      </c>
      <c r="AV15" s="69" t="s">
        <v>457</v>
      </c>
      <c r="AW15" s="69"/>
      <c r="AX15" s="151">
        <v>888782.78</v>
      </c>
      <c r="AY15" s="72">
        <v>8.7000000962226099E+17</v>
      </c>
      <c r="AZ15" s="69">
        <v>1</v>
      </c>
      <c r="BA15" s="69">
        <v>406</v>
      </c>
      <c r="BB15" s="69">
        <v>582905</v>
      </c>
      <c r="BC15" s="71">
        <v>43251</v>
      </c>
      <c r="BD15" s="69" t="s">
        <v>988</v>
      </c>
      <c r="BE15" s="69" t="s">
        <v>1044</v>
      </c>
      <c r="BF15" s="69" t="s">
        <v>988</v>
      </c>
      <c r="BG15" s="69" t="s">
        <v>988</v>
      </c>
      <c r="BH15" s="73">
        <v>279.20999999999998</v>
      </c>
    </row>
    <row r="16" spans="1:60">
      <c r="A16" s="68">
        <v>1004230</v>
      </c>
      <c r="B16" s="69" t="s">
        <v>109</v>
      </c>
      <c r="C16" s="69" t="s">
        <v>58</v>
      </c>
      <c r="D16" s="79" t="s">
        <v>1443</v>
      </c>
      <c r="E16" s="69" t="s">
        <v>108</v>
      </c>
      <c r="F16" s="69" t="s">
        <v>55</v>
      </c>
      <c r="G16" s="69" t="s">
        <v>60</v>
      </c>
      <c r="H16" s="69">
        <v>85822000</v>
      </c>
      <c r="I16" s="69" t="s">
        <v>484</v>
      </c>
      <c r="J16" s="69" t="s">
        <v>1045</v>
      </c>
      <c r="K16" s="69" t="s">
        <v>110</v>
      </c>
      <c r="L16" s="94" t="str">
        <f t="shared" si="0"/>
        <v>2014</v>
      </c>
      <c r="M16" s="70">
        <v>43583</v>
      </c>
      <c r="N16" s="69" t="s">
        <v>408</v>
      </c>
      <c r="O16" s="69" t="s">
        <v>1046</v>
      </c>
      <c r="P16" s="70">
        <v>43388</v>
      </c>
      <c r="Q16" s="69" t="s">
        <v>409</v>
      </c>
      <c r="R16" s="69" t="s">
        <v>483</v>
      </c>
      <c r="S16" s="69" t="s">
        <v>290</v>
      </c>
      <c r="T16" s="69" t="s">
        <v>411</v>
      </c>
      <c r="U16" s="69" t="s">
        <v>1047</v>
      </c>
      <c r="V16" s="69" t="s">
        <v>412</v>
      </c>
      <c r="W16" s="69">
        <v>76208867000107</v>
      </c>
      <c r="X16" s="69"/>
      <c r="Y16" s="69" t="s">
        <v>1048</v>
      </c>
      <c r="Z16" s="69" t="s">
        <v>1049</v>
      </c>
      <c r="AA16" s="69" t="s">
        <v>489</v>
      </c>
      <c r="AB16" s="69" t="s">
        <v>451</v>
      </c>
      <c r="AC16" s="69" t="s">
        <v>1050</v>
      </c>
      <c r="AD16" s="69" t="s">
        <v>1051</v>
      </c>
      <c r="AE16" s="69">
        <v>85807900</v>
      </c>
      <c r="AF16" s="69" t="s">
        <v>1052</v>
      </c>
      <c r="AG16" s="69"/>
      <c r="AH16" s="69">
        <v>5000</v>
      </c>
      <c r="AI16" s="69" t="s">
        <v>493</v>
      </c>
      <c r="AJ16" s="69"/>
      <c r="AK16" s="69" t="s">
        <v>108</v>
      </c>
      <c r="AL16" s="69" t="s">
        <v>427</v>
      </c>
      <c r="AM16" s="69">
        <v>202017</v>
      </c>
      <c r="AN16" s="71">
        <v>43165</v>
      </c>
      <c r="AO16" s="69" t="s">
        <v>1053</v>
      </c>
      <c r="AP16" s="71">
        <v>43208</v>
      </c>
      <c r="AQ16" s="69">
        <v>180</v>
      </c>
      <c r="AR16" s="71">
        <v>43388</v>
      </c>
      <c r="AS16" s="69" t="s">
        <v>1054</v>
      </c>
      <c r="AT16" s="69">
        <v>998599.01</v>
      </c>
      <c r="AU16" s="71">
        <v>43276</v>
      </c>
      <c r="AV16" s="69" t="s">
        <v>457</v>
      </c>
      <c r="AW16" s="69"/>
      <c r="AX16" s="151">
        <v>519271.48</v>
      </c>
      <c r="AY16" s="72">
        <v>5.1999999364709901E+17</v>
      </c>
      <c r="AZ16" s="69">
        <v>1</v>
      </c>
      <c r="BA16" s="69">
        <v>4693</v>
      </c>
      <c r="BB16" s="69">
        <v>253251</v>
      </c>
      <c r="BC16" s="71">
        <v>43251</v>
      </c>
      <c r="BD16" s="69" t="s">
        <v>988</v>
      </c>
      <c r="BE16" s="69" t="s">
        <v>1055</v>
      </c>
      <c r="BF16" s="69" t="s">
        <v>988</v>
      </c>
      <c r="BG16" s="69" t="s">
        <v>988</v>
      </c>
      <c r="BH16" s="73">
        <v>40667.49</v>
      </c>
    </row>
    <row r="17" spans="1:60">
      <c r="A17" s="68">
        <v>1005696</v>
      </c>
      <c r="B17" s="69" t="s">
        <v>111</v>
      </c>
      <c r="C17" s="69" t="s">
        <v>82</v>
      </c>
      <c r="D17" s="79" t="s">
        <v>64</v>
      </c>
      <c r="E17" s="69" t="s">
        <v>108</v>
      </c>
      <c r="F17" s="69" t="s">
        <v>55</v>
      </c>
      <c r="G17" s="69" t="s">
        <v>60</v>
      </c>
      <c r="H17" s="69">
        <v>85804050</v>
      </c>
      <c r="I17" s="69" t="s">
        <v>498</v>
      </c>
      <c r="J17" s="69" t="s">
        <v>1056</v>
      </c>
      <c r="K17" s="69" t="s">
        <v>112</v>
      </c>
      <c r="L17" s="94" t="str">
        <f t="shared" si="0"/>
        <v>2013</v>
      </c>
      <c r="M17" s="70">
        <v>43418</v>
      </c>
      <c r="N17" s="69" t="s">
        <v>408</v>
      </c>
      <c r="O17" s="69" t="s">
        <v>988</v>
      </c>
      <c r="P17" s="69"/>
      <c r="Q17" s="69" t="s">
        <v>409</v>
      </c>
      <c r="R17" s="69" t="s">
        <v>424</v>
      </c>
      <c r="S17" s="69" t="s">
        <v>290</v>
      </c>
      <c r="T17" s="69" t="s">
        <v>411</v>
      </c>
      <c r="U17" s="69" t="s">
        <v>1057</v>
      </c>
      <c r="V17" s="69" t="s">
        <v>412</v>
      </c>
      <c r="W17" s="69">
        <v>76208867000107</v>
      </c>
      <c r="X17" s="69"/>
      <c r="Y17" s="69" t="s">
        <v>1048</v>
      </c>
      <c r="Z17" s="69" t="s">
        <v>1049</v>
      </c>
      <c r="AA17" s="69" t="s">
        <v>489</v>
      </c>
      <c r="AB17" s="69" t="s">
        <v>451</v>
      </c>
      <c r="AC17" s="69" t="s">
        <v>1050</v>
      </c>
      <c r="AD17" s="69" t="s">
        <v>1051</v>
      </c>
      <c r="AE17" s="69">
        <v>85807900</v>
      </c>
      <c r="AF17" s="69" t="s">
        <v>1052</v>
      </c>
      <c r="AG17" s="69"/>
      <c r="AH17" s="69">
        <v>5000</v>
      </c>
      <c r="AI17" s="69" t="s">
        <v>493</v>
      </c>
      <c r="AJ17" s="69"/>
      <c r="AK17" s="69" t="s">
        <v>108</v>
      </c>
      <c r="AL17" s="69"/>
      <c r="AM17" s="69"/>
      <c r="AN17" s="69"/>
      <c r="AO17" s="69"/>
      <c r="AP17" s="69"/>
      <c r="AQ17" s="69"/>
      <c r="AR17" s="69"/>
      <c r="AS17" s="69"/>
      <c r="AT17" s="69">
        <v>1927667.97</v>
      </c>
      <c r="AU17" s="69"/>
      <c r="AV17" s="69"/>
      <c r="AW17" s="69"/>
      <c r="AX17" s="151">
        <v>375680.39</v>
      </c>
      <c r="AY17" s="72">
        <v>1.9488853621745798E+17</v>
      </c>
      <c r="AZ17" s="69">
        <v>1</v>
      </c>
      <c r="BA17" s="69">
        <v>4693</v>
      </c>
      <c r="BB17" s="69">
        <v>254444</v>
      </c>
      <c r="BC17" s="71">
        <v>43251</v>
      </c>
      <c r="BD17" s="69" t="s">
        <v>988</v>
      </c>
      <c r="BE17" s="69" t="s">
        <v>988</v>
      </c>
      <c r="BF17" s="69" t="s">
        <v>1058</v>
      </c>
      <c r="BG17" s="69" t="s">
        <v>988</v>
      </c>
      <c r="BH17" s="73">
        <v>511417.93</v>
      </c>
    </row>
    <row r="18" spans="1:60">
      <c r="A18" s="68">
        <v>1006985</v>
      </c>
      <c r="B18" s="69" t="s">
        <v>1059</v>
      </c>
      <c r="C18" s="69" t="s">
        <v>82</v>
      </c>
      <c r="D18" s="79" t="s">
        <v>64</v>
      </c>
      <c r="E18" s="69" t="s">
        <v>108</v>
      </c>
      <c r="F18" s="69" t="s">
        <v>55</v>
      </c>
      <c r="G18" s="69" t="s">
        <v>60</v>
      </c>
      <c r="H18" s="69">
        <v>85806095</v>
      </c>
      <c r="I18" s="69" t="s">
        <v>1060</v>
      </c>
      <c r="J18" s="69" t="s">
        <v>1061</v>
      </c>
      <c r="K18" s="69" t="s">
        <v>114</v>
      </c>
      <c r="L18" s="94" t="str">
        <f t="shared" si="0"/>
        <v>2013</v>
      </c>
      <c r="M18" s="70">
        <v>43450</v>
      </c>
      <c r="N18" s="69" t="s">
        <v>408</v>
      </c>
      <c r="O18" s="69" t="s">
        <v>988</v>
      </c>
      <c r="P18" s="69"/>
      <c r="Q18" s="69" t="s">
        <v>409</v>
      </c>
      <c r="R18" s="69" t="s">
        <v>424</v>
      </c>
      <c r="S18" s="69" t="s">
        <v>290</v>
      </c>
      <c r="T18" s="69" t="s">
        <v>411</v>
      </c>
      <c r="U18" s="69" t="s">
        <v>1001</v>
      </c>
      <c r="V18" s="69" t="s">
        <v>412</v>
      </c>
      <c r="W18" s="69">
        <v>76208867000107</v>
      </c>
      <c r="X18" s="69"/>
      <c r="Y18" s="69" t="s">
        <v>1048</v>
      </c>
      <c r="Z18" s="69" t="s">
        <v>1049</v>
      </c>
      <c r="AA18" s="69" t="s">
        <v>489</v>
      </c>
      <c r="AB18" s="69" t="s">
        <v>451</v>
      </c>
      <c r="AC18" s="69" t="s">
        <v>1050</v>
      </c>
      <c r="AD18" s="69" t="s">
        <v>1051</v>
      </c>
      <c r="AE18" s="69">
        <v>85807900</v>
      </c>
      <c r="AF18" s="69" t="s">
        <v>1052</v>
      </c>
      <c r="AG18" s="69"/>
      <c r="AH18" s="69">
        <v>5000</v>
      </c>
      <c r="AI18" s="69" t="s">
        <v>493</v>
      </c>
      <c r="AJ18" s="69"/>
      <c r="AK18" s="69" t="s">
        <v>108</v>
      </c>
      <c r="AL18" s="69"/>
      <c r="AM18" s="69"/>
      <c r="AN18" s="69"/>
      <c r="AO18" s="69"/>
      <c r="AP18" s="69"/>
      <c r="AQ18" s="69"/>
      <c r="AR18" s="69"/>
      <c r="AS18" s="69"/>
      <c r="AT18" s="69">
        <v>1927667.98</v>
      </c>
      <c r="AU18" s="69"/>
      <c r="AV18" s="69"/>
      <c r="AW18" s="69"/>
      <c r="AX18" s="151">
        <v>373585</v>
      </c>
      <c r="AY18" s="72">
        <v>1.9380152848222701E+17</v>
      </c>
      <c r="AZ18" s="69">
        <v>1</v>
      </c>
      <c r="BA18" s="69">
        <v>4693</v>
      </c>
      <c r="BB18" s="69">
        <v>255165</v>
      </c>
      <c r="BC18" s="71">
        <v>43251</v>
      </c>
      <c r="BD18" s="69" t="s">
        <v>988</v>
      </c>
      <c r="BE18" s="69" t="s">
        <v>988</v>
      </c>
      <c r="BF18" s="69" t="s">
        <v>1062</v>
      </c>
      <c r="BG18" s="69" t="s">
        <v>988</v>
      </c>
      <c r="BH18" s="73">
        <v>500982.52</v>
      </c>
    </row>
    <row r="19" spans="1:60">
      <c r="A19" s="68">
        <v>1016714</v>
      </c>
      <c r="B19" s="69" t="s">
        <v>115</v>
      </c>
      <c r="C19" s="69" t="s">
        <v>89</v>
      </c>
      <c r="D19" s="80" t="s">
        <v>89</v>
      </c>
      <c r="E19" s="69" t="s">
        <v>108</v>
      </c>
      <c r="F19" s="69" t="s">
        <v>55</v>
      </c>
      <c r="G19" s="69" t="s">
        <v>60</v>
      </c>
      <c r="H19" s="69">
        <v>85823000</v>
      </c>
      <c r="I19" s="69" t="s">
        <v>504</v>
      </c>
      <c r="J19" s="69" t="s">
        <v>505</v>
      </c>
      <c r="K19" s="69" t="s">
        <v>117</v>
      </c>
      <c r="L19" s="94" t="str">
        <f t="shared" si="0"/>
        <v>2014</v>
      </c>
      <c r="M19" s="70">
        <v>43291</v>
      </c>
      <c r="N19" s="69" t="s">
        <v>408</v>
      </c>
      <c r="O19" s="69" t="s">
        <v>1063</v>
      </c>
      <c r="P19" s="70">
        <v>42964</v>
      </c>
      <c r="Q19" s="69" t="s">
        <v>409</v>
      </c>
      <c r="R19" s="69" t="s">
        <v>483</v>
      </c>
      <c r="S19" s="69" t="s">
        <v>290</v>
      </c>
      <c r="T19" s="69" t="s">
        <v>506</v>
      </c>
      <c r="U19" s="69" t="s">
        <v>1047</v>
      </c>
      <c r="V19" s="69" t="s">
        <v>412</v>
      </c>
      <c r="W19" s="69">
        <v>76208867000107</v>
      </c>
      <c r="X19" s="69"/>
      <c r="Y19" s="69" t="s">
        <v>1048</v>
      </c>
      <c r="Z19" s="69" t="s">
        <v>1049</v>
      </c>
      <c r="AA19" s="69" t="s">
        <v>489</v>
      </c>
      <c r="AB19" s="69" t="s">
        <v>451</v>
      </c>
      <c r="AC19" s="69" t="s">
        <v>1050</v>
      </c>
      <c r="AD19" s="69" t="s">
        <v>1051</v>
      </c>
      <c r="AE19" s="69">
        <v>85807900</v>
      </c>
      <c r="AF19" s="69" t="s">
        <v>1052</v>
      </c>
      <c r="AG19" s="69"/>
      <c r="AH19" s="69">
        <v>5000</v>
      </c>
      <c r="AI19" s="69" t="s">
        <v>493</v>
      </c>
      <c r="AJ19" s="69"/>
      <c r="AK19" s="69" t="s">
        <v>108</v>
      </c>
      <c r="AL19" s="69" t="s">
        <v>494</v>
      </c>
      <c r="AM19" s="69">
        <v>352014</v>
      </c>
      <c r="AN19" s="71">
        <v>41988</v>
      </c>
      <c r="AO19" s="69" t="s">
        <v>118</v>
      </c>
      <c r="AP19" s="71">
        <v>41989</v>
      </c>
      <c r="AQ19" s="69">
        <v>1095</v>
      </c>
      <c r="AR19" s="71">
        <v>43084</v>
      </c>
      <c r="AS19" s="69" t="s">
        <v>1064</v>
      </c>
      <c r="AT19" s="69">
        <v>998599.01</v>
      </c>
      <c r="AU19" s="71">
        <v>42977</v>
      </c>
      <c r="AV19" s="69" t="s">
        <v>1065</v>
      </c>
      <c r="AW19" s="69"/>
      <c r="AX19" s="151">
        <v>998599</v>
      </c>
      <c r="AY19" s="72">
        <v>9.9999998778288294E+17</v>
      </c>
      <c r="AZ19" s="69">
        <v>1</v>
      </c>
      <c r="BA19" s="69">
        <v>4693</v>
      </c>
      <c r="BB19" s="69">
        <v>264148</v>
      </c>
      <c r="BC19" s="71">
        <v>43251</v>
      </c>
      <c r="BD19" s="69" t="s">
        <v>988</v>
      </c>
      <c r="BE19" s="69" t="s">
        <v>1066</v>
      </c>
      <c r="BF19" s="69" t="s">
        <v>988</v>
      </c>
      <c r="BG19" s="69" t="s">
        <v>988</v>
      </c>
      <c r="BH19" s="73">
        <v>163714.99</v>
      </c>
    </row>
    <row r="20" spans="1:60">
      <c r="A20" s="68">
        <v>1006367</v>
      </c>
      <c r="B20" s="69" t="s">
        <v>120</v>
      </c>
      <c r="C20" s="69" t="s">
        <v>58</v>
      </c>
      <c r="D20" s="79" t="s">
        <v>1443</v>
      </c>
      <c r="E20" s="69" t="s">
        <v>119</v>
      </c>
      <c r="F20" s="69" t="s">
        <v>86</v>
      </c>
      <c r="G20" s="69" t="s">
        <v>60</v>
      </c>
      <c r="H20" s="69">
        <v>89800000</v>
      </c>
      <c r="I20" s="69" t="s">
        <v>511</v>
      </c>
      <c r="J20" s="69" t="s">
        <v>1067</v>
      </c>
      <c r="K20" s="69" t="s">
        <v>122</v>
      </c>
      <c r="L20" s="94" t="str">
        <f t="shared" si="0"/>
        <v>2013</v>
      </c>
      <c r="M20" s="70">
        <v>43525</v>
      </c>
      <c r="N20" s="69" t="s">
        <v>408</v>
      </c>
      <c r="O20" s="69" t="s">
        <v>1068</v>
      </c>
      <c r="P20" s="70">
        <v>43465</v>
      </c>
      <c r="Q20" s="69" t="s">
        <v>409</v>
      </c>
      <c r="R20" s="69" t="s">
        <v>424</v>
      </c>
      <c r="S20" s="69" t="s">
        <v>290</v>
      </c>
      <c r="T20" s="69" t="s">
        <v>411</v>
      </c>
      <c r="U20" s="69" t="s">
        <v>1030</v>
      </c>
      <c r="V20" s="69" t="s">
        <v>412</v>
      </c>
      <c r="W20" s="69">
        <v>83021808000182</v>
      </c>
      <c r="X20" s="69">
        <v>281214</v>
      </c>
      <c r="Y20" s="69" t="s">
        <v>513</v>
      </c>
      <c r="Z20" s="69" t="s">
        <v>1069</v>
      </c>
      <c r="AA20" s="69" t="s">
        <v>515</v>
      </c>
      <c r="AB20" s="69" t="s">
        <v>451</v>
      </c>
      <c r="AC20" s="69" t="s">
        <v>516</v>
      </c>
      <c r="AD20" s="69" t="s">
        <v>1070</v>
      </c>
      <c r="AE20" s="69">
        <v>89812000</v>
      </c>
      <c r="AF20" s="69" t="s">
        <v>518</v>
      </c>
      <c r="AG20" s="69" t="s">
        <v>519</v>
      </c>
      <c r="AH20" s="69">
        <v>957</v>
      </c>
      <c r="AI20" s="69" t="s">
        <v>421</v>
      </c>
      <c r="AJ20" s="69"/>
      <c r="AK20" s="69" t="s">
        <v>119</v>
      </c>
      <c r="AL20" s="69" t="s">
        <v>427</v>
      </c>
      <c r="AM20" s="69">
        <v>1942016</v>
      </c>
      <c r="AN20" s="71">
        <v>42675</v>
      </c>
      <c r="AO20" s="69" t="s">
        <v>123</v>
      </c>
      <c r="AP20" s="71">
        <v>42675</v>
      </c>
      <c r="AQ20" s="69">
        <v>600</v>
      </c>
      <c r="AR20" s="71">
        <v>43275</v>
      </c>
      <c r="AS20" s="69" t="s">
        <v>1071</v>
      </c>
      <c r="AT20" s="69">
        <v>1888084.32</v>
      </c>
      <c r="AU20" s="71">
        <v>43266</v>
      </c>
      <c r="AV20" s="69" t="s">
        <v>457</v>
      </c>
      <c r="AW20" s="69"/>
      <c r="AX20" s="151">
        <v>755325.53</v>
      </c>
      <c r="AY20" s="72">
        <v>4.0004862119710202E+17</v>
      </c>
      <c r="AZ20" s="69">
        <v>1</v>
      </c>
      <c r="BA20" s="69">
        <v>321</v>
      </c>
      <c r="BB20" s="69">
        <v>840599</v>
      </c>
      <c r="BC20" s="71">
        <v>43251</v>
      </c>
      <c r="BD20" s="69" t="s">
        <v>988</v>
      </c>
      <c r="BE20" s="69" t="s">
        <v>988</v>
      </c>
      <c r="BF20" s="69" t="s">
        <v>988</v>
      </c>
      <c r="BG20" s="69" t="s">
        <v>988</v>
      </c>
      <c r="BH20" s="73">
        <v>0</v>
      </c>
    </row>
    <row r="21" spans="1:60">
      <c r="A21" s="68">
        <v>1009202</v>
      </c>
      <c r="B21" s="69" t="s">
        <v>125</v>
      </c>
      <c r="C21" s="69" t="s">
        <v>58</v>
      </c>
      <c r="D21" s="79" t="s">
        <v>1443</v>
      </c>
      <c r="E21" s="69" t="s">
        <v>124</v>
      </c>
      <c r="F21" s="69" t="s">
        <v>55</v>
      </c>
      <c r="G21" s="69" t="s">
        <v>60</v>
      </c>
      <c r="H21" s="69">
        <v>85853709</v>
      </c>
      <c r="I21" s="69" t="s">
        <v>1072</v>
      </c>
      <c r="J21" s="69" t="s">
        <v>1073</v>
      </c>
      <c r="K21" s="69" t="s">
        <v>127</v>
      </c>
      <c r="L21" s="94" t="str">
        <f t="shared" si="0"/>
        <v>2013</v>
      </c>
      <c r="M21" s="70">
        <v>43615</v>
      </c>
      <c r="N21" s="69" t="s">
        <v>408</v>
      </c>
      <c r="O21" s="69" t="s">
        <v>1074</v>
      </c>
      <c r="P21" s="70">
        <v>43369</v>
      </c>
      <c r="Q21" s="69" t="s">
        <v>409</v>
      </c>
      <c r="R21" s="69" t="s">
        <v>410</v>
      </c>
      <c r="S21" s="69" t="s">
        <v>290</v>
      </c>
      <c r="T21" s="69" t="s">
        <v>411</v>
      </c>
      <c r="U21" s="69" t="s">
        <v>993</v>
      </c>
      <c r="V21" s="69" t="s">
        <v>412</v>
      </c>
      <c r="W21" s="69">
        <v>76206606000140</v>
      </c>
      <c r="X21" s="69" t="s">
        <v>522</v>
      </c>
      <c r="Y21" s="69" t="s">
        <v>523</v>
      </c>
      <c r="Z21" s="69" t="s">
        <v>1075</v>
      </c>
      <c r="AA21" s="69" t="s">
        <v>525</v>
      </c>
      <c r="AB21" s="69" t="s">
        <v>526</v>
      </c>
      <c r="AC21" s="69" t="s">
        <v>1076</v>
      </c>
      <c r="AD21" s="69" t="s">
        <v>1077</v>
      </c>
      <c r="AE21" s="69">
        <v>85851340</v>
      </c>
      <c r="AF21" s="69" t="s">
        <v>529</v>
      </c>
      <c r="AG21" s="69"/>
      <c r="AH21" s="69">
        <v>280</v>
      </c>
      <c r="AI21" s="69" t="s">
        <v>421</v>
      </c>
      <c r="AJ21" s="69"/>
      <c r="AK21" s="69" t="s">
        <v>124</v>
      </c>
      <c r="AL21" s="69" t="s">
        <v>427</v>
      </c>
      <c r="AM21" s="69">
        <v>3</v>
      </c>
      <c r="AN21" s="71">
        <v>43003</v>
      </c>
      <c r="AO21" s="69" t="s">
        <v>118</v>
      </c>
      <c r="AP21" s="71">
        <v>43004</v>
      </c>
      <c r="AQ21" s="69">
        <v>365</v>
      </c>
      <c r="AR21" s="71">
        <v>43369</v>
      </c>
      <c r="AS21" s="69" t="s">
        <v>1078</v>
      </c>
      <c r="AT21" s="69">
        <v>1267584.72</v>
      </c>
      <c r="AU21" s="71">
        <v>43250</v>
      </c>
      <c r="AV21" s="69" t="s">
        <v>457</v>
      </c>
      <c r="AW21" s="69"/>
      <c r="AX21" s="151">
        <v>370547.14</v>
      </c>
      <c r="AY21" s="72">
        <v>2.92325344810712E+17</v>
      </c>
      <c r="AZ21" s="69">
        <v>1</v>
      </c>
      <c r="BA21" s="69">
        <v>140</v>
      </c>
      <c r="BB21" s="69" t="s">
        <v>530</v>
      </c>
      <c r="BC21" s="71">
        <v>43251</v>
      </c>
      <c r="BD21" s="69" t="s">
        <v>988</v>
      </c>
      <c r="BE21" s="69" t="s">
        <v>1079</v>
      </c>
      <c r="BF21" s="69" t="s">
        <v>988</v>
      </c>
      <c r="BG21" s="69" t="s">
        <v>988</v>
      </c>
      <c r="BH21" s="73">
        <v>8685.5400000000009</v>
      </c>
    </row>
    <row r="22" spans="1:60">
      <c r="A22" s="68">
        <v>1009203</v>
      </c>
      <c r="B22" s="69" t="s">
        <v>128</v>
      </c>
      <c r="C22" s="69" t="s">
        <v>58</v>
      </c>
      <c r="D22" s="79" t="s">
        <v>1443</v>
      </c>
      <c r="E22" s="69" t="s">
        <v>124</v>
      </c>
      <c r="F22" s="69" t="s">
        <v>55</v>
      </c>
      <c r="G22" s="69" t="s">
        <v>60</v>
      </c>
      <c r="H22" s="69">
        <v>85870701</v>
      </c>
      <c r="I22" s="69" t="s">
        <v>1080</v>
      </c>
      <c r="J22" s="69" t="s">
        <v>1081</v>
      </c>
      <c r="K22" s="69" t="s">
        <v>127</v>
      </c>
      <c r="L22" s="94" t="str">
        <f t="shared" si="0"/>
        <v>2013</v>
      </c>
      <c r="M22" s="70">
        <v>43615</v>
      </c>
      <c r="N22" s="69" t="s">
        <v>408</v>
      </c>
      <c r="O22" s="69" t="s">
        <v>1082</v>
      </c>
      <c r="P22" s="70">
        <v>43460</v>
      </c>
      <c r="Q22" s="69" t="s">
        <v>409</v>
      </c>
      <c r="R22" s="69" t="s">
        <v>424</v>
      </c>
      <c r="S22" s="69" t="s">
        <v>290</v>
      </c>
      <c r="T22" s="69" t="s">
        <v>411</v>
      </c>
      <c r="U22" s="69" t="s">
        <v>1001</v>
      </c>
      <c r="V22" s="69" t="s">
        <v>412</v>
      </c>
      <c r="W22" s="69">
        <v>76206606000140</v>
      </c>
      <c r="X22" s="69" t="s">
        <v>522</v>
      </c>
      <c r="Y22" s="69" t="s">
        <v>523</v>
      </c>
      <c r="Z22" s="69" t="s">
        <v>1075</v>
      </c>
      <c r="AA22" s="69" t="s">
        <v>525</v>
      </c>
      <c r="AB22" s="69" t="s">
        <v>526</v>
      </c>
      <c r="AC22" s="69" t="s">
        <v>1076</v>
      </c>
      <c r="AD22" s="69" t="s">
        <v>1077</v>
      </c>
      <c r="AE22" s="69">
        <v>85851340</v>
      </c>
      <c r="AF22" s="69" t="s">
        <v>529</v>
      </c>
      <c r="AG22" s="69"/>
      <c r="AH22" s="69">
        <v>280</v>
      </c>
      <c r="AI22" s="69" t="s">
        <v>421</v>
      </c>
      <c r="AJ22" s="69"/>
      <c r="AK22" s="69" t="s">
        <v>124</v>
      </c>
      <c r="AL22" s="69" t="s">
        <v>427</v>
      </c>
      <c r="AM22" s="69">
        <v>32017</v>
      </c>
      <c r="AN22" s="71">
        <v>43003</v>
      </c>
      <c r="AO22" s="69" t="s">
        <v>1083</v>
      </c>
      <c r="AP22" s="71">
        <v>43004</v>
      </c>
      <c r="AQ22" s="69">
        <v>456</v>
      </c>
      <c r="AR22" s="71">
        <v>43460</v>
      </c>
      <c r="AS22" s="69" t="s">
        <v>1084</v>
      </c>
      <c r="AT22" s="69">
        <v>1927667.98</v>
      </c>
      <c r="AU22" s="71">
        <v>43271</v>
      </c>
      <c r="AV22" s="69" t="s">
        <v>457</v>
      </c>
      <c r="AW22" s="69"/>
      <c r="AX22" s="151">
        <v>372799.64</v>
      </c>
      <c r="AY22" s="72">
        <v>1.9339411392219699E+17</v>
      </c>
      <c r="AZ22" s="69">
        <v>1</v>
      </c>
      <c r="BA22" s="69">
        <v>140</v>
      </c>
      <c r="BB22" s="69" t="s">
        <v>530</v>
      </c>
      <c r="BC22" s="71">
        <v>43251</v>
      </c>
      <c r="BD22" s="69" t="s">
        <v>988</v>
      </c>
      <c r="BE22" s="69" t="s">
        <v>1079</v>
      </c>
      <c r="BF22" s="69" t="s">
        <v>988</v>
      </c>
      <c r="BG22" s="69" t="s">
        <v>988</v>
      </c>
      <c r="BH22" s="73">
        <v>8685.5400000000009</v>
      </c>
    </row>
    <row r="23" spans="1:60">
      <c r="A23" s="68">
        <v>1009204</v>
      </c>
      <c r="B23" s="69" t="s">
        <v>129</v>
      </c>
      <c r="C23" s="69" t="s">
        <v>58</v>
      </c>
      <c r="D23" s="79" t="s">
        <v>1443</v>
      </c>
      <c r="E23" s="69" t="s">
        <v>124</v>
      </c>
      <c r="F23" s="69" t="s">
        <v>55</v>
      </c>
      <c r="G23" s="69" t="s">
        <v>60</v>
      </c>
      <c r="H23" s="69">
        <v>85862500</v>
      </c>
      <c r="I23" s="69" t="s">
        <v>533</v>
      </c>
      <c r="J23" s="69" t="s">
        <v>1085</v>
      </c>
      <c r="K23" s="69" t="s">
        <v>127</v>
      </c>
      <c r="L23" s="94" t="str">
        <f t="shared" si="0"/>
        <v>2013</v>
      </c>
      <c r="M23" s="70">
        <v>43615</v>
      </c>
      <c r="N23" s="69" t="s">
        <v>408</v>
      </c>
      <c r="O23" s="69" t="s">
        <v>1086</v>
      </c>
      <c r="P23" s="70">
        <v>43460</v>
      </c>
      <c r="Q23" s="69" t="s">
        <v>409</v>
      </c>
      <c r="R23" s="69" t="s">
        <v>424</v>
      </c>
      <c r="S23" s="69" t="s">
        <v>290</v>
      </c>
      <c r="T23" s="69" t="s">
        <v>411</v>
      </c>
      <c r="U23" s="69" t="s">
        <v>1001</v>
      </c>
      <c r="V23" s="69" t="s">
        <v>412</v>
      </c>
      <c r="W23" s="69">
        <v>76206606000140</v>
      </c>
      <c r="X23" s="69" t="s">
        <v>522</v>
      </c>
      <c r="Y23" s="69" t="s">
        <v>523</v>
      </c>
      <c r="Z23" s="69" t="s">
        <v>1075</v>
      </c>
      <c r="AA23" s="69" t="s">
        <v>525</v>
      </c>
      <c r="AB23" s="69" t="s">
        <v>526</v>
      </c>
      <c r="AC23" s="69" t="s">
        <v>1076</v>
      </c>
      <c r="AD23" s="69" t="s">
        <v>1077</v>
      </c>
      <c r="AE23" s="69">
        <v>85851340</v>
      </c>
      <c r="AF23" s="69" t="s">
        <v>529</v>
      </c>
      <c r="AG23" s="69"/>
      <c r="AH23" s="69">
        <v>280</v>
      </c>
      <c r="AI23" s="69" t="s">
        <v>421</v>
      </c>
      <c r="AJ23" s="69"/>
      <c r="AK23" s="69" t="s">
        <v>124</v>
      </c>
      <c r="AL23" s="69" t="s">
        <v>427</v>
      </c>
      <c r="AM23" s="69"/>
      <c r="AN23" s="71">
        <v>43005</v>
      </c>
      <c r="AO23" s="69" t="s">
        <v>1087</v>
      </c>
      <c r="AP23" s="71">
        <v>43004</v>
      </c>
      <c r="AQ23" s="69">
        <v>456</v>
      </c>
      <c r="AR23" s="71">
        <v>43460</v>
      </c>
      <c r="AS23" s="69" t="s">
        <v>1088</v>
      </c>
      <c r="AT23" s="69">
        <v>1927667.98</v>
      </c>
      <c r="AU23" s="71">
        <v>43265</v>
      </c>
      <c r="AV23" s="69" t="s">
        <v>457</v>
      </c>
      <c r="AW23" s="69"/>
      <c r="AX23" s="151">
        <v>370547.14</v>
      </c>
      <c r="AY23" s="72">
        <v>1.9222560356202099E+17</v>
      </c>
      <c r="AZ23" s="69">
        <v>1</v>
      </c>
      <c r="BA23" s="69">
        <v>140</v>
      </c>
      <c r="BB23" s="69" t="s">
        <v>530</v>
      </c>
      <c r="BC23" s="71">
        <v>43251</v>
      </c>
      <c r="BD23" s="69" t="s">
        <v>988</v>
      </c>
      <c r="BE23" s="69" t="s">
        <v>1079</v>
      </c>
      <c r="BF23" s="69" t="s">
        <v>988</v>
      </c>
      <c r="BG23" s="69" t="s">
        <v>988</v>
      </c>
      <c r="BH23" s="73">
        <v>8685.5400000000009</v>
      </c>
    </row>
    <row r="24" spans="1:60">
      <c r="A24" s="68">
        <v>1009205</v>
      </c>
      <c r="B24" s="69" t="s">
        <v>1089</v>
      </c>
      <c r="C24" s="69" t="s">
        <v>82</v>
      </c>
      <c r="D24" s="79" t="s">
        <v>64</v>
      </c>
      <c r="E24" s="69" t="s">
        <v>124</v>
      </c>
      <c r="F24" s="69" t="s">
        <v>55</v>
      </c>
      <c r="G24" s="69" t="s">
        <v>60</v>
      </c>
      <c r="H24" s="69">
        <v>85855782</v>
      </c>
      <c r="I24" s="69" t="s">
        <v>535</v>
      </c>
      <c r="J24" s="69" t="s">
        <v>1090</v>
      </c>
      <c r="K24" s="69" t="s">
        <v>127</v>
      </c>
      <c r="L24" s="94" t="str">
        <f t="shared" si="0"/>
        <v>2013</v>
      </c>
      <c r="M24" s="70">
        <v>43615</v>
      </c>
      <c r="N24" s="69" t="s">
        <v>408</v>
      </c>
      <c r="O24" s="69" t="s">
        <v>988</v>
      </c>
      <c r="P24" s="69"/>
      <c r="Q24" s="69" t="s">
        <v>409</v>
      </c>
      <c r="R24" s="69" t="s">
        <v>410</v>
      </c>
      <c r="S24" s="69" t="s">
        <v>290</v>
      </c>
      <c r="T24" s="69" t="s">
        <v>411</v>
      </c>
      <c r="U24" s="69" t="s">
        <v>993</v>
      </c>
      <c r="V24" s="69" t="s">
        <v>412</v>
      </c>
      <c r="W24" s="69">
        <v>76206606000140</v>
      </c>
      <c r="X24" s="69" t="s">
        <v>522</v>
      </c>
      <c r="Y24" s="69" t="s">
        <v>523</v>
      </c>
      <c r="Z24" s="69" t="s">
        <v>1075</v>
      </c>
      <c r="AA24" s="69" t="s">
        <v>525</v>
      </c>
      <c r="AB24" s="69" t="s">
        <v>526</v>
      </c>
      <c r="AC24" s="69" t="s">
        <v>1076</v>
      </c>
      <c r="AD24" s="69" t="s">
        <v>1077</v>
      </c>
      <c r="AE24" s="69">
        <v>85851340</v>
      </c>
      <c r="AF24" s="69" t="s">
        <v>529</v>
      </c>
      <c r="AG24" s="69"/>
      <c r="AH24" s="69">
        <v>280</v>
      </c>
      <c r="AI24" s="69" t="s">
        <v>421</v>
      </c>
      <c r="AJ24" s="69"/>
      <c r="AK24" s="69" t="s">
        <v>124</v>
      </c>
      <c r="AL24" s="69"/>
      <c r="AM24" s="69"/>
      <c r="AN24" s="69"/>
      <c r="AO24" s="69"/>
      <c r="AP24" s="69"/>
      <c r="AQ24" s="69"/>
      <c r="AR24" s="69"/>
      <c r="AS24" s="69"/>
      <c r="AT24" s="69">
        <v>1267584.72</v>
      </c>
      <c r="AU24" s="69"/>
      <c r="AV24" s="69"/>
      <c r="AW24" s="69"/>
      <c r="AX24" s="151">
        <v>370549.25</v>
      </c>
      <c r="AY24" s="72">
        <v>2.9232700939373197E+17</v>
      </c>
      <c r="AZ24" s="69">
        <v>1</v>
      </c>
      <c r="BA24" s="69">
        <v>140</v>
      </c>
      <c r="BB24" s="69" t="s">
        <v>530</v>
      </c>
      <c r="BC24" s="71">
        <v>43251</v>
      </c>
      <c r="BD24" s="69" t="s">
        <v>988</v>
      </c>
      <c r="BE24" s="69" t="s">
        <v>1079</v>
      </c>
      <c r="BF24" s="69" t="s">
        <v>988</v>
      </c>
      <c r="BG24" s="69" t="s">
        <v>988</v>
      </c>
      <c r="BH24" s="73">
        <v>8685.5400000000009</v>
      </c>
    </row>
    <row r="25" spans="1:60">
      <c r="A25" s="68">
        <v>1011101</v>
      </c>
      <c r="B25" s="69" t="s">
        <v>131</v>
      </c>
      <c r="C25" s="69" t="s">
        <v>82</v>
      </c>
      <c r="D25" s="79" t="s">
        <v>64</v>
      </c>
      <c r="E25" s="69" t="s">
        <v>124</v>
      </c>
      <c r="F25" s="69" t="s">
        <v>55</v>
      </c>
      <c r="G25" s="69" t="s">
        <v>60</v>
      </c>
      <c r="H25" s="69">
        <v>85857050</v>
      </c>
      <c r="I25" s="69" t="s">
        <v>537</v>
      </c>
      <c r="J25" s="69" t="s">
        <v>1091</v>
      </c>
      <c r="K25" s="69" t="s">
        <v>132</v>
      </c>
      <c r="L25" s="94" t="str">
        <f t="shared" si="0"/>
        <v>2014</v>
      </c>
      <c r="M25" s="70">
        <v>43434</v>
      </c>
      <c r="N25" s="69" t="s">
        <v>408</v>
      </c>
      <c r="O25" s="69" t="s">
        <v>988</v>
      </c>
      <c r="P25" s="69"/>
      <c r="Q25" s="69" t="s">
        <v>409</v>
      </c>
      <c r="R25" s="69" t="s">
        <v>410</v>
      </c>
      <c r="S25" s="69" t="s">
        <v>290</v>
      </c>
      <c r="T25" s="69" t="s">
        <v>411</v>
      </c>
      <c r="U25" s="69" t="s">
        <v>993</v>
      </c>
      <c r="V25" s="69" t="s">
        <v>412</v>
      </c>
      <c r="W25" s="69">
        <v>76206606000140</v>
      </c>
      <c r="X25" s="69" t="s">
        <v>522</v>
      </c>
      <c r="Y25" s="69" t="s">
        <v>523</v>
      </c>
      <c r="Z25" s="69" t="s">
        <v>1075</v>
      </c>
      <c r="AA25" s="69" t="s">
        <v>525</v>
      </c>
      <c r="AB25" s="69" t="s">
        <v>526</v>
      </c>
      <c r="AC25" s="69" t="s">
        <v>1076</v>
      </c>
      <c r="AD25" s="69" t="s">
        <v>1077</v>
      </c>
      <c r="AE25" s="69">
        <v>85851340</v>
      </c>
      <c r="AF25" s="69" t="s">
        <v>529</v>
      </c>
      <c r="AG25" s="69"/>
      <c r="AH25" s="69">
        <v>280</v>
      </c>
      <c r="AI25" s="69" t="s">
        <v>421</v>
      </c>
      <c r="AJ25" s="69"/>
      <c r="AK25" s="69" t="s">
        <v>124</v>
      </c>
      <c r="AL25" s="69"/>
      <c r="AM25" s="69"/>
      <c r="AN25" s="69"/>
      <c r="AO25" s="69"/>
      <c r="AP25" s="69"/>
      <c r="AQ25" s="69"/>
      <c r="AR25" s="69"/>
      <c r="AS25" s="69"/>
      <c r="AT25" s="69">
        <v>1267584.72</v>
      </c>
      <c r="AU25" s="69"/>
      <c r="AV25" s="69"/>
      <c r="AW25" s="69"/>
      <c r="AX25" s="151"/>
      <c r="AY25" s="69"/>
      <c r="AZ25" s="69">
        <v>1</v>
      </c>
      <c r="BA25" s="69">
        <v>140</v>
      </c>
      <c r="BB25" s="69">
        <v>925314</v>
      </c>
      <c r="BC25" s="71">
        <v>43251</v>
      </c>
      <c r="BD25" s="69" t="s">
        <v>988</v>
      </c>
      <c r="BE25" s="69" t="s">
        <v>988</v>
      </c>
      <c r="BF25" s="69" t="s">
        <v>988</v>
      </c>
      <c r="BG25" s="69" t="s">
        <v>988</v>
      </c>
      <c r="BH25" s="73">
        <v>0</v>
      </c>
    </row>
    <row r="26" spans="1:60">
      <c r="A26" s="68">
        <v>1012814</v>
      </c>
      <c r="B26" s="69" t="s">
        <v>1092</v>
      </c>
      <c r="C26" s="69" t="s">
        <v>137</v>
      </c>
      <c r="D26" s="79" t="s">
        <v>64</v>
      </c>
      <c r="E26" s="69" t="s">
        <v>124</v>
      </c>
      <c r="F26" s="69" t="s">
        <v>55</v>
      </c>
      <c r="G26" s="69" t="s">
        <v>60</v>
      </c>
      <c r="H26" s="69">
        <v>85869380</v>
      </c>
      <c r="I26" s="69" t="s">
        <v>539</v>
      </c>
      <c r="J26" s="69" t="s">
        <v>1093</v>
      </c>
      <c r="K26" s="69" t="s">
        <v>134</v>
      </c>
      <c r="L26" s="94" t="str">
        <f t="shared" si="0"/>
        <v>2014</v>
      </c>
      <c r="M26" s="70">
        <v>43367</v>
      </c>
      <c r="N26" s="69" t="s">
        <v>408</v>
      </c>
      <c r="O26" s="69" t="s">
        <v>988</v>
      </c>
      <c r="P26" s="69"/>
      <c r="Q26" s="69" t="s">
        <v>409</v>
      </c>
      <c r="R26" s="69" t="s">
        <v>424</v>
      </c>
      <c r="S26" s="69" t="s">
        <v>290</v>
      </c>
      <c r="T26" s="69" t="s">
        <v>411</v>
      </c>
      <c r="U26" s="69" t="s">
        <v>1001</v>
      </c>
      <c r="V26" s="69" t="s">
        <v>412</v>
      </c>
      <c r="W26" s="69">
        <v>76206606000140</v>
      </c>
      <c r="X26" s="69" t="s">
        <v>522</v>
      </c>
      <c r="Y26" s="69" t="s">
        <v>523</v>
      </c>
      <c r="Z26" s="69" t="s">
        <v>1075</v>
      </c>
      <c r="AA26" s="69" t="s">
        <v>525</v>
      </c>
      <c r="AB26" s="69" t="s">
        <v>526</v>
      </c>
      <c r="AC26" s="69" t="s">
        <v>1076</v>
      </c>
      <c r="AD26" s="69" t="s">
        <v>1077</v>
      </c>
      <c r="AE26" s="69">
        <v>85851340</v>
      </c>
      <c r="AF26" s="69" t="s">
        <v>529</v>
      </c>
      <c r="AG26" s="69"/>
      <c r="AH26" s="69">
        <v>280</v>
      </c>
      <c r="AI26" s="69" t="s">
        <v>421</v>
      </c>
      <c r="AJ26" s="69"/>
      <c r="AK26" s="69" t="s">
        <v>124</v>
      </c>
      <c r="AL26" s="69"/>
      <c r="AM26" s="69"/>
      <c r="AN26" s="69"/>
      <c r="AO26" s="69"/>
      <c r="AP26" s="69"/>
      <c r="AQ26" s="69"/>
      <c r="AR26" s="69"/>
      <c r="AS26" s="69"/>
      <c r="AT26" s="69">
        <v>1927667.98</v>
      </c>
      <c r="AU26" s="69"/>
      <c r="AV26" s="69"/>
      <c r="AW26" s="69"/>
      <c r="AX26" s="151"/>
      <c r="AY26" s="69"/>
      <c r="AZ26" s="69">
        <v>1</v>
      </c>
      <c r="BA26" s="69">
        <v>140</v>
      </c>
      <c r="BB26" s="69">
        <v>925322</v>
      </c>
      <c r="BC26" s="71">
        <v>43251</v>
      </c>
      <c r="BD26" s="69" t="s">
        <v>988</v>
      </c>
      <c r="BE26" s="69" t="s">
        <v>988</v>
      </c>
      <c r="BF26" s="69" t="s">
        <v>988</v>
      </c>
      <c r="BG26" s="69" t="s">
        <v>988</v>
      </c>
      <c r="BH26" s="73">
        <v>0</v>
      </c>
    </row>
    <row r="27" spans="1:60">
      <c r="A27" s="68">
        <v>1012815</v>
      </c>
      <c r="B27" s="69" t="s">
        <v>135</v>
      </c>
      <c r="C27" s="69" t="s">
        <v>137</v>
      </c>
      <c r="D27" s="79" t="s">
        <v>64</v>
      </c>
      <c r="E27" s="69" t="s">
        <v>124</v>
      </c>
      <c r="F27" s="69" t="s">
        <v>55</v>
      </c>
      <c r="G27" s="69" t="s">
        <v>60</v>
      </c>
      <c r="H27" s="69">
        <v>85862530</v>
      </c>
      <c r="I27" s="69" t="s">
        <v>1094</v>
      </c>
      <c r="J27" s="69" t="s">
        <v>1095</v>
      </c>
      <c r="K27" s="69" t="s">
        <v>134</v>
      </c>
      <c r="L27" s="94" t="str">
        <f t="shared" si="0"/>
        <v>2014</v>
      </c>
      <c r="M27" s="70">
        <v>43367</v>
      </c>
      <c r="N27" s="69" t="s">
        <v>408</v>
      </c>
      <c r="O27" s="69" t="s">
        <v>988</v>
      </c>
      <c r="P27" s="69"/>
      <c r="Q27" s="69" t="s">
        <v>409</v>
      </c>
      <c r="R27" s="69" t="s">
        <v>424</v>
      </c>
      <c r="S27" s="69" t="s">
        <v>290</v>
      </c>
      <c r="T27" s="69" t="s">
        <v>411</v>
      </c>
      <c r="U27" s="69" t="s">
        <v>1001</v>
      </c>
      <c r="V27" s="69" t="s">
        <v>412</v>
      </c>
      <c r="W27" s="69">
        <v>76206606000140</v>
      </c>
      <c r="X27" s="69" t="s">
        <v>522</v>
      </c>
      <c r="Y27" s="69" t="s">
        <v>523</v>
      </c>
      <c r="Z27" s="69" t="s">
        <v>1075</v>
      </c>
      <c r="AA27" s="69" t="s">
        <v>525</v>
      </c>
      <c r="AB27" s="69" t="s">
        <v>526</v>
      </c>
      <c r="AC27" s="69" t="s">
        <v>1076</v>
      </c>
      <c r="AD27" s="69" t="s">
        <v>1077</v>
      </c>
      <c r="AE27" s="69">
        <v>85851340</v>
      </c>
      <c r="AF27" s="69" t="s">
        <v>529</v>
      </c>
      <c r="AG27" s="69"/>
      <c r="AH27" s="69">
        <v>280</v>
      </c>
      <c r="AI27" s="69" t="s">
        <v>421</v>
      </c>
      <c r="AJ27" s="69"/>
      <c r="AK27" s="69" t="s">
        <v>124</v>
      </c>
      <c r="AL27" s="69"/>
      <c r="AM27" s="69"/>
      <c r="AN27" s="69"/>
      <c r="AO27" s="69"/>
      <c r="AP27" s="69"/>
      <c r="AQ27" s="69"/>
      <c r="AR27" s="69"/>
      <c r="AS27" s="69"/>
      <c r="AT27" s="69">
        <v>1927667.98</v>
      </c>
      <c r="AU27" s="69"/>
      <c r="AV27" s="69"/>
      <c r="AW27" s="69"/>
      <c r="AX27" s="151"/>
      <c r="AY27" s="69"/>
      <c r="AZ27" s="69">
        <v>1</v>
      </c>
      <c r="BA27" s="69">
        <v>140</v>
      </c>
      <c r="BB27" s="69">
        <v>925322</v>
      </c>
      <c r="BC27" s="71">
        <v>43251</v>
      </c>
      <c r="BD27" s="69" t="s">
        <v>988</v>
      </c>
      <c r="BE27" s="69" t="s">
        <v>988</v>
      </c>
      <c r="BF27" s="69" t="s">
        <v>988</v>
      </c>
      <c r="BG27" s="69" t="s">
        <v>988</v>
      </c>
      <c r="BH27" s="73">
        <v>0</v>
      </c>
    </row>
    <row r="28" spans="1:60">
      <c r="A28" s="68">
        <v>1012816</v>
      </c>
      <c r="B28" s="69" t="s">
        <v>136</v>
      </c>
      <c r="C28" s="69" t="s">
        <v>82</v>
      </c>
      <c r="D28" s="79" t="s">
        <v>64</v>
      </c>
      <c r="E28" s="69" t="s">
        <v>124</v>
      </c>
      <c r="F28" s="69" t="s">
        <v>55</v>
      </c>
      <c r="G28" s="69" t="s">
        <v>60</v>
      </c>
      <c r="H28" s="69">
        <v>85862426</v>
      </c>
      <c r="I28" s="69" t="s">
        <v>544</v>
      </c>
      <c r="J28" s="69" t="s">
        <v>1096</v>
      </c>
      <c r="K28" s="69" t="s">
        <v>134</v>
      </c>
      <c r="L28" s="94" t="str">
        <f t="shared" si="0"/>
        <v>2014</v>
      </c>
      <c r="M28" s="70">
        <v>43367</v>
      </c>
      <c r="N28" s="69" t="s">
        <v>408</v>
      </c>
      <c r="O28" s="69" t="s">
        <v>988</v>
      </c>
      <c r="P28" s="69"/>
      <c r="Q28" s="69" t="s">
        <v>409</v>
      </c>
      <c r="R28" s="69" t="s">
        <v>546</v>
      </c>
      <c r="S28" s="69" t="s">
        <v>290</v>
      </c>
      <c r="T28" s="69" t="s">
        <v>411</v>
      </c>
      <c r="U28" s="69" t="s">
        <v>1097</v>
      </c>
      <c r="V28" s="69" t="s">
        <v>412</v>
      </c>
      <c r="W28" s="69">
        <v>76206606000140</v>
      </c>
      <c r="X28" s="69" t="s">
        <v>522</v>
      </c>
      <c r="Y28" s="69" t="s">
        <v>523</v>
      </c>
      <c r="Z28" s="69" t="s">
        <v>1075</v>
      </c>
      <c r="AA28" s="69" t="s">
        <v>525</v>
      </c>
      <c r="AB28" s="69" t="s">
        <v>526</v>
      </c>
      <c r="AC28" s="69" t="s">
        <v>1076</v>
      </c>
      <c r="AD28" s="69" t="s">
        <v>1077</v>
      </c>
      <c r="AE28" s="69">
        <v>85851340</v>
      </c>
      <c r="AF28" s="69" t="s">
        <v>529</v>
      </c>
      <c r="AG28" s="69"/>
      <c r="AH28" s="69">
        <v>280</v>
      </c>
      <c r="AI28" s="69" t="s">
        <v>421</v>
      </c>
      <c r="AJ28" s="69"/>
      <c r="AK28" s="69" t="s">
        <v>124</v>
      </c>
      <c r="AL28" s="69"/>
      <c r="AM28" s="69"/>
      <c r="AN28" s="69"/>
      <c r="AO28" s="69"/>
      <c r="AP28" s="69"/>
      <c r="AQ28" s="69"/>
      <c r="AR28" s="69"/>
      <c r="AS28" s="69"/>
      <c r="AT28" s="69">
        <v>1493426.54</v>
      </c>
      <c r="AU28" s="69"/>
      <c r="AV28" s="69"/>
      <c r="AW28" s="69"/>
      <c r="AX28" s="151"/>
      <c r="AY28" s="69"/>
      <c r="AZ28" s="69">
        <v>1</v>
      </c>
      <c r="BA28" s="69">
        <v>140</v>
      </c>
      <c r="BB28" s="69">
        <v>925322</v>
      </c>
      <c r="BC28" s="71">
        <v>43251</v>
      </c>
      <c r="BD28" s="69" t="s">
        <v>988</v>
      </c>
      <c r="BE28" s="69" t="s">
        <v>988</v>
      </c>
      <c r="BF28" s="69" t="s">
        <v>988</v>
      </c>
      <c r="BG28" s="69" t="s">
        <v>988</v>
      </c>
      <c r="BH28" s="73">
        <v>0</v>
      </c>
    </row>
    <row r="29" spans="1:60">
      <c r="A29" s="68">
        <v>1006081</v>
      </c>
      <c r="B29" s="69" t="s">
        <v>139</v>
      </c>
      <c r="C29" s="69" t="s">
        <v>67</v>
      </c>
      <c r="D29" s="80" t="s">
        <v>67</v>
      </c>
      <c r="E29" s="69" t="s">
        <v>138</v>
      </c>
      <c r="F29" s="69" t="s">
        <v>55</v>
      </c>
      <c r="G29" s="69" t="s">
        <v>60</v>
      </c>
      <c r="H29" s="69">
        <v>87360000</v>
      </c>
      <c r="I29" s="69" t="s">
        <v>547</v>
      </c>
      <c r="J29" s="69" t="s">
        <v>1098</v>
      </c>
      <c r="K29" s="69" t="s">
        <v>141</v>
      </c>
      <c r="L29" s="94" t="str">
        <f t="shared" si="0"/>
        <v>2013</v>
      </c>
      <c r="M29" s="70">
        <v>43358</v>
      </c>
      <c r="N29" s="69" t="s">
        <v>408</v>
      </c>
      <c r="O29" s="69" t="s">
        <v>1099</v>
      </c>
      <c r="P29" s="70">
        <v>43231</v>
      </c>
      <c r="Q29" s="69" t="s">
        <v>409</v>
      </c>
      <c r="R29" s="69" t="s">
        <v>424</v>
      </c>
      <c r="S29" s="69" t="s">
        <v>290</v>
      </c>
      <c r="T29" s="69" t="s">
        <v>411</v>
      </c>
      <c r="U29" s="69" t="s">
        <v>1057</v>
      </c>
      <c r="V29" s="69" t="s">
        <v>412</v>
      </c>
      <c r="W29" s="69">
        <v>78198975000163</v>
      </c>
      <c r="X29" s="69">
        <v>280873</v>
      </c>
      <c r="Y29" s="69" t="s">
        <v>550</v>
      </c>
      <c r="Z29" s="69" t="s">
        <v>1100</v>
      </c>
      <c r="AA29" s="69" t="s">
        <v>552</v>
      </c>
      <c r="AB29" s="69" t="s">
        <v>553</v>
      </c>
      <c r="AC29" s="69" t="s">
        <v>1101</v>
      </c>
      <c r="AD29" s="69" t="s">
        <v>1101</v>
      </c>
      <c r="AE29" s="69">
        <v>87360000</v>
      </c>
      <c r="AF29" s="69" t="s">
        <v>555</v>
      </c>
      <c r="AG29" s="69"/>
      <c r="AH29" s="69">
        <v>280</v>
      </c>
      <c r="AI29" s="69" t="s">
        <v>556</v>
      </c>
      <c r="AJ29" s="69"/>
      <c r="AK29" s="69" t="s">
        <v>138</v>
      </c>
      <c r="AL29" s="69" t="s">
        <v>427</v>
      </c>
      <c r="AM29" s="69">
        <v>42016</v>
      </c>
      <c r="AN29" s="71">
        <v>42664</v>
      </c>
      <c r="AO29" s="69" t="s">
        <v>558</v>
      </c>
      <c r="AP29" s="71">
        <v>42667</v>
      </c>
      <c r="AQ29" s="69">
        <v>730</v>
      </c>
      <c r="AR29" s="71">
        <v>43397</v>
      </c>
      <c r="AS29" s="69" t="s">
        <v>1102</v>
      </c>
      <c r="AT29" s="69">
        <v>1927667.97</v>
      </c>
      <c r="AU29" s="71">
        <v>43231</v>
      </c>
      <c r="AV29" s="69" t="s">
        <v>429</v>
      </c>
      <c r="AW29" s="69" t="s">
        <v>430</v>
      </c>
      <c r="AX29" s="151">
        <v>372424.64</v>
      </c>
      <c r="AY29" s="72">
        <v>1.9319957834614099E+17</v>
      </c>
      <c r="AZ29" s="69">
        <v>1</v>
      </c>
      <c r="BA29" s="69">
        <v>847</v>
      </c>
      <c r="BB29" s="69">
        <v>360260</v>
      </c>
      <c r="BC29" s="71">
        <v>43251</v>
      </c>
      <c r="BD29" s="69" t="s">
        <v>988</v>
      </c>
      <c r="BE29" s="69" t="s">
        <v>1103</v>
      </c>
      <c r="BF29" s="69" t="s">
        <v>988</v>
      </c>
      <c r="BG29" s="69" t="s">
        <v>988</v>
      </c>
      <c r="BH29" s="73">
        <v>176.73</v>
      </c>
    </row>
    <row r="30" spans="1:60">
      <c r="A30" s="68">
        <v>1010867</v>
      </c>
      <c r="B30" s="69" t="s">
        <v>142</v>
      </c>
      <c r="C30" s="69" t="s">
        <v>58</v>
      </c>
      <c r="D30" s="79" t="s">
        <v>1443</v>
      </c>
      <c r="E30" s="69" t="s">
        <v>138</v>
      </c>
      <c r="F30" s="69" t="s">
        <v>55</v>
      </c>
      <c r="G30" s="69" t="s">
        <v>60</v>
      </c>
      <c r="H30" s="69">
        <v>87360000</v>
      </c>
      <c r="I30" s="69" t="s">
        <v>547</v>
      </c>
      <c r="J30" s="69" t="s">
        <v>1104</v>
      </c>
      <c r="K30" s="69" t="s">
        <v>144</v>
      </c>
      <c r="L30" s="94" t="str">
        <f t="shared" si="0"/>
        <v>2014</v>
      </c>
      <c r="M30" s="70">
        <v>43358</v>
      </c>
      <c r="N30" s="69" t="s">
        <v>408</v>
      </c>
      <c r="O30" s="69" t="s">
        <v>1105</v>
      </c>
      <c r="P30" s="70">
        <v>43361</v>
      </c>
      <c r="Q30" s="69" t="s">
        <v>409</v>
      </c>
      <c r="R30" s="69" t="s">
        <v>443</v>
      </c>
      <c r="S30" s="69" t="s">
        <v>290</v>
      </c>
      <c r="T30" s="69" t="s">
        <v>411</v>
      </c>
      <c r="U30" s="69" t="s">
        <v>1106</v>
      </c>
      <c r="V30" s="69" t="s">
        <v>412</v>
      </c>
      <c r="W30" s="69">
        <v>78198975000163</v>
      </c>
      <c r="X30" s="69">
        <v>280873</v>
      </c>
      <c r="Y30" s="69" t="s">
        <v>550</v>
      </c>
      <c r="Z30" s="69" t="s">
        <v>1100</v>
      </c>
      <c r="AA30" s="69" t="s">
        <v>552</v>
      </c>
      <c r="AB30" s="69" t="s">
        <v>553</v>
      </c>
      <c r="AC30" s="69" t="s">
        <v>1101</v>
      </c>
      <c r="AD30" s="69" t="s">
        <v>1101</v>
      </c>
      <c r="AE30" s="69">
        <v>87360000</v>
      </c>
      <c r="AF30" s="69" t="s">
        <v>555</v>
      </c>
      <c r="AG30" s="69"/>
      <c r="AH30" s="69">
        <v>280</v>
      </c>
      <c r="AI30" s="69" t="s">
        <v>556</v>
      </c>
      <c r="AJ30" s="69"/>
      <c r="AK30" s="69" t="s">
        <v>138</v>
      </c>
      <c r="AL30" s="69" t="s">
        <v>427</v>
      </c>
      <c r="AM30" s="69">
        <v>22015</v>
      </c>
      <c r="AN30" s="71">
        <v>42326</v>
      </c>
      <c r="AO30" s="69" t="s">
        <v>564</v>
      </c>
      <c r="AP30" s="71">
        <v>42327</v>
      </c>
      <c r="AQ30" s="69">
        <v>1025</v>
      </c>
      <c r="AR30" s="71">
        <v>43352</v>
      </c>
      <c r="AS30" s="69" t="s">
        <v>1107</v>
      </c>
      <c r="AT30" s="69">
        <v>3533595.15</v>
      </c>
      <c r="AU30" s="71">
        <v>43279</v>
      </c>
      <c r="AV30" s="69" t="s">
        <v>457</v>
      </c>
      <c r="AW30" s="69"/>
      <c r="AX30" s="151">
        <v>3109485.46</v>
      </c>
      <c r="AY30" s="72">
        <v>8.7997785006013504E+17</v>
      </c>
      <c r="AZ30" s="69">
        <v>1</v>
      </c>
      <c r="BA30" s="69">
        <v>847</v>
      </c>
      <c r="BB30" s="69">
        <v>361372</v>
      </c>
      <c r="BC30" s="71">
        <v>43251</v>
      </c>
      <c r="BD30" s="69" t="s">
        <v>988</v>
      </c>
      <c r="BE30" s="69" t="s">
        <v>1108</v>
      </c>
      <c r="BF30" s="69" t="s">
        <v>988</v>
      </c>
      <c r="BG30" s="69" t="s">
        <v>988</v>
      </c>
      <c r="BH30" s="73">
        <v>262500.46000000002</v>
      </c>
    </row>
    <row r="31" spans="1:60">
      <c r="A31" s="68">
        <v>13408</v>
      </c>
      <c r="B31" s="69" t="s">
        <v>147</v>
      </c>
      <c r="C31" s="69" t="s">
        <v>82</v>
      </c>
      <c r="D31" s="79" t="s">
        <v>64</v>
      </c>
      <c r="E31" s="69" t="s">
        <v>145</v>
      </c>
      <c r="F31" s="69" t="s">
        <v>146</v>
      </c>
      <c r="G31" s="69" t="s">
        <v>60</v>
      </c>
      <c r="H31" s="69">
        <v>94340000</v>
      </c>
      <c r="I31" s="69"/>
      <c r="J31" s="69"/>
      <c r="K31" s="69" t="s">
        <v>148</v>
      </c>
      <c r="L31" s="94" t="str">
        <f t="shared" si="0"/>
        <v>2010</v>
      </c>
      <c r="M31" s="69"/>
      <c r="N31" s="69" t="s">
        <v>408</v>
      </c>
      <c r="O31" s="69" t="s">
        <v>988</v>
      </c>
      <c r="P31" s="69"/>
      <c r="Q31" s="69" t="s">
        <v>409</v>
      </c>
      <c r="R31" s="69" t="s">
        <v>546</v>
      </c>
      <c r="S31" s="69" t="s">
        <v>290</v>
      </c>
      <c r="T31" s="69" t="s">
        <v>411</v>
      </c>
      <c r="U31" s="69" t="s">
        <v>1109</v>
      </c>
      <c r="V31" s="69" t="s">
        <v>412</v>
      </c>
      <c r="W31" s="69">
        <v>87890992000158</v>
      </c>
      <c r="X31" s="69"/>
      <c r="Y31" s="69" t="s">
        <v>567</v>
      </c>
      <c r="Z31" s="69" t="s">
        <v>1110</v>
      </c>
      <c r="AA31" s="69" t="s">
        <v>1111</v>
      </c>
      <c r="AB31" s="69" t="s">
        <v>553</v>
      </c>
      <c r="AC31" s="69" t="s">
        <v>1112</v>
      </c>
      <c r="AD31" s="69" t="s">
        <v>1113</v>
      </c>
      <c r="AE31" s="69">
        <v>94000000</v>
      </c>
      <c r="AF31" s="69" t="s">
        <v>572</v>
      </c>
      <c r="AG31" s="69"/>
      <c r="AH31" s="69">
        <v>1350</v>
      </c>
      <c r="AI31" s="69" t="s">
        <v>573</v>
      </c>
      <c r="AJ31" s="69"/>
      <c r="AK31" s="69" t="s">
        <v>145</v>
      </c>
      <c r="AL31" s="69"/>
      <c r="AM31" s="69"/>
      <c r="AN31" s="69"/>
      <c r="AO31" s="69"/>
      <c r="AP31" s="69"/>
      <c r="AQ31" s="69"/>
      <c r="AR31" s="69"/>
      <c r="AS31" s="69" t="s">
        <v>988</v>
      </c>
      <c r="AT31" s="69">
        <v>914410.54</v>
      </c>
      <c r="AU31" s="69"/>
      <c r="AV31" s="69"/>
      <c r="AW31" s="69"/>
      <c r="AX31" s="151"/>
      <c r="AY31" s="69"/>
      <c r="AZ31" s="69">
        <v>1</v>
      </c>
      <c r="BA31" s="69">
        <v>883</v>
      </c>
      <c r="BB31" s="69">
        <v>458864</v>
      </c>
      <c r="BC31" s="71">
        <v>43251</v>
      </c>
      <c r="BD31" s="69" t="s">
        <v>988</v>
      </c>
      <c r="BE31" s="69" t="s">
        <v>1114</v>
      </c>
      <c r="BF31" s="69" t="s">
        <v>988</v>
      </c>
      <c r="BG31" s="69" t="s">
        <v>988</v>
      </c>
      <c r="BH31" s="73">
        <v>1066276.3799999999</v>
      </c>
    </row>
    <row r="32" spans="1:60">
      <c r="A32" s="68">
        <v>19651</v>
      </c>
      <c r="B32" s="69" t="s">
        <v>149</v>
      </c>
      <c r="C32" s="69" t="s">
        <v>58</v>
      </c>
      <c r="D32" s="79" t="s">
        <v>1443</v>
      </c>
      <c r="E32" s="69" t="s">
        <v>145</v>
      </c>
      <c r="F32" s="69" t="s">
        <v>146</v>
      </c>
      <c r="G32" s="69" t="s">
        <v>60</v>
      </c>
      <c r="H32" s="69">
        <v>94120280</v>
      </c>
      <c r="I32" s="69" t="s">
        <v>574</v>
      </c>
      <c r="J32" s="69" t="s">
        <v>575</v>
      </c>
      <c r="K32" s="69" t="s">
        <v>151</v>
      </c>
      <c r="L32" s="94" t="str">
        <f t="shared" si="0"/>
        <v>2013</v>
      </c>
      <c r="M32" s="70">
        <v>43400</v>
      </c>
      <c r="N32" s="69" t="s">
        <v>408</v>
      </c>
      <c r="O32" s="69" t="s">
        <v>1115</v>
      </c>
      <c r="P32" s="70">
        <v>43375</v>
      </c>
      <c r="Q32" s="69" t="s">
        <v>409</v>
      </c>
      <c r="R32" s="69" t="s">
        <v>546</v>
      </c>
      <c r="S32" s="69" t="s">
        <v>290</v>
      </c>
      <c r="T32" s="69" t="s">
        <v>411</v>
      </c>
      <c r="U32" s="69" t="s">
        <v>1116</v>
      </c>
      <c r="V32" s="69" t="s">
        <v>412</v>
      </c>
      <c r="W32" s="69">
        <v>87890992000158</v>
      </c>
      <c r="X32" s="69"/>
      <c r="Y32" s="69" t="s">
        <v>567</v>
      </c>
      <c r="Z32" s="69" t="s">
        <v>1110</v>
      </c>
      <c r="AA32" s="69" t="s">
        <v>1111</v>
      </c>
      <c r="AB32" s="69" t="s">
        <v>553</v>
      </c>
      <c r="AC32" s="69" t="s">
        <v>1112</v>
      </c>
      <c r="AD32" s="69" t="s">
        <v>1113</v>
      </c>
      <c r="AE32" s="69">
        <v>94000000</v>
      </c>
      <c r="AF32" s="69" t="s">
        <v>572</v>
      </c>
      <c r="AG32" s="69"/>
      <c r="AH32" s="69">
        <v>1350</v>
      </c>
      <c r="AI32" s="69" t="s">
        <v>573</v>
      </c>
      <c r="AJ32" s="69"/>
      <c r="AK32" s="69" t="s">
        <v>145</v>
      </c>
      <c r="AL32" s="69" t="s">
        <v>1117</v>
      </c>
      <c r="AM32" s="69"/>
      <c r="AN32" s="71">
        <v>42790</v>
      </c>
      <c r="AO32" s="69" t="s">
        <v>153</v>
      </c>
      <c r="AP32" s="71">
        <v>42790</v>
      </c>
      <c r="AQ32" s="69">
        <v>585</v>
      </c>
      <c r="AR32" s="71">
        <v>43375</v>
      </c>
      <c r="AS32" s="69" t="s">
        <v>1118</v>
      </c>
      <c r="AT32" s="69">
        <v>1492930.41</v>
      </c>
      <c r="AU32" s="71">
        <v>43255</v>
      </c>
      <c r="AV32" s="69" t="s">
        <v>457</v>
      </c>
      <c r="AW32" s="69"/>
      <c r="AX32" s="151">
        <v>1346381.53</v>
      </c>
      <c r="AY32" s="72">
        <v>9.0183810375997299E+17</v>
      </c>
      <c r="AZ32" s="69">
        <v>1</v>
      </c>
      <c r="BA32" s="69">
        <v>883</v>
      </c>
      <c r="BB32" s="122">
        <v>488178</v>
      </c>
      <c r="BC32" s="71">
        <v>43251</v>
      </c>
      <c r="BD32" s="69" t="s">
        <v>988</v>
      </c>
      <c r="BE32" s="69" t="s">
        <v>1119</v>
      </c>
      <c r="BF32" s="69" t="s">
        <v>988</v>
      </c>
      <c r="BG32" s="69" t="s">
        <v>988</v>
      </c>
      <c r="BH32" s="73">
        <v>548791.78</v>
      </c>
    </row>
    <row r="33" spans="1:60">
      <c r="A33" s="68">
        <v>19874</v>
      </c>
      <c r="B33" s="69" t="s">
        <v>154</v>
      </c>
      <c r="C33" s="69" t="s">
        <v>67</v>
      </c>
      <c r="D33" s="80" t="s">
        <v>67</v>
      </c>
      <c r="E33" s="69" t="s">
        <v>145</v>
      </c>
      <c r="F33" s="69" t="s">
        <v>146</v>
      </c>
      <c r="G33" s="69" t="s">
        <v>60</v>
      </c>
      <c r="H33" s="69">
        <v>94010000</v>
      </c>
      <c r="I33" s="69" t="s">
        <v>581</v>
      </c>
      <c r="J33" s="69" t="s">
        <v>582</v>
      </c>
      <c r="K33" s="69" t="s">
        <v>155</v>
      </c>
      <c r="L33" s="94" t="str">
        <f t="shared" si="0"/>
        <v>2013</v>
      </c>
      <c r="M33" s="70">
        <v>43465</v>
      </c>
      <c r="N33" s="69" t="s">
        <v>408</v>
      </c>
      <c r="O33" s="75" t="s">
        <v>1120</v>
      </c>
      <c r="P33" s="70">
        <v>42460</v>
      </c>
      <c r="Q33" s="69" t="s">
        <v>409</v>
      </c>
      <c r="R33" s="69" t="s">
        <v>583</v>
      </c>
      <c r="S33" s="69" t="s">
        <v>290</v>
      </c>
      <c r="T33" s="69" t="s">
        <v>411</v>
      </c>
      <c r="U33" s="69" t="s">
        <v>1121</v>
      </c>
      <c r="V33" s="69" t="s">
        <v>412</v>
      </c>
      <c r="W33" s="69">
        <v>87890992000158</v>
      </c>
      <c r="X33" s="69"/>
      <c r="Y33" s="69" t="s">
        <v>567</v>
      </c>
      <c r="Z33" s="69" t="s">
        <v>1110</v>
      </c>
      <c r="AA33" s="69" t="s">
        <v>1111</v>
      </c>
      <c r="AB33" s="69" t="s">
        <v>553</v>
      </c>
      <c r="AC33" s="69" t="s">
        <v>1112</v>
      </c>
      <c r="AD33" s="69" t="s">
        <v>1113</v>
      </c>
      <c r="AE33" s="69">
        <v>94000000</v>
      </c>
      <c r="AF33" s="69" t="s">
        <v>572</v>
      </c>
      <c r="AG33" s="69"/>
      <c r="AH33" s="69">
        <v>1350</v>
      </c>
      <c r="AI33" s="69" t="s">
        <v>573</v>
      </c>
      <c r="AJ33" s="69"/>
      <c r="AK33" s="69" t="s">
        <v>145</v>
      </c>
      <c r="AL33" s="69"/>
      <c r="AM33" s="69"/>
      <c r="AN33" s="69"/>
      <c r="AO33" s="69"/>
      <c r="AP33" s="71">
        <v>41536</v>
      </c>
      <c r="AQ33" s="69">
        <v>924</v>
      </c>
      <c r="AR33" s="71">
        <v>42460</v>
      </c>
      <c r="AS33" s="69" t="s">
        <v>1121</v>
      </c>
      <c r="AT33" s="69">
        <v>786913.29</v>
      </c>
      <c r="AU33" s="71">
        <v>43259</v>
      </c>
      <c r="AV33" s="69" t="s">
        <v>429</v>
      </c>
      <c r="AW33" s="69" t="s">
        <v>580</v>
      </c>
      <c r="AX33" s="151">
        <v>389635.12</v>
      </c>
      <c r="AY33" s="72">
        <v>4.9514365172304998E+17</v>
      </c>
      <c r="AZ33" s="69">
        <v>1</v>
      </c>
      <c r="BA33" s="69">
        <v>883</v>
      </c>
      <c r="BB33" s="122">
        <v>467375</v>
      </c>
      <c r="BC33" s="71">
        <v>43251</v>
      </c>
      <c r="BD33" s="69" t="s">
        <v>988</v>
      </c>
      <c r="BE33" s="69" t="s">
        <v>1122</v>
      </c>
      <c r="BF33" s="69" t="s">
        <v>988</v>
      </c>
      <c r="BG33" s="69" t="s">
        <v>988</v>
      </c>
      <c r="BH33" s="73">
        <v>235218.85</v>
      </c>
    </row>
    <row r="34" spans="1:60">
      <c r="A34" s="68">
        <v>24614</v>
      </c>
      <c r="B34" s="69" t="s">
        <v>156</v>
      </c>
      <c r="C34" s="69" t="s">
        <v>58</v>
      </c>
      <c r="D34" s="79" t="s">
        <v>1443</v>
      </c>
      <c r="E34" s="69" t="s">
        <v>145</v>
      </c>
      <c r="F34" s="69" t="s">
        <v>146</v>
      </c>
      <c r="G34" s="69" t="s">
        <v>60</v>
      </c>
      <c r="H34" s="69">
        <v>94010000</v>
      </c>
      <c r="I34" s="69" t="s">
        <v>585</v>
      </c>
      <c r="J34" s="69" t="s">
        <v>586</v>
      </c>
      <c r="K34" s="69" t="s">
        <v>157</v>
      </c>
      <c r="L34" s="94" t="str">
        <f t="shared" si="0"/>
        <v>2013</v>
      </c>
      <c r="M34" s="70">
        <v>43520</v>
      </c>
      <c r="N34" s="69" t="s">
        <v>408</v>
      </c>
      <c r="O34" s="69" t="s">
        <v>1123</v>
      </c>
      <c r="P34" s="70">
        <v>43375</v>
      </c>
      <c r="Q34" s="69" t="s">
        <v>409</v>
      </c>
      <c r="R34" s="69" t="s">
        <v>546</v>
      </c>
      <c r="S34" s="69" t="s">
        <v>290</v>
      </c>
      <c r="T34" s="69" t="s">
        <v>411</v>
      </c>
      <c r="U34" s="69" t="s">
        <v>1124</v>
      </c>
      <c r="V34" s="69" t="s">
        <v>412</v>
      </c>
      <c r="W34" s="69">
        <v>87890992000158</v>
      </c>
      <c r="X34" s="69"/>
      <c r="Y34" s="69" t="s">
        <v>567</v>
      </c>
      <c r="Z34" s="69" t="s">
        <v>1110</v>
      </c>
      <c r="AA34" s="69" t="s">
        <v>1111</v>
      </c>
      <c r="AB34" s="69" t="s">
        <v>553</v>
      </c>
      <c r="AC34" s="69" t="s">
        <v>1112</v>
      </c>
      <c r="AD34" s="69" t="s">
        <v>1113</v>
      </c>
      <c r="AE34" s="69">
        <v>94000000</v>
      </c>
      <c r="AF34" s="69" t="s">
        <v>572</v>
      </c>
      <c r="AG34" s="69"/>
      <c r="AH34" s="69">
        <v>1350</v>
      </c>
      <c r="AI34" s="69" t="s">
        <v>573</v>
      </c>
      <c r="AJ34" s="69"/>
      <c r="AK34" s="69" t="s">
        <v>145</v>
      </c>
      <c r="AL34" s="69" t="s">
        <v>1117</v>
      </c>
      <c r="AM34" s="69"/>
      <c r="AN34" s="71">
        <v>42790</v>
      </c>
      <c r="AO34" s="69" t="s">
        <v>153</v>
      </c>
      <c r="AP34" s="71">
        <v>42790</v>
      </c>
      <c r="AQ34" s="69">
        <v>585</v>
      </c>
      <c r="AR34" s="71">
        <v>43375</v>
      </c>
      <c r="AS34" s="69" t="s">
        <v>1125</v>
      </c>
      <c r="AT34" s="69">
        <v>1506646.31</v>
      </c>
      <c r="AU34" s="71">
        <v>43236</v>
      </c>
      <c r="AV34" s="69" t="s">
        <v>457</v>
      </c>
      <c r="AW34" s="69"/>
      <c r="AX34" s="151">
        <v>481997.87</v>
      </c>
      <c r="AY34" s="72">
        <v>3.1991441309141702E+17</v>
      </c>
      <c r="AZ34" s="69">
        <v>1</v>
      </c>
      <c r="BA34" s="69">
        <v>883</v>
      </c>
      <c r="BB34" s="122">
        <v>512699</v>
      </c>
      <c r="BC34" s="71">
        <v>43251</v>
      </c>
      <c r="BD34" s="69" t="s">
        <v>988</v>
      </c>
      <c r="BE34" s="69" t="s">
        <v>1126</v>
      </c>
      <c r="BF34" s="69" t="s">
        <v>988</v>
      </c>
      <c r="BG34" s="69" t="s">
        <v>988</v>
      </c>
      <c r="BH34" s="73">
        <v>943014.31</v>
      </c>
    </row>
    <row r="35" spans="1:60">
      <c r="A35" s="68">
        <v>24615</v>
      </c>
      <c r="B35" s="69" t="s">
        <v>158</v>
      </c>
      <c r="C35" s="69" t="s">
        <v>67</v>
      </c>
      <c r="D35" s="80" t="s">
        <v>67</v>
      </c>
      <c r="E35" s="69" t="s">
        <v>145</v>
      </c>
      <c r="F35" s="69" t="s">
        <v>146</v>
      </c>
      <c r="G35" s="69" t="s">
        <v>60</v>
      </c>
      <c r="H35" s="69">
        <v>94010000</v>
      </c>
      <c r="I35" s="69" t="s">
        <v>588</v>
      </c>
      <c r="J35" s="69" t="s">
        <v>589</v>
      </c>
      <c r="K35" s="69" t="s">
        <v>157</v>
      </c>
      <c r="L35" s="94" t="str">
        <f t="shared" si="0"/>
        <v>2013</v>
      </c>
      <c r="M35" s="70">
        <v>43520</v>
      </c>
      <c r="N35" s="69" t="s">
        <v>408</v>
      </c>
      <c r="O35" s="69" t="s">
        <v>1127</v>
      </c>
      <c r="P35" s="70">
        <v>42460</v>
      </c>
      <c r="Q35" s="69" t="s">
        <v>409</v>
      </c>
      <c r="R35" s="69" t="s">
        <v>583</v>
      </c>
      <c r="S35" s="69" t="s">
        <v>290</v>
      </c>
      <c r="T35" s="69" t="s">
        <v>411</v>
      </c>
      <c r="U35" s="69" t="s">
        <v>1128</v>
      </c>
      <c r="V35" s="69" t="s">
        <v>412</v>
      </c>
      <c r="W35" s="69">
        <v>87890992000158</v>
      </c>
      <c r="X35" s="69"/>
      <c r="Y35" s="69" t="s">
        <v>567</v>
      </c>
      <c r="Z35" s="69" t="s">
        <v>1110</v>
      </c>
      <c r="AA35" s="69" t="s">
        <v>1111</v>
      </c>
      <c r="AB35" s="69" t="s">
        <v>553</v>
      </c>
      <c r="AC35" s="69" t="s">
        <v>1112</v>
      </c>
      <c r="AD35" s="69" t="s">
        <v>1113</v>
      </c>
      <c r="AE35" s="69">
        <v>94000000</v>
      </c>
      <c r="AF35" s="69" t="s">
        <v>572</v>
      </c>
      <c r="AG35" s="69"/>
      <c r="AH35" s="69">
        <v>1350</v>
      </c>
      <c r="AI35" s="69" t="s">
        <v>573</v>
      </c>
      <c r="AJ35" s="69"/>
      <c r="AK35" s="69" t="s">
        <v>145</v>
      </c>
      <c r="AL35" s="69" t="s">
        <v>1117</v>
      </c>
      <c r="AM35" s="69"/>
      <c r="AN35" s="71">
        <v>43250</v>
      </c>
      <c r="AO35" s="69"/>
      <c r="AP35" s="71">
        <v>41579</v>
      </c>
      <c r="AQ35" s="69">
        <v>881</v>
      </c>
      <c r="AR35" s="71">
        <v>42460</v>
      </c>
      <c r="AS35" s="69" t="s">
        <v>1128</v>
      </c>
      <c r="AT35" s="69">
        <v>788965.49</v>
      </c>
      <c r="AU35" s="71">
        <v>43279</v>
      </c>
      <c r="AV35" s="69" t="s">
        <v>429</v>
      </c>
      <c r="AW35" s="69" t="s">
        <v>430</v>
      </c>
      <c r="AX35" s="151">
        <v>135918.87</v>
      </c>
      <c r="AY35" s="72">
        <v>1.7227479746927802E+17</v>
      </c>
      <c r="AZ35" s="69">
        <v>1</v>
      </c>
      <c r="BA35" s="69">
        <v>883</v>
      </c>
      <c r="BB35" s="122">
        <v>512699</v>
      </c>
      <c r="BC35" s="71">
        <v>43251</v>
      </c>
      <c r="BD35" s="69" t="s">
        <v>988</v>
      </c>
      <c r="BE35" s="69" t="s">
        <v>1126</v>
      </c>
      <c r="BF35" s="69" t="s">
        <v>988</v>
      </c>
      <c r="BG35" s="69" t="s">
        <v>988</v>
      </c>
      <c r="BH35" s="73">
        <v>943014.31</v>
      </c>
    </row>
    <row r="36" spans="1:60">
      <c r="A36" s="68">
        <v>24616</v>
      </c>
      <c r="B36" s="69" t="s">
        <v>159</v>
      </c>
      <c r="C36" s="69" t="s">
        <v>67</v>
      </c>
      <c r="D36" s="80" t="s">
        <v>67</v>
      </c>
      <c r="E36" s="69" t="s">
        <v>145</v>
      </c>
      <c r="F36" s="69" t="s">
        <v>146</v>
      </c>
      <c r="G36" s="69" t="s">
        <v>60</v>
      </c>
      <c r="H36" s="69">
        <v>94010000</v>
      </c>
      <c r="I36" s="69" t="s">
        <v>590</v>
      </c>
      <c r="J36" s="69" t="s">
        <v>1129</v>
      </c>
      <c r="K36" s="69" t="s">
        <v>157</v>
      </c>
      <c r="L36" s="94" t="str">
        <f t="shared" si="0"/>
        <v>2013</v>
      </c>
      <c r="M36" s="70">
        <v>43520</v>
      </c>
      <c r="N36" s="69" t="s">
        <v>408</v>
      </c>
      <c r="O36" s="74" t="s">
        <v>1130</v>
      </c>
      <c r="P36" s="70">
        <v>42735</v>
      </c>
      <c r="Q36" s="69" t="s">
        <v>409</v>
      </c>
      <c r="R36" s="69" t="s">
        <v>546</v>
      </c>
      <c r="S36" s="69" t="s">
        <v>290</v>
      </c>
      <c r="T36" s="69" t="s">
        <v>411</v>
      </c>
      <c r="U36" s="69" t="s">
        <v>1131</v>
      </c>
      <c r="V36" s="69" t="s">
        <v>412</v>
      </c>
      <c r="W36" s="69">
        <v>87890992000158</v>
      </c>
      <c r="X36" s="69"/>
      <c r="Y36" s="69" t="s">
        <v>567</v>
      </c>
      <c r="Z36" s="69" t="s">
        <v>1110</v>
      </c>
      <c r="AA36" s="69" t="s">
        <v>1111</v>
      </c>
      <c r="AB36" s="69" t="s">
        <v>553</v>
      </c>
      <c r="AC36" s="69" t="s">
        <v>1112</v>
      </c>
      <c r="AD36" s="69" t="s">
        <v>1113</v>
      </c>
      <c r="AE36" s="69">
        <v>94000000</v>
      </c>
      <c r="AF36" s="69" t="s">
        <v>572</v>
      </c>
      <c r="AG36" s="69"/>
      <c r="AH36" s="69">
        <v>1350</v>
      </c>
      <c r="AI36" s="69" t="s">
        <v>573</v>
      </c>
      <c r="AJ36" s="69"/>
      <c r="AK36" s="69" t="s">
        <v>145</v>
      </c>
      <c r="AL36" s="69"/>
      <c r="AM36" s="69"/>
      <c r="AN36" s="69"/>
      <c r="AO36" s="69"/>
      <c r="AP36" s="71">
        <v>41579</v>
      </c>
      <c r="AQ36" s="69">
        <v>881</v>
      </c>
      <c r="AR36" s="71">
        <v>42460</v>
      </c>
      <c r="AS36" s="69" t="s">
        <v>1131</v>
      </c>
      <c r="AT36" s="69">
        <v>1492750.71</v>
      </c>
      <c r="AU36" s="71">
        <v>43259</v>
      </c>
      <c r="AV36" s="69" t="s">
        <v>429</v>
      </c>
      <c r="AW36" s="69" t="s">
        <v>580</v>
      </c>
      <c r="AX36" s="151">
        <v>581997.87</v>
      </c>
      <c r="AY36" s="72">
        <v>3.8988282912958701E+17</v>
      </c>
      <c r="AZ36" s="69">
        <v>1</v>
      </c>
      <c r="BA36" s="69">
        <v>883</v>
      </c>
      <c r="BB36" s="122">
        <v>512699</v>
      </c>
      <c r="BC36" s="71">
        <v>43251</v>
      </c>
      <c r="BD36" s="69" t="s">
        <v>988</v>
      </c>
      <c r="BE36" s="69" t="s">
        <v>1126</v>
      </c>
      <c r="BF36" s="69" t="s">
        <v>988</v>
      </c>
      <c r="BG36" s="69" t="s">
        <v>988</v>
      </c>
      <c r="BH36" s="73">
        <v>943014.31</v>
      </c>
    </row>
    <row r="37" spans="1:60">
      <c r="A37" s="68">
        <v>24617</v>
      </c>
      <c r="B37" s="69" t="s">
        <v>160</v>
      </c>
      <c r="C37" s="69" t="s">
        <v>137</v>
      </c>
      <c r="D37" s="79" t="s">
        <v>64</v>
      </c>
      <c r="E37" s="69" t="s">
        <v>145</v>
      </c>
      <c r="F37" s="69" t="s">
        <v>146</v>
      </c>
      <c r="G37" s="69" t="s">
        <v>60</v>
      </c>
      <c r="H37" s="69">
        <v>94090090</v>
      </c>
      <c r="I37" s="69" t="s">
        <v>592</v>
      </c>
      <c r="J37" s="69" t="s">
        <v>1132</v>
      </c>
      <c r="K37" s="69" t="s">
        <v>157</v>
      </c>
      <c r="L37" s="94" t="str">
        <f t="shared" si="0"/>
        <v>2013</v>
      </c>
      <c r="M37" s="70">
        <v>43520</v>
      </c>
      <c r="N37" s="69" t="s">
        <v>408</v>
      </c>
      <c r="O37" s="69" t="s">
        <v>988</v>
      </c>
      <c r="P37" s="69"/>
      <c r="Q37" s="69" t="s">
        <v>409</v>
      </c>
      <c r="R37" s="69" t="s">
        <v>546</v>
      </c>
      <c r="S37" s="69" t="s">
        <v>290</v>
      </c>
      <c r="T37" s="69" t="s">
        <v>411</v>
      </c>
      <c r="U37" s="69" t="s">
        <v>1133</v>
      </c>
      <c r="V37" s="69" t="s">
        <v>412</v>
      </c>
      <c r="W37" s="69">
        <v>87890992000158</v>
      </c>
      <c r="X37" s="69"/>
      <c r="Y37" s="69" t="s">
        <v>567</v>
      </c>
      <c r="Z37" s="69" t="s">
        <v>1110</v>
      </c>
      <c r="AA37" s="69" t="s">
        <v>1111</v>
      </c>
      <c r="AB37" s="69" t="s">
        <v>553</v>
      </c>
      <c r="AC37" s="69" t="s">
        <v>1112</v>
      </c>
      <c r="AD37" s="69" t="s">
        <v>1113</v>
      </c>
      <c r="AE37" s="69">
        <v>94000000</v>
      </c>
      <c r="AF37" s="69" t="s">
        <v>572</v>
      </c>
      <c r="AG37" s="69"/>
      <c r="AH37" s="69">
        <v>1350</v>
      </c>
      <c r="AI37" s="69" t="s">
        <v>573</v>
      </c>
      <c r="AJ37" s="69"/>
      <c r="AK37" s="69" t="s">
        <v>145</v>
      </c>
      <c r="AL37" s="69"/>
      <c r="AM37" s="69"/>
      <c r="AN37" s="69"/>
      <c r="AO37" s="69"/>
      <c r="AP37" s="71">
        <v>41579</v>
      </c>
      <c r="AQ37" s="69"/>
      <c r="AR37" s="69"/>
      <c r="AS37" s="69" t="s">
        <v>988</v>
      </c>
      <c r="AT37" s="69">
        <v>1490024.98</v>
      </c>
      <c r="AU37" s="69"/>
      <c r="AV37" s="69"/>
      <c r="AW37" s="69"/>
      <c r="AX37" s="151">
        <v>290998.93</v>
      </c>
      <c r="AY37" s="72">
        <v>1.95298021111028E+17</v>
      </c>
      <c r="AZ37" s="69">
        <v>1</v>
      </c>
      <c r="BA37" s="69">
        <v>883</v>
      </c>
      <c r="BB37" s="122">
        <v>512699</v>
      </c>
      <c r="BC37" s="71">
        <v>43251</v>
      </c>
      <c r="BD37" s="69" t="s">
        <v>988</v>
      </c>
      <c r="BE37" s="69" t="s">
        <v>1126</v>
      </c>
      <c r="BF37" s="69" t="s">
        <v>988</v>
      </c>
      <c r="BG37" s="69" t="s">
        <v>988</v>
      </c>
      <c r="BH37" s="73">
        <v>943014.31</v>
      </c>
    </row>
    <row r="38" spans="1:60">
      <c r="A38" s="68">
        <v>24618</v>
      </c>
      <c r="B38" s="69" t="s">
        <v>161</v>
      </c>
      <c r="C38" s="69" t="s">
        <v>58</v>
      </c>
      <c r="D38" s="79" t="s">
        <v>1443</v>
      </c>
      <c r="E38" s="69" t="s">
        <v>145</v>
      </c>
      <c r="F38" s="69" t="s">
        <v>146</v>
      </c>
      <c r="G38" s="69" t="s">
        <v>60</v>
      </c>
      <c r="H38" s="69">
        <v>94110357</v>
      </c>
      <c r="I38" s="69" t="s">
        <v>594</v>
      </c>
      <c r="J38" s="69" t="s">
        <v>1134</v>
      </c>
      <c r="K38" s="69" t="s">
        <v>157</v>
      </c>
      <c r="L38" s="94" t="str">
        <f t="shared" si="0"/>
        <v>2013</v>
      </c>
      <c r="M38" s="70">
        <v>43520</v>
      </c>
      <c r="N38" s="69" t="s">
        <v>408</v>
      </c>
      <c r="O38" s="69" t="s">
        <v>1135</v>
      </c>
      <c r="P38" s="70">
        <v>43375</v>
      </c>
      <c r="Q38" s="69" t="s">
        <v>409</v>
      </c>
      <c r="R38" s="69" t="s">
        <v>546</v>
      </c>
      <c r="S38" s="69" t="s">
        <v>290</v>
      </c>
      <c r="T38" s="69" t="s">
        <v>411</v>
      </c>
      <c r="U38" s="69" t="s">
        <v>1136</v>
      </c>
      <c r="V38" s="69" t="s">
        <v>412</v>
      </c>
      <c r="W38" s="69">
        <v>87890992000158</v>
      </c>
      <c r="X38" s="69"/>
      <c r="Y38" s="69" t="s">
        <v>567</v>
      </c>
      <c r="Z38" s="69" t="s">
        <v>1110</v>
      </c>
      <c r="AA38" s="69" t="s">
        <v>1111</v>
      </c>
      <c r="AB38" s="69" t="s">
        <v>553</v>
      </c>
      <c r="AC38" s="69" t="s">
        <v>1112</v>
      </c>
      <c r="AD38" s="69" t="s">
        <v>1113</v>
      </c>
      <c r="AE38" s="69">
        <v>94000000</v>
      </c>
      <c r="AF38" s="69" t="s">
        <v>572</v>
      </c>
      <c r="AG38" s="69"/>
      <c r="AH38" s="69">
        <v>1350</v>
      </c>
      <c r="AI38" s="69" t="s">
        <v>573</v>
      </c>
      <c r="AJ38" s="69"/>
      <c r="AK38" s="69" t="s">
        <v>145</v>
      </c>
      <c r="AL38" s="69" t="s">
        <v>1117</v>
      </c>
      <c r="AM38" s="69"/>
      <c r="AN38" s="71">
        <v>42790</v>
      </c>
      <c r="AO38" s="69" t="s">
        <v>153</v>
      </c>
      <c r="AP38" s="71">
        <v>42790</v>
      </c>
      <c r="AQ38" s="69">
        <v>585</v>
      </c>
      <c r="AR38" s="71">
        <v>43375</v>
      </c>
      <c r="AS38" s="69" t="s">
        <v>1137</v>
      </c>
      <c r="AT38" s="69">
        <v>1494292.81</v>
      </c>
      <c r="AU38" s="71">
        <v>43255</v>
      </c>
      <c r="AV38" s="69" t="s">
        <v>457</v>
      </c>
      <c r="AW38" s="69"/>
      <c r="AX38" s="151">
        <v>1359030.13</v>
      </c>
      <c r="AY38" s="72">
        <v>9.0948047190295898E+17</v>
      </c>
      <c r="AZ38" s="69">
        <v>1</v>
      </c>
      <c r="BA38" s="69">
        <v>883</v>
      </c>
      <c r="BB38" s="122">
        <v>512699</v>
      </c>
      <c r="BC38" s="71">
        <v>43251</v>
      </c>
      <c r="BD38" s="69" t="s">
        <v>988</v>
      </c>
      <c r="BE38" s="69" t="s">
        <v>1126</v>
      </c>
      <c r="BF38" s="69" t="s">
        <v>988</v>
      </c>
      <c r="BG38" s="69" t="s">
        <v>988</v>
      </c>
      <c r="BH38" s="73">
        <v>943014.31</v>
      </c>
    </row>
    <row r="39" spans="1:60">
      <c r="A39" s="68">
        <v>1010678</v>
      </c>
      <c r="B39" s="69" t="s">
        <v>1138</v>
      </c>
      <c r="C39" s="69" t="s">
        <v>58</v>
      </c>
      <c r="D39" s="79" t="s">
        <v>1443</v>
      </c>
      <c r="E39" s="69" t="s">
        <v>145</v>
      </c>
      <c r="F39" s="69" t="s">
        <v>146</v>
      </c>
      <c r="G39" s="69" t="s">
        <v>60</v>
      </c>
      <c r="H39" s="69">
        <v>94030020</v>
      </c>
      <c r="I39" s="69" t="s">
        <v>596</v>
      </c>
      <c r="J39" s="69" t="s">
        <v>1139</v>
      </c>
      <c r="K39" s="69" t="s">
        <v>164</v>
      </c>
      <c r="L39" s="94" t="str">
        <f t="shared" si="0"/>
        <v>2014</v>
      </c>
      <c r="M39" s="70">
        <v>43511</v>
      </c>
      <c r="N39" s="69" t="s">
        <v>408</v>
      </c>
      <c r="O39" s="69" t="s">
        <v>1140</v>
      </c>
      <c r="P39" s="70">
        <v>43407</v>
      </c>
      <c r="Q39" s="69" t="s">
        <v>409</v>
      </c>
      <c r="R39" s="69" t="s">
        <v>424</v>
      </c>
      <c r="S39" s="69" t="s">
        <v>290</v>
      </c>
      <c r="T39" s="69" t="s">
        <v>411</v>
      </c>
      <c r="U39" s="69" t="s">
        <v>1141</v>
      </c>
      <c r="V39" s="69" t="s">
        <v>412</v>
      </c>
      <c r="W39" s="69">
        <v>87890992000158</v>
      </c>
      <c r="X39" s="69"/>
      <c r="Y39" s="69" t="s">
        <v>567</v>
      </c>
      <c r="Z39" s="69" t="s">
        <v>1110</v>
      </c>
      <c r="AA39" s="69" t="s">
        <v>1111</v>
      </c>
      <c r="AB39" s="69" t="s">
        <v>553</v>
      </c>
      <c r="AC39" s="69" t="s">
        <v>1112</v>
      </c>
      <c r="AD39" s="69" t="s">
        <v>1113</v>
      </c>
      <c r="AE39" s="69">
        <v>94000000</v>
      </c>
      <c r="AF39" s="69" t="s">
        <v>572</v>
      </c>
      <c r="AG39" s="69"/>
      <c r="AH39" s="69">
        <v>1350</v>
      </c>
      <c r="AI39" s="69" t="s">
        <v>573</v>
      </c>
      <c r="AJ39" s="69"/>
      <c r="AK39" s="69" t="s">
        <v>145</v>
      </c>
      <c r="AL39" s="69" t="s">
        <v>427</v>
      </c>
      <c r="AM39" s="69">
        <v>15</v>
      </c>
      <c r="AN39" s="71">
        <v>42656</v>
      </c>
      <c r="AO39" s="69" t="s">
        <v>172</v>
      </c>
      <c r="AP39" s="71">
        <v>42660</v>
      </c>
      <c r="AQ39" s="69">
        <v>778</v>
      </c>
      <c r="AR39" s="71">
        <v>43438</v>
      </c>
      <c r="AS39" s="69" t="s">
        <v>1142</v>
      </c>
      <c r="AT39" s="69">
        <v>2447238.48</v>
      </c>
      <c r="AU39" s="71">
        <v>43262</v>
      </c>
      <c r="AV39" s="69" t="s">
        <v>457</v>
      </c>
      <c r="AW39" s="69"/>
      <c r="AX39" s="151">
        <v>701582.3</v>
      </c>
      <c r="AY39" s="72">
        <v>2.8668325820895299E+17</v>
      </c>
      <c r="AZ39" s="69">
        <v>1</v>
      </c>
      <c r="BA39" s="69">
        <v>883</v>
      </c>
      <c r="BB39" s="122">
        <v>579653</v>
      </c>
      <c r="BC39" s="71">
        <v>43251</v>
      </c>
      <c r="BD39" s="69" t="s">
        <v>1143</v>
      </c>
      <c r="BE39" s="69" t="s">
        <v>1144</v>
      </c>
      <c r="BF39" s="69" t="s">
        <v>988</v>
      </c>
      <c r="BG39" s="69" t="s">
        <v>988</v>
      </c>
      <c r="BH39" s="73">
        <v>956174.31</v>
      </c>
    </row>
    <row r="40" spans="1:60">
      <c r="A40" s="68">
        <v>1010679</v>
      </c>
      <c r="B40" s="69" t="s">
        <v>165</v>
      </c>
      <c r="C40" s="69" t="s">
        <v>67</v>
      </c>
      <c r="D40" s="80" t="s">
        <v>67</v>
      </c>
      <c r="E40" s="69" t="s">
        <v>145</v>
      </c>
      <c r="F40" s="69" t="s">
        <v>146</v>
      </c>
      <c r="G40" s="69" t="s">
        <v>60</v>
      </c>
      <c r="H40" s="69">
        <v>94155180</v>
      </c>
      <c r="I40" s="69" t="s">
        <v>600</v>
      </c>
      <c r="J40" s="69" t="s">
        <v>1145</v>
      </c>
      <c r="K40" s="69" t="s">
        <v>164</v>
      </c>
      <c r="L40" s="94" t="str">
        <f t="shared" si="0"/>
        <v>2014</v>
      </c>
      <c r="M40" s="70">
        <v>43511</v>
      </c>
      <c r="N40" s="69" t="s">
        <v>408</v>
      </c>
      <c r="O40" s="69" t="s">
        <v>1146</v>
      </c>
      <c r="P40" s="70">
        <v>43134</v>
      </c>
      <c r="Q40" s="69" t="s">
        <v>409</v>
      </c>
      <c r="R40" s="69" t="s">
        <v>424</v>
      </c>
      <c r="S40" s="69" t="s">
        <v>290</v>
      </c>
      <c r="T40" s="69" t="s">
        <v>411</v>
      </c>
      <c r="U40" s="69" t="s">
        <v>1147</v>
      </c>
      <c r="V40" s="69" t="s">
        <v>412</v>
      </c>
      <c r="W40" s="69">
        <v>87890992000158</v>
      </c>
      <c r="X40" s="69"/>
      <c r="Y40" s="69" t="s">
        <v>567</v>
      </c>
      <c r="Z40" s="69" t="s">
        <v>1110</v>
      </c>
      <c r="AA40" s="69" t="s">
        <v>1111</v>
      </c>
      <c r="AB40" s="69" t="s">
        <v>553</v>
      </c>
      <c r="AC40" s="69" t="s">
        <v>1112</v>
      </c>
      <c r="AD40" s="69" t="s">
        <v>1113</v>
      </c>
      <c r="AE40" s="69">
        <v>94000000</v>
      </c>
      <c r="AF40" s="69" t="s">
        <v>572</v>
      </c>
      <c r="AG40" s="69"/>
      <c r="AH40" s="69">
        <v>1350</v>
      </c>
      <c r="AI40" s="69" t="s">
        <v>573</v>
      </c>
      <c r="AJ40" s="69"/>
      <c r="AK40" s="69" t="s">
        <v>145</v>
      </c>
      <c r="AL40" s="69" t="s">
        <v>427</v>
      </c>
      <c r="AM40" s="69">
        <v>6</v>
      </c>
      <c r="AN40" s="71">
        <v>42501</v>
      </c>
      <c r="AO40" s="69" t="s">
        <v>167</v>
      </c>
      <c r="AP40" s="71">
        <v>42506</v>
      </c>
      <c r="AQ40" s="69">
        <v>628</v>
      </c>
      <c r="AR40" s="71">
        <v>43134</v>
      </c>
      <c r="AS40" s="69" t="s">
        <v>1148</v>
      </c>
      <c r="AT40" s="69">
        <v>1802473.77</v>
      </c>
      <c r="AU40" s="71">
        <v>43236</v>
      </c>
      <c r="AV40" s="69" t="s">
        <v>429</v>
      </c>
      <c r="AW40" s="69" t="s">
        <v>779</v>
      </c>
      <c r="AX40" s="151">
        <v>373185.1</v>
      </c>
      <c r="AY40" s="72">
        <v>2.0704051580640602E+17</v>
      </c>
      <c r="AZ40" s="69">
        <v>1</v>
      </c>
      <c r="BA40" s="69">
        <v>883</v>
      </c>
      <c r="BB40" s="122">
        <v>579653</v>
      </c>
      <c r="BC40" s="71">
        <v>43251</v>
      </c>
      <c r="BD40" s="69" t="s">
        <v>1143</v>
      </c>
      <c r="BE40" s="69" t="s">
        <v>1144</v>
      </c>
      <c r="BF40" s="69" t="s">
        <v>988</v>
      </c>
      <c r="BG40" s="69" t="s">
        <v>988</v>
      </c>
      <c r="BH40" s="73">
        <v>956174.31</v>
      </c>
    </row>
    <row r="41" spans="1:60">
      <c r="A41" s="68">
        <v>1010680</v>
      </c>
      <c r="B41" s="69" t="s">
        <v>168</v>
      </c>
      <c r="C41" s="69" t="s">
        <v>169</v>
      </c>
      <c r="D41" s="79" t="s">
        <v>64</v>
      </c>
      <c r="E41" s="69" t="s">
        <v>145</v>
      </c>
      <c r="F41" s="69" t="s">
        <v>146</v>
      </c>
      <c r="G41" s="69" t="s">
        <v>60</v>
      </c>
      <c r="H41" s="69">
        <v>94075310</v>
      </c>
      <c r="I41" s="69" t="s">
        <v>604</v>
      </c>
      <c r="J41" s="69" t="s">
        <v>1149</v>
      </c>
      <c r="K41" s="69" t="s">
        <v>164</v>
      </c>
      <c r="L41" s="94" t="str">
        <f t="shared" si="0"/>
        <v>2014</v>
      </c>
      <c r="M41" s="70">
        <v>43511</v>
      </c>
      <c r="N41" s="69" t="s">
        <v>408</v>
      </c>
      <c r="O41" s="69" t="s">
        <v>988</v>
      </c>
      <c r="P41" s="69"/>
      <c r="Q41" s="69" t="s">
        <v>409</v>
      </c>
      <c r="R41" s="69" t="s">
        <v>546</v>
      </c>
      <c r="S41" s="69" t="s">
        <v>290</v>
      </c>
      <c r="T41" s="69" t="s">
        <v>411</v>
      </c>
      <c r="U41" s="69" t="s">
        <v>1150</v>
      </c>
      <c r="V41" s="69" t="s">
        <v>412</v>
      </c>
      <c r="W41" s="69">
        <v>87890992000158</v>
      </c>
      <c r="X41" s="69"/>
      <c r="Y41" s="69" t="s">
        <v>567</v>
      </c>
      <c r="Z41" s="69" t="s">
        <v>1110</v>
      </c>
      <c r="AA41" s="69" t="s">
        <v>1111</v>
      </c>
      <c r="AB41" s="69" t="s">
        <v>553</v>
      </c>
      <c r="AC41" s="69" t="s">
        <v>1112</v>
      </c>
      <c r="AD41" s="69" t="s">
        <v>1113</v>
      </c>
      <c r="AE41" s="69">
        <v>94000000</v>
      </c>
      <c r="AF41" s="69" t="s">
        <v>572</v>
      </c>
      <c r="AG41" s="69"/>
      <c r="AH41" s="69">
        <v>1350</v>
      </c>
      <c r="AI41" s="69" t="s">
        <v>573</v>
      </c>
      <c r="AJ41" s="69"/>
      <c r="AK41" s="69" t="s">
        <v>145</v>
      </c>
      <c r="AL41" s="69"/>
      <c r="AM41" s="69"/>
      <c r="AN41" s="69"/>
      <c r="AO41" s="69"/>
      <c r="AP41" s="69"/>
      <c r="AQ41" s="69"/>
      <c r="AR41" s="69"/>
      <c r="AS41" s="69"/>
      <c r="AT41" s="69">
        <v>1497835.71</v>
      </c>
      <c r="AU41" s="69"/>
      <c r="AV41" s="69"/>
      <c r="AW41" s="69"/>
      <c r="AX41" s="151">
        <v>374458.93</v>
      </c>
      <c r="AY41" s="72">
        <v>2.5000000166907398E+17</v>
      </c>
      <c r="AZ41" s="69">
        <v>1</v>
      </c>
      <c r="BA41" s="69">
        <v>883</v>
      </c>
      <c r="BB41" s="122">
        <v>579653</v>
      </c>
      <c r="BC41" s="71">
        <v>43251</v>
      </c>
      <c r="BD41" s="69" t="s">
        <v>1143</v>
      </c>
      <c r="BE41" s="69" t="s">
        <v>1144</v>
      </c>
      <c r="BF41" s="69" t="s">
        <v>988</v>
      </c>
      <c r="BG41" s="69" t="s">
        <v>988</v>
      </c>
      <c r="BH41" s="73">
        <v>956174.31</v>
      </c>
    </row>
    <row r="42" spans="1:60">
      <c r="A42" s="68">
        <v>1010681</v>
      </c>
      <c r="B42" s="69" t="s">
        <v>170</v>
      </c>
      <c r="C42" s="69" t="s">
        <v>58</v>
      </c>
      <c r="D42" s="79" t="s">
        <v>1443</v>
      </c>
      <c r="E42" s="69" t="s">
        <v>145</v>
      </c>
      <c r="F42" s="69" t="s">
        <v>146</v>
      </c>
      <c r="G42" s="69" t="s">
        <v>60</v>
      </c>
      <c r="H42" s="69">
        <v>94015171</v>
      </c>
      <c r="I42" s="69" t="s">
        <v>606</v>
      </c>
      <c r="J42" s="69" t="s">
        <v>1151</v>
      </c>
      <c r="K42" s="69" t="s">
        <v>171</v>
      </c>
      <c r="L42" s="94" t="str">
        <f t="shared" si="0"/>
        <v>2013</v>
      </c>
      <c r="M42" s="70">
        <v>43554</v>
      </c>
      <c r="N42" s="69" t="s">
        <v>408</v>
      </c>
      <c r="O42" s="69" t="s">
        <v>1152</v>
      </c>
      <c r="P42" s="70">
        <v>43429</v>
      </c>
      <c r="Q42" s="69" t="s">
        <v>409</v>
      </c>
      <c r="R42" s="69" t="s">
        <v>424</v>
      </c>
      <c r="S42" s="69" t="s">
        <v>290</v>
      </c>
      <c r="T42" s="69" t="s">
        <v>411</v>
      </c>
      <c r="U42" s="69" t="s">
        <v>1147</v>
      </c>
      <c r="V42" s="69" t="s">
        <v>412</v>
      </c>
      <c r="W42" s="69">
        <v>87890992000158</v>
      </c>
      <c r="X42" s="69"/>
      <c r="Y42" s="69" t="s">
        <v>567</v>
      </c>
      <c r="Z42" s="69" t="s">
        <v>1110</v>
      </c>
      <c r="AA42" s="69" t="s">
        <v>1111</v>
      </c>
      <c r="AB42" s="69" t="s">
        <v>553</v>
      </c>
      <c r="AC42" s="69" t="s">
        <v>1112</v>
      </c>
      <c r="AD42" s="69" t="s">
        <v>1113</v>
      </c>
      <c r="AE42" s="69">
        <v>94000000</v>
      </c>
      <c r="AF42" s="69" t="s">
        <v>572</v>
      </c>
      <c r="AG42" s="69"/>
      <c r="AH42" s="69">
        <v>1350</v>
      </c>
      <c r="AI42" s="69" t="s">
        <v>573</v>
      </c>
      <c r="AJ42" s="69"/>
      <c r="AK42" s="69" t="s">
        <v>145</v>
      </c>
      <c r="AL42" s="69" t="s">
        <v>427</v>
      </c>
      <c r="AM42" s="69">
        <v>15</v>
      </c>
      <c r="AN42" s="71">
        <v>42656</v>
      </c>
      <c r="AO42" s="69" t="s">
        <v>172</v>
      </c>
      <c r="AP42" s="71">
        <v>42660</v>
      </c>
      <c r="AQ42" s="69">
        <v>769</v>
      </c>
      <c r="AR42" s="71">
        <v>43429</v>
      </c>
      <c r="AS42" s="69" t="s">
        <v>1153</v>
      </c>
      <c r="AT42" s="69">
        <v>1802473.77</v>
      </c>
      <c r="AU42" s="71">
        <v>43250</v>
      </c>
      <c r="AV42" s="69" t="s">
        <v>457</v>
      </c>
      <c r="AW42" s="69"/>
      <c r="AX42" s="151">
        <v>859163.32</v>
      </c>
      <c r="AY42" s="72">
        <v>4.7665787550131098E+17</v>
      </c>
      <c r="AZ42" s="69">
        <v>1</v>
      </c>
      <c r="BA42" s="69">
        <v>883</v>
      </c>
      <c r="BB42" s="122">
        <v>579807</v>
      </c>
      <c r="BC42" s="71">
        <v>43251</v>
      </c>
      <c r="BD42" s="69" t="s">
        <v>988</v>
      </c>
      <c r="BE42" s="69" t="s">
        <v>1154</v>
      </c>
      <c r="BF42" s="69" t="s">
        <v>988</v>
      </c>
      <c r="BG42" s="69" t="s">
        <v>988</v>
      </c>
      <c r="BH42" s="73">
        <v>279636.86</v>
      </c>
    </row>
    <row r="43" spans="1:60">
      <c r="A43" s="68">
        <v>1010682</v>
      </c>
      <c r="B43" s="69" t="s">
        <v>173</v>
      </c>
      <c r="C43" s="69" t="s">
        <v>137</v>
      </c>
      <c r="D43" s="79" t="s">
        <v>64</v>
      </c>
      <c r="E43" s="69" t="s">
        <v>145</v>
      </c>
      <c r="F43" s="69" t="s">
        <v>146</v>
      </c>
      <c r="G43" s="69" t="s">
        <v>60</v>
      </c>
      <c r="H43" s="69">
        <v>94180295</v>
      </c>
      <c r="I43" s="69" t="s">
        <v>612</v>
      </c>
      <c r="J43" s="69" t="s">
        <v>1155</v>
      </c>
      <c r="K43" s="69" t="s">
        <v>171</v>
      </c>
      <c r="L43" s="94" t="str">
        <f t="shared" si="0"/>
        <v>2013</v>
      </c>
      <c r="M43" s="70">
        <v>43554</v>
      </c>
      <c r="N43" s="69" t="s">
        <v>408</v>
      </c>
      <c r="O43" s="69" t="s">
        <v>988</v>
      </c>
      <c r="P43" s="69"/>
      <c r="Q43" s="69" t="s">
        <v>409</v>
      </c>
      <c r="R43" s="69" t="s">
        <v>546</v>
      </c>
      <c r="S43" s="69" t="s">
        <v>290</v>
      </c>
      <c r="T43" s="69" t="s">
        <v>411</v>
      </c>
      <c r="U43" s="69" t="s">
        <v>1156</v>
      </c>
      <c r="V43" s="69" t="s">
        <v>412</v>
      </c>
      <c r="W43" s="69">
        <v>87890992000158</v>
      </c>
      <c r="X43" s="69"/>
      <c r="Y43" s="69" t="s">
        <v>567</v>
      </c>
      <c r="Z43" s="69" t="s">
        <v>1110</v>
      </c>
      <c r="AA43" s="69" t="s">
        <v>1111</v>
      </c>
      <c r="AB43" s="69" t="s">
        <v>553</v>
      </c>
      <c r="AC43" s="69" t="s">
        <v>1112</v>
      </c>
      <c r="AD43" s="69" t="s">
        <v>1113</v>
      </c>
      <c r="AE43" s="69">
        <v>94000000</v>
      </c>
      <c r="AF43" s="69" t="s">
        <v>572</v>
      </c>
      <c r="AG43" s="69"/>
      <c r="AH43" s="69">
        <v>1350</v>
      </c>
      <c r="AI43" s="69" t="s">
        <v>573</v>
      </c>
      <c r="AJ43" s="69"/>
      <c r="AK43" s="69" t="s">
        <v>145</v>
      </c>
      <c r="AL43" s="69"/>
      <c r="AM43" s="69"/>
      <c r="AN43" s="69"/>
      <c r="AO43" s="69"/>
      <c r="AP43" s="69"/>
      <c r="AQ43" s="69"/>
      <c r="AR43" s="69"/>
      <c r="AS43" s="69"/>
      <c r="AT43" s="69">
        <v>1495655.41</v>
      </c>
      <c r="AU43" s="69"/>
      <c r="AV43" s="69"/>
      <c r="AW43" s="69"/>
      <c r="AX43" s="151">
        <v>373913.85</v>
      </c>
      <c r="AY43" s="72">
        <v>2.4999999832849101E+17</v>
      </c>
      <c r="AZ43" s="69">
        <v>1</v>
      </c>
      <c r="BA43" s="69">
        <v>883</v>
      </c>
      <c r="BB43" s="122">
        <v>579807</v>
      </c>
      <c r="BC43" s="71">
        <v>43251</v>
      </c>
      <c r="BD43" s="69" t="s">
        <v>988</v>
      </c>
      <c r="BE43" s="69" t="s">
        <v>1154</v>
      </c>
      <c r="BF43" s="69" t="s">
        <v>988</v>
      </c>
      <c r="BG43" s="69" t="s">
        <v>988</v>
      </c>
      <c r="BH43" s="73">
        <v>279636.86</v>
      </c>
    </row>
    <row r="44" spans="1:60">
      <c r="A44" s="68">
        <v>1011012</v>
      </c>
      <c r="B44" s="69" t="s">
        <v>174</v>
      </c>
      <c r="C44" s="69" t="s">
        <v>58</v>
      </c>
      <c r="D44" s="79" t="s">
        <v>1443</v>
      </c>
      <c r="E44" s="69" t="s">
        <v>145</v>
      </c>
      <c r="F44" s="69" t="s">
        <v>146</v>
      </c>
      <c r="G44" s="69" t="s">
        <v>60</v>
      </c>
      <c r="H44" s="69">
        <v>94000970</v>
      </c>
      <c r="I44" s="69" t="s">
        <v>614</v>
      </c>
      <c r="J44" s="69" t="s">
        <v>1157</v>
      </c>
      <c r="K44" s="69" t="s">
        <v>175</v>
      </c>
      <c r="L44" s="94" t="str">
        <f t="shared" si="0"/>
        <v>2014</v>
      </c>
      <c r="M44" s="70">
        <v>43554</v>
      </c>
      <c r="N44" s="69" t="s">
        <v>408</v>
      </c>
      <c r="O44" s="69" t="s">
        <v>1158</v>
      </c>
      <c r="P44" s="70">
        <v>43429</v>
      </c>
      <c r="Q44" s="69" t="s">
        <v>409</v>
      </c>
      <c r="R44" s="69" t="s">
        <v>410</v>
      </c>
      <c r="S44" s="69" t="s">
        <v>290</v>
      </c>
      <c r="T44" s="69" t="s">
        <v>411</v>
      </c>
      <c r="U44" s="69" t="s">
        <v>1159</v>
      </c>
      <c r="V44" s="69" t="s">
        <v>412</v>
      </c>
      <c r="W44" s="69">
        <v>87890992000158</v>
      </c>
      <c r="X44" s="69"/>
      <c r="Y44" s="69" t="s">
        <v>567</v>
      </c>
      <c r="Z44" s="69" t="s">
        <v>1110</v>
      </c>
      <c r="AA44" s="69" t="s">
        <v>1111</v>
      </c>
      <c r="AB44" s="69" t="s">
        <v>553</v>
      </c>
      <c r="AC44" s="69" t="s">
        <v>1112</v>
      </c>
      <c r="AD44" s="69" t="s">
        <v>1113</v>
      </c>
      <c r="AE44" s="69">
        <v>94000000</v>
      </c>
      <c r="AF44" s="69" t="s">
        <v>572</v>
      </c>
      <c r="AG44" s="69"/>
      <c r="AH44" s="69">
        <v>1350</v>
      </c>
      <c r="AI44" s="69" t="s">
        <v>573</v>
      </c>
      <c r="AJ44" s="69"/>
      <c r="AK44" s="69" t="s">
        <v>145</v>
      </c>
      <c r="AL44" s="69" t="s">
        <v>427</v>
      </c>
      <c r="AM44" s="69">
        <v>15</v>
      </c>
      <c r="AN44" s="71">
        <v>42656</v>
      </c>
      <c r="AO44" s="69" t="s">
        <v>172</v>
      </c>
      <c r="AP44" s="71">
        <v>42660</v>
      </c>
      <c r="AQ44" s="69">
        <v>769</v>
      </c>
      <c r="AR44" s="71">
        <v>43429</v>
      </c>
      <c r="AS44" s="69" t="s">
        <v>1160</v>
      </c>
      <c r="AT44" s="69">
        <v>1196771.3899999999</v>
      </c>
      <c r="AU44" s="71">
        <v>43266</v>
      </c>
      <c r="AV44" s="69" t="s">
        <v>457</v>
      </c>
      <c r="AW44" s="69"/>
      <c r="AX44" s="151">
        <v>275257.42</v>
      </c>
      <c r="AY44" s="72">
        <v>2.2999999944350202E+17</v>
      </c>
      <c r="AZ44" s="69">
        <v>1</v>
      </c>
      <c r="BA44" s="69">
        <v>883</v>
      </c>
      <c r="BB44" s="69">
        <v>677132</v>
      </c>
      <c r="BC44" s="71">
        <v>43251</v>
      </c>
      <c r="BD44" s="69" t="s">
        <v>988</v>
      </c>
      <c r="BE44" s="69" t="s">
        <v>1161</v>
      </c>
      <c r="BF44" s="69" t="s">
        <v>988</v>
      </c>
      <c r="BG44" s="69" t="s">
        <v>988</v>
      </c>
      <c r="BH44" s="73">
        <v>36740.74</v>
      </c>
    </row>
    <row r="45" spans="1:60">
      <c r="A45" s="68">
        <v>1011013</v>
      </c>
      <c r="B45" s="69" t="s">
        <v>176</v>
      </c>
      <c r="C45" s="69" t="s">
        <v>67</v>
      </c>
      <c r="D45" s="80" t="s">
        <v>67</v>
      </c>
      <c r="E45" s="69" t="s">
        <v>145</v>
      </c>
      <c r="F45" s="69" t="s">
        <v>146</v>
      </c>
      <c r="G45" s="69" t="s">
        <v>60</v>
      </c>
      <c r="H45" s="69">
        <v>94015290</v>
      </c>
      <c r="I45" s="69" t="s">
        <v>616</v>
      </c>
      <c r="J45" s="69" t="s">
        <v>1162</v>
      </c>
      <c r="K45" s="69" t="s">
        <v>175</v>
      </c>
      <c r="L45" s="94" t="str">
        <f t="shared" si="0"/>
        <v>2014</v>
      </c>
      <c r="M45" s="70">
        <v>43554</v>
      </c>
      <c r="N45" s="69" t="s">
        <v>408</v>
      </c>
      <c r="O45" s="75" t="s">
        <v>1163</v>
      </c>
      <c r="P45" s="70">
        <v>43134</v>
      </c>
      <c r="Q45" s="69" t="s">
        <v>409</v>
      </c>
      <c r="R45" s="69" t="s">
        <v>424</v>
      </c>
      <c r="S45" s="69" t="s">
        <v>290</v>
      </c>
      <c r="T45" s="69" t="s">
        <v>411</v>
      </c>
      <c r="U45" s="69" t="s">
        <v>1147</v>
      </c>
      <c r="V45" s="69" t="s">
        <v>412</v>
      </c>
      <c r="W45" s="69">
        <v>87890992000158</v>
      </c>
      <c r="X45" s="69"/>
      <c r="Y45" s="69" t="s">
        <v>567</v>
      </c>
      <c r="Z45" s="69" t="s">
        <v>1110</v>
      </c>
      <c r="AA45" s="69" t="s">
        <v>1111</v>
      </c>
      <c r="AB45" s="69" t="s">
        <v>553</v>
      </c>
      <c r="AC45" s="69" t="s">
        <v>1112</v>
      </c>
      <c r="AD45" s="69" t="s">
        <v>1113</v>
      </c>
      <c r="AE45" s="69">
        <v>94000000</v>
      </c>
      <c r="AF45" s="69" t="s">
        <v>572</v>
      </c>
      <c r="AG45" s="69"/>
      <c r="AH45" s="69">
        <v>1350</v>
      </c>
      <c r="AI45" s="69" t="s">
        <v>573</v>
      </c>
      <c r="AJ45" s="69"/>
      <c r="AK45" s="69" t="s">
        <v>145</v>
      </c>
      <c r="AL45" s="69" t="s">
        <v>427</v>
      </c>
      <c r="AM45" s="69">
        <v>6</v>
      </c>
      <c r="AN45" s="71">
        <v>42501</v>
      </c>
      <c r="AO45" s="69" t="s">
        <v>167</v>
      </c>
      <c r="AP45" s="71">
        <v>42506</v>
      </c>
      <c r="AQ45" s="69">
        <v>628</v>
      </c>
      <c r="AR45" s="71">
        <v>43134</v>
      </c>
      <c r="AS45" s="69" t="s">
        <v>1164</v>
      </c>
      <c r="AT45" s="69">
        <v>1802473.77</v>
      </c>
      <c r="AU45" s="71">
        <v>43279</v>
      </c>
      <c r="AV45" s="69" t="s">
        <v>429</v>
      </c>
      <c r="AW45" s="69" t="s">
        <v>430</v>
      </c>
      <c r="AX45" s="151">
        <v>162222.64000000001</v>
      </c>
      <c r="AY45" s="72">
        <v>9.0000000163663904E+16</v>
      </c>
      <c r="AZ45" s="69">
        <v>1</v>
      </c>
      <c r="BA45" s="69">
        <v>883</v>
      </c>
      <c r="BB45" s="69">
        <v>677132</v>
      </c>
      <c r="BC45" s="71">
        <v>43251</v>
      </c>
      <c r="BD45" s="69" t="s">
        <v>988</v>
      </c>
      <c r="BE45" s="69" t="s">
        <v>1161</v>
      </c>
      <c r="BF45" s="69" t="s">
        <v>988</v>
      </c>
      <c r="BG45" s="69" t="s">
        <v>988</v>
      </c>
      <c r="BH45" s="73">
        <v>36740.74</v>
      </c>
    </row>
    <row r="46" spans="1:60">
      <c r="A46" s="68">
        <v>25284</v>
      </c>
      <c r="B46" s="69" t="s">
        <v>1165</v>
      </c>
      <c r="C46" s="69" t="s">
        <v>89</v>
      </c>
      <c r="D46" s="80" t="s">
        <v>89</v>
      </c>
      <c r="E46" s="69" t="s">
        <v>177</v>
      </c>
      <c r="F46" s="69" t="s">
        <v>55</v>
      </c>
      <c r="G46" s="69" t="s">
        <v>60</v>
      </c>
      <c r="H46" s="69"/>
      <c r="I46" s="69"/>
      <c r="J46" s="69"/>
      <c r="K46" s="69" t="s">
        <v>180</v>
      </c>
      <c r="L46" s="94" t="str">
        <f t="shared" si="0"/>
        <v>2012</v>
      </c>
      <c r="M46" s="70">
        <v>43465</v>
      </c>
      <c r="N46" s="69" t="s">
        <v>408</v>
      </c>
      <c r="O46" s="69" t="s">
        <v>1063</v>
      </c>
      <c r="P46" s="70">
        <v>42940</v>
      </c>
      <c r="Q46" s="69" t="s">
        <v>409</v>
      </c>
      <c r="R46" s="69" t="s">
        <v>447</v>
      </c>
      <c r="S46" s="69" t="s">
        <v>290</v>
      </c>
      <c r="T46" s="69" t="s">
        <v>411</v>
      </c>
      <c r="U46" s="69" t="s">
        <v>1166</v>
      </c>
      <c r="V46" s="69" t="s">
        <v>412</v>
      </c>
      <c r="W46" s="69">
        <v>76178037000176</v>
      </c>
      <c r="X46" s="69" t="s">
        <v>522</v>
      </c>
      <c r="Y46" s="69" t="s">
        <v>619</v>
      </c>
      <c r="Z46" s="69" t="s">
        <v>1167</v>
      </c>
      <c r="AA46" s="69" t="s">
        <v>621</v>
      </c>
      <c r="AB46" s="69" t="s">
        <v>553</v>
      </c>
      <c r="AC46" s="69" t="s">
        <v>622</v>
      </c>
      <c r="AD46" s="69" t="s">
        <v>623</v>
      </c>
      <c r="AE46" s="69">
        <v>85010210</v>
      </c>
      <c r="AF46" s="69" t="s">
        <v>624</v>
      </c>
      <c r="AG46" s="69"/>
      <c r="AH46" s="69">
        <v>2777</v>
      </c>
      <c r="AI46" s="69" t="s">
        <v>421</v>
      </c>
      <c r="AJ46" s="69"/>
      <c r="AK46" s="69" t="s">
        <v>177</v>
      </c>
      <c r="AL46" s="69" t="s">
        <v>494</v>
      </c>
      <c r="AM46" s="69">
        <v>82015</v>
      </c>
      <c r="AN46" s="71">
        <v>42227</v>
      </c>
      <c r="AO46" s="69" t="s">
        <v>181</v>
      </c>
      <c r="AP46" s="71">
        <v>42228</v>
      </c>
      <c r="AQ46" s="69">
        <v>777</v>
      </c>
      <c r="AR46" s="71">
        <v>43005</v>
      </c>
      <c r="AS46" s="69" t="s">
        <v>1168</v>
      </c>
      <c r="AT46" s="69">
        <v>1368907.76</v>
      </c>
      <c r="AU46" s="71">
        <v>43265</v>
      </c>
      <c r="AV46" s="69" t="s">
        <v>1065</v>
      </c>
      <c r="AW46" s="69"/>
      <c r="AX46" s="151">
        <v>1368907.75</v>
      </c>
      <c r="AY46" s="72">
        <v>9.9999999568999398E+17</v>
      </c>
      <c r="AZ46" s="69">
        <v>1</v>
      </c>
      <c r="BA46" s="69">
        <v>299</v>
      </c>
      <c r="BB46" s="69">
        <v>693324</v>
      </c>
      <c r="BC46" s="71">
        <v>43251</v>
      </c>
      <c r="BD46" s="69" t="s">
        <v>988</v>
      </c>
      <c r="BE46" s="69" t="s">
        <v>1169</v>
      </c>
      <c r="BF46" s="69" t="s">
        <v>988</v>
      </c>
      <c r="BG46" s="69" t="s">
        <v>988</v>
      </c>
      <c r="BH46" s="73">
        <v>1179945.1299999999</v>
      </c>
    </row>
    <row r="47" spans="1:60">
      <c r="A47" s="68">
        <v>25286</v>
      </c>
      <c r="B47" s="69" t="s">
        <v>1170</v>
      </c>
      <c r="C47" s="69" t="s">
        <v>89</v>
      </c>
      <c r="D47" s="80" t="s">
        <v>89</v>
      </c>
      <c r="E47" s="69" t="s">
        <v>177</v>
      </c>
      <c r="F47" s="69" t="s">
        <v>55</v>
      </c>
      <c r="G47" s="69" t="s">
        <v>60</v>
      </c>
      <c r="H47" s="69">
        <v>85064340</v>
      </c>
      <c r="I47" s="69" t="s">
        <v>627</v>
      </c>
      <c r="J47" s="69" t="s">
        <v>628</v>
      </c>
      <c r="K47" s="69" t="s">
        <v>180</v>
      </c>
      <c r="L47" s="94" t="str">
        <f t="shared" si="0"/>
        <v>2012</v>
      </c>
      <c r="M47" s="70">
        <v>43465</v>
      </c>
      <c r="N47" s="69" t="s">
        <v>408</v>
      </c>
      <c r="O47" s="69" t="s">
        <v>1063</v>
      </c>
      <c r="P47" s="70">
        <v>42716</v>
      </c>
      <c r="Q47" s="69" t="s">
        <v>409</v>
      </c>
      <c r="R47" s="69" t="s">
        <v>447</v>
      </c>
      <c r="S47" s="69" t="s">
        <v>290</v>
      </c>
      <c r="T47" s="69" t="s">
        <v>411</v>
      </c>
      <c r="U47" s="69" t="s">
        <v>1171</v>
      </c>
      <c r="V47" s="69" t="s">
        <v>412</v>
      </c>
      <c r="W47" s="69">
        <v>76178037000176</v>
      </c>
      <c r="X47" s="69" t="s">
        <v>522</v>
      </c>
      <c r="Y47" s="69" t="s">
        <v>619</v>
      </c>
      <c r="Z47" s="69" t="s">
        <v>1167</v>
      </c>
      <c r="AA47" s="69" t="s">
        <v>621</v>
      </c>
      <c r="AB47" s="69" t="s">
        <v>553</v>
      </c>
      <c r="AC47" s="69" t="s">
        <v>622</v>
      </c>
      <c r="AD47" s="69" t="s">
        <v>623</v>
      </c>
      <c r="AE47" s="69">
        <v>85010210</v>
      </c>
      <c r="AF47" s="69" t="s">
        <v>624</v>
      </c>
      <c r="AG47" s="69"/>
      <c r="AH47" s="69">
        <v>2777</v>
      </c>
      <c r="AI47" s="69" t="s">
        <v>421</v>
      </c>
      <c r="AJ47" s="69"/>
      <c r="AK47" s="69" t="s">
        <v>177</v>
      </c>
      <c r="AL47" s="69" t="s">
        <v>427</v>
      </c>
      <c r="AM47" s="69">
        <v>42012</v>
      </c>
      <c r="AN47" s="71">
        <v>41131</v>
      </c>
      <c r="AO47" s="69" t="s">
        <v>185</v>
      </c>
      <c r="AP47" s="71">
        <v>41149</v>
      </c>
      <c r="AQ47" s="69">
        <v>1578</v>
      </c>
      <c r="AR47" s="71">
        <v>42727</v>
      </c>
      <c r="AS47" s="69" t="s">
        <v>1172</v>
      </c>
      <c r="AT47" s="69">
        <v>1332862.8600000001</v>
      </c>
      <c r="AU47" s="71">
        <v>42877</v>
      </c>
      <c r="AV47" s="69" t="s">
        <v>1065</v>
      </c>
      <c r="AW47" s="69"/>
      <c r="AX47" s="151">
        <v>1332840.94</v>
      </c>
      <c r="AY47" s="72">
        <v>9.9998355719802496E+17</v>
      </c>
      <c r="AZ47" s="69">
        <v>1</v>
      </c>
      <c r="BA47" s="69">
        <v>299</v>
      </c>
      <c r="BB47" s="69">
        <v>693324</v>
      </c>
      <c r="BC47" s="71">
        <v>43251</v>
      </c>
      <c r="BD47" s="69" t="s">
        <v>988</v>
      </c>
      <c r="BE47" s="69" t="s">
        <v>1169</v>
      </c>
      <c r="BF47" s="69" t="s">
        <v>988</v>
      </c>
      <c r="BG47" s="69" t="s">
        <v>988</v>
      </c>
      <c r="BH47" s="73">
        <v>1179945.1299999999</v>
      </c>
    </row>
    <row r="48" spans="1:60">
      <c r="A48" s="68">
        <v>1005588</v>
      </c>
      <c r="B48" s="69" t="s">
        <v>186</v>
      </c>
      <c r="C48" s="69" t="s">
        <v>58</v>
      </c>
      <c r="D48" s="79" t="s">
        <v>1443</v>
      </c>
      <c r="E48" s="69" t="s">
        <v>177</v>
      </c>
      <c r="F48" s="69" t="s">
        <v>55</v>
      </c>
      <c r="G48" s="69" t="s">
        <v>60</v>
      </c>
      <c r="H48" s="69">
        <v>85031050</v>
      </c>
      <c r="I48" s="69" t="s">
        <v>631</v>
      </c>
      <c r="J48" s="69" t="s">
        <v>1173</v>
      </c>
      <c r="K48" s="69" t="s">
        <v>189</v>
      </c>
      <c r="L48" s="94" t="str">
        <f t="shared" si="0"/>
        <v>2013</v>
      </c>
      <c r="M48" s="70">
        <v>43434</v>
      </c>
      <c r="N48" s="69" t="s">
        <v>408</v>
      </c>
      <c r="O48" s="69" t="s">
        <v>1174</v>
      </c>
      <c r="P48" s="70">
        <v>43300</v>
      </c>
      <c r="Q48" s="69" t="s">
        <v>409</v>
      </c>
      <c r="R48" s="69" t="s">
        <v>424</v>
      </c>
      <c r="S48" s="69" t="s">
        <v>290</v>
      </c>
      <c r="T48" s="69" t="s">
        <v>411</v>
      </c>
      <c r="U48" s="69" t="s">
        <v>1001</v>
      </c>
      <c r="V48" s="69" t="s">
        <v>412</v>
      </c>
      <c r="W48" s="69">
        <v>76178037000176</v>
      </c>
      <c r="X48" s="69" t="s">
        <v>522</v>
      </c>
      <c r="Y48" s="69" t="s">
        <v>619</v>
      </c>
      <c r="Z48" s="69" t="s">
        <v>1167</v>
      </c>
      <c r="AA48" s="69" t="s">
        <v>621</v>
      </c>
      <c r="AB48" s="69" t="s">
        <v>553</v>
      </c>
      <c r="AC48" s="69" t="s">
        <v>622</v>
      </c>
      <c r="AD48" s="69" t="s">
        <v>623</v>
      </c>
      <c r="AE48" s="69">
        <v>85010210</v>
      </c>
      <c r="AF48" s="69" t="s">
        <v>624</v>
      </c>
      <c r="AG48" s="69"/>
      <c r="AH48" s="69">
        <v>2777</v>
      </c>
      <c r="AI48" s="69" t="s">
        <v>421</v>
      </c>
      <c r="AJ48" s="69"/>
      <c r="AK48" s="69" t="s">
        <v>177</v>
      </c>
      <c r="AL48" s="69" t="s">
        <v>427</v>
      </c>
      <c r="AM48" s="69">
        <v>10</v>
      </c>
      <c r="AN48" s="71">
        <v>42395</v>
      </c>
      <c r="AO48" s="69" t="s">
        <v>190</v>
      </c>
      <c r="AP48" s="71">
        <v>42760</v>
      </c>
      <c r="AQ48" s="69">
        <v>540</v>
      </c>
      <c r="AR48" s="71">
        <v>43300</v>
      </c>
      <c r="AS48" s="69" t="s">
        <v>1175</v>
      </c>
      <c r="AT48" s="69">
        <v>1927667.98</v>
      </c>
      <c r="AU48" s="71">
        <v>43263</v>
      </c>
      <c r="AV48" s="69" t="s">
        <v>457</v>
      </c>
      <c r="AW48" s="69"/>
      <c r="AX48" s="151">
        <v>1060278.96</v>
      </c>
      <c r="AY48" s="72">
        <v>5.50031942036072E+17</v>
      </c>
      <c r="AZ48" s="69">
        <v>1</v>
      </c>
      <c r="BA48" s="69">
        <v>299</v>
      </c>
      <c r="BB48" s="69">
        <v>742589</v>
      </c>
      <c r="BC48" s="71">
        <v>43251</v>
      </c>
      <c r="BD48" s="69" t="s">
        <v>988</v>
      </c>
      <c r="BE48" s="69" t="s">
        <v>1176</v>
      </c>
      <c r="BF48" s="69" t="s">
        <v>988</v>
      </c>
      <c r="BG48" s="69" t="s">
        <v>988</v>
      </c>
      <c r="BH48" s="73">
        <v>45457.27</v>
      </c>
    </row>
    <row r="49" spans="1:60">
      <c r="A49" s="68">
        <v>25130</v>
      </c>
      <c r="B49" s="69" t="s">
        <v>999</v>
      </c>
      <c r="C49" s="69" t="s">
        <v>58</v>
      </c>
      <c r="D49" s="79" t="s">
        <v>1443</v>
      </c>
      <c r="E49" s="69" t="s">
        <v>191</v>
      </c>
      <c r="F49" s="69" t="s">
        <v>86</v>
      </c>
      <c r="G49" s="69" t="s">
        <v>60</v>
      </c>
      <c r="H49" s="69">
        <v>88780000</v>
      </c>
      <c r="I49" s="69" t="s">
        <v>633</v>
      </c>
      <c r="J49" s="69" t="s">
        <v>573</v>
      </c>
      <c r="K49" s="69" t="s">
        <v>192</v>
      </c>
      <c r="L49" s="94" t="str">
        <f t="shared" si="0"/>
        <v>2012</v>
      </c>
      <c r="M49" s="70">
        <v>43373</v>
      </c>
      <c r="N49" s="69" t="s">
        <v>408</v>
      </c>
      <c r="O49" s="69" t="s">
        <v>1177</v>
      </c>
      <c r="P49" s="70">
        <v>43069</v>
      </c>
      <c r="Q49" s="69" t="s">
        <v>409</v>
      </c>
      <c r="R49" s="69" t="s">
        <v>447</v>
      </c>
      <c r="S49" s="69" t="s">
        <v>290</v>
      </c>
      <c r="T49" s="69" t="s">
        <v>411</v>
      </c>
      <c r="U49" s="69" t="s">
        <v>1178</v>
      </c>
      <c r="V49" s="69" t="s">
        <v>412</v>
      </c>
      <c r="W49" s="69">
        <v>82909409000190</v>
      </c>
      <c r="X49" s="69">
        <v>281251</v>
      </c>
      <c r="Y49" s="69" t="s">
        <v>635</v>
      </c>
      <c r="Z49" s="69" t="s">
        <v>1179</v>
      </c>
      <c r="AA49" s="69" t="s">
        <v>637</v>
      </c>
      <c r="AB49" s="69" t="s">
        <v>638</v>
      </c>
      <c r="AC49" s="69" t="s">
        <v>1180</v>
      </c>
      <c r="AD49" s="69" t="s">
        <v>1181</v>
      </c>
      <c r="AE49" s="69">
        <v>88780000</v>
      </c>
      <c r="AF49" s="69" t="s">
        <v>641</v>
      </c>
      <c r="AG49" s="69"/>
      <c r="AH49" s="69">
        <v>601</v>
      </c>
      <c r="AI49" s="69" t="s">
        <v>421</v>
      </c>
      <c r="AJ49" s="69"/>
      <c r="AK49" s="69" t="s">
        <v>191</v>
      </c>
      <c r="AL49" s="69" t="s">
        <v>427</v>
      </c>
      <c r="AM49" s="69">
        <v>42012</v>
      </c>
      <c r="AN49" s="71">
        <v>41331</v>
      </c>
      <c r="AO49" s="69" t="s">
        <v>643</v>
      </c>
      <c r="AP49" s="71">
        <v>41331</v>
      </c>
      <c r="AQ49" s="69">
        <v>1738</v>
      </c>
      <c r="AR49" s="71">
        <v>43069</v>
      </c>
      <c r="AS49" s="69" t="s">
        <v>1182</v>
      </c>
      <c r="AT49" s="69">
        <v>1448633.71</v>
      </c>
      <c r="AU49" s="71">
        <v>42971</v>
      </c>
      <c r="AV49" s="69" t="s">
        <v>457</v>
      </c>
      <c r="AW49" s="69"/>
      <c r="AX49" s="151">
        <v>1086475.28</v>
      </c>
      <c r="AY49" s="72">
        <v>7.4999999651395597E+17</v>
      </c>
      <c r="AZ49" s="69">
        <v>1</v>
      </c>
      <c r="BA49" s="69">
        <v>1408</v>
      </c>
      <c r="BB49" s="69">
        <v>213373</v>
      </c>
      <c r="BC49" s="71">
        <v>43251</v>
      </c>
      <c r="BD49" s="69" t="s">
        <v>988</v>
      </c>
      <c r="BE49" s="69" t="s">
        <v>1183</v>
      </c>
      <c r="BF49" s="69" t="s">
        <v>988</v>
      </c>
      <c r="BG49" s="69" t="s">
        <v>988</v>
      </c>
      <c r="BH49" s="73">
        <v>3324.84</v>
      </c>
    </row>
    <row r="50" spans="1:60">
      <c r="A50" s="68">
        <v>1006532</v>
      </c>
      <c r="B50" s="69" t="s">
        <v>193</v>
      </c>
      <c r="C50" s="69" t="s">
        <v>82</v>
      </c>
      <c r="D50" s="79" t="s">
        <v>64</v>
      </c>
      <c r="E50" s="69" t="s">
        <v>191</v>
      </c>
      <c r="F50" s="69" t="s">
        <v>86</v>
      </c>
      <c r="G50" s="69" t="s">
        <v>60</v>
      </c>
      <c r="H50" s="69">
        <v>88780000</v>
      </c>
      <c r="I50" s="69" t="s">
        <v>646</v>
      </c>
      <c r="J50" s="69" t="s">
        <v>1184</v>
      </c>
      <c r="K50" s="69" t="s">
        <v>194</v>
      </c>
      <c r="L50" s="94" t="str">
        <f t="shared" si="0"/>
        <v>2013</v>
      </c>
      <c r="M50" s="70">
        <v>43342</v>
      </c>
      <c r="N50" s="69" t="s">
        <v>408</v>
      </c>
      <c r="O50" s="69" t="s">
        <v>988</v>
      </c>
      <c r="P50" s="69"/>
      <c r="Q50" s="69" t="s">
        <v>409</v>
      </c>
      <c r="R50" s="69" t="s">
        <v>424</v>
      </c>
      <c r="S50" s="69" t="s">
        <v>290</v>
      </c>
      <c r="T50" s="69" t="s">
        <v>411</v>
      </c>
      <c r="U50" s="69" t="s">
        <v>1030</v>
      </c>
      <c r="V50" s="69" t="s">
        <v>412</v>
      </c>
      <c r="W50" s="69">
        <v>82909409000190</v>
      </c>
      <c r="X50" s="69">
        <v>281251</v>
      </c>
      <c r="Y50" s="69" t="s">
        <v>635</v>
      </c>
      <c r="Z50" s="69" t="s">
        <v>1179</v>
      </c>
      <c r="AA50" s="69" t="s">
        <v>637</v>
      </c>
      <c r="AB50" s="69" t="s">
        <v>638</v>
      </c>
      <c r="AC50" s="69" t="s">
        <v>1180</v>
      </c>
      <c r="AD50" s="69" t="s">
        <v>1181</v>
      </c>
      <c r="AE50" s="69">
        <v>88780000</v>
      </c>
      <c r="AF50" s="69" t="s">
        <v>641</v>
      </c>
      <c r="AG50" s="69"/>
      <c r="AH50" s="69">
        <v>601</v>
      </c>
      <c r="AI50" s="69" t="s">
        <v>421</v>
      </c>
      <c r="AJ50" s="69"/>
      <c r="AK50" s="69" t="s">
        <v>191</v>
      </c>
      <c r="AL50" s="69"/>
      <c r="AM50" s="69"/>
      <c r="AN50" s="69"/>
      <c r="AO50" s="69"/>
      <c r="AP50" s="69"/>
      <c r="AQ50" s="69"/>
      <c r="AR50" s="69"/>
      <c r="AS50" s="69"/>
      <c r="AT50" s="69">
        <v>1888084.32</v>
      </c>
      <c r="AU50" s="69"/>
      <c r="AV50" s="69"/>
      <c r="AW50" s="69"/>
      <c r="AX50" s="151">
        <v>371770.9</v>
      </c>
      <c r="AY50" s="72">
        <v>1.9690375876240499E+17</v>
      </c>
      <c r="AZ50" s="69">
        <v>1</v>
      </c>
      <c r="BA50" s="69">
        <v>1408</v>
      </c>
      <c r="BB50" s="69">
        <v>241245</v>
      </c>
      <c r="BC50" s="71">
        <v>43251</v>
      </c>
      <c r="BD50" s="69" t="s">
        <v>988</v>
      </c>
      <c r="BE50" s="69" t="s">
        <v>1185</v>
      </c>
      <c r="BF50" s="69" t="s">
        <v>988</v>
      </c>
      <c r="BG50" s="69" t="s">
        <v>1186</v>
      </c>
      <c r="BH50" s="73">
        <v>371862.16</v>
      </c>
    </row>
    <row r="51" spans="1:60">
      <c r="A51" s="68">
        <v>1001606</v>
      </c>
      <c r="B51" s="69" t="s">
        <v>196</v>
      </c>
      <c r="C51" s="69" t="s">
        <v>58</v>
      </c>
      <c r="D51" s="79" t="s">
        <v>1443</v>
      </c>
      <c r="E51" s="69" t="s">
        <v>195</v>
      </c>
      <c r="F51" s="69" t="s">
        <v>146</v>
      </c>
      <c r="G51" s="69" t="s">
        <v>60</v>
      </c>
      <c r="H51" s="69">
        <v>95900000</v>
      </c>
      <c r="I51" s="69" t="s">
        <v>649</v>
      </c>
      <c r="J51" s="69" t="s">
        <v>1187</v>
      </c>
      <c r="K51" s="69" t="s">
        <v>198</v>
      </c>
      <c r="L51" s="94" t="str">
        <f t="shared" si="0"/>
        <v>2013</v>
      </c>
      <c r="M51" s="70">
        <v>43371</v>
      </c>
      <c r="N51" s="69" t="s">
        <v>408</v>
      </c>
      <c r="O51" s="69" t="s">
        <v>1188</v>
      </c>
      <c r="P51" s="70">
        <v>43371</v>
      </c>
      <c r="Q51" s="69" t="s">
        <v>409</v>
      </c>
      <c r="R51" s="69" t="s">
        <v>424</v>
      </c>
      <c r="S51" s="69" t="s">
        <v>290</v>
      </c>
      <c r="T51" s="69" t="s">
        <v>411</v>
      </c>
      <c r="U51" s="69" t="s">
        <v>1147</v>
      </c>
      <c r="V51" s="69" t="s">
        <v>412</v>
      </c>
      <c r="W51" s="69">
        <v>87297982000103</v>
      </c>
      <c r="X51" s="69"/>
      <c r="Y51" s="69" t="s">
        <v>651</v>
      </c>
      <c r="Z51" s="69" t="s">
        <v>1189</v>
      </c>
      <c r="AA51" s="69" t="s">
        <v>653</v>
      </c>
      <c r="AB51" s="69" t="s">
        <v>654</v>
      </c>
      <c r="AC51" s="69" t="s">
        <v>1190</v>
      </c>
      <c r="AD51" s="69" t="s">
        <v>1191</v>
      </c>
      <c r="AE51" s="69">
        <v>95900000</v>
      </c>
      <c r="AF51" s="69" t="s">
        <v>657</v>
      </c>
      <c r="AG51" s="69"/>
      <c r="AH51" s="69">
        <v>242</v>
      </c>
      <c r="AI51" s="69" t="s">
        <v>421</v>
      </c>
      <c r="AJ51" s="69"/>
      <c r="AK51" s="69" t="s">
        <v>195</v>
      </c>
      <c r="AL51" s="69" t="s">
        <v>427</v>
      </c>
      <c r="AM51" s="69">
        <v>11032015</v>
      </c>
      <c r="AN51" s="71">
        <v>42373</v>
      </c>
      <c r="AO51" s="69" t="s">
        <v>1192</v>
      </c>
      <c r="AP51" s="71">
        <v>42424</v>
      </c>
      <c r="AQ51" s="69">
        <v>954</v>
      </c>
      <c r="AR51" s="71">
        <v>43378</v>
      </c>
      <c r="AS51" s="69" t="s">
        <v>1193</v>
      </c>
      <c r="AT51" s="69">
        <v>1802473.77</v>
      </c>
      <c r="AU51" s="71">
        <v>43266</v>
      </c>
      <c r="AV51" s="69" t="s">
        <v>457</v>
      </c>
      <c r="AW51" s="69"/>
      <c r="AX51" s="151">
        <v>1135607.6000000001</v>
      </c>
      <c r="AY51" s="72">
        <v>6.3002725258236403E+17</v>
      </c>
      <c r="AZ51" s="69">
        <v>1</v>
      </c>
      <c r="BA51" s="69">
        <v>139</v>
      </c>
      <c r="BB51" s="69">
        <v>713570</v>
      </c>
      <c r="BC51" s="71">
        <v>43251</v>
      </c>
      <c r="BD51" s="69" t="s">
        <v>988</v>
      </c>
      <c r="BE51" s="69" t="s">
        <v>988</v>
      </c>
      <c r="BF51" s="69" t="s">
        <v>988</v>
      </c>
      <c r="BG51" s="69" t="s">
        <v>988</v>
      </c>
      <c r="BH51" s="73">
        <v>0</v>
      </c>
    </row>
    <row r="52" spans="1:60">
      <c r="A52" s="68">
        <v>1017501</v>
      </c>
      <c r="B52" s="69" t="s">
        <v>1194</v>
      </c>
      <c r="C52" s="69" t="s">
        <v>22</v>
      </c>
      <c r="D52" s="79" t="s">
        <v>64</v>
      </c>
      <c r="E52" s="69" t="s">
        <v>195</v>
      </c>
      <c r="F52" s="69" t="s">
        <v>146</v>
      </c>
      <c r="G52" s="69" t="s">
        <v>60</v>
      </c>
      <c r="H52" s="69">
        <v>95900000</v>
      </c>
      <c r="I52" s="69" t="s">
        <v>658</v>
      </c>
      <c r="J52" s="69" t="s">
        <v>1195</v>
      </c>
      <c r="K52" s="69" t="s">
        <v>200</v>
      </c>
      <c r="L52" s="94" t="str">
        <f t="shared" si="0"/>
        <v>2014</v>
      </c>
      <c r="M52" s="70">
        <v>43374</v>
      </c>
      <c r="N52" s="69" t="s">
        <v>408</v>
      </c>
      <c r="O52" s="69" t="s">
        <v>988</v>
      </c>
      <c r="P52" s="69"/>
      <c r="Q52" s="69" t="s">
        <v>409</v>
      </c>
      <c r="R52" s="69" t="s">
        <v>424</v>
      </c>
      <c r="S52" s="69"/>
      <c r="T52" s="69" t="s">
        <v>411</v>
      </c>
      <c r="U52" s="69" t="s">
        <v>1141</v>
      </c>
      <c r="V52" s="69" t="s">
        <v>412</v>
      </c>
      <c r="W52" s="69">
        <v>87297982000103</v>
      </c>
      <c r="X52" s="69"/>
      <c r="Y52" s="69" t="s">
        <v>651</v>
      </c>
      <c r="Z52" s="69" t="s">
        <v>1189</v>
      </c>
      <c r="AA52" s="69" t="s">
        <v>653</v>
      </c>
      <c r="AB52" s="69" t="s">
        <v>654</v>
      </c>
      <c r="AC52" s="69" t="s">
        <v>1190</v>
      </c>
      <c r="AD52" s="69" t="s">
        <v>1191</v>
      </c>
      <c r="AE52" s="69">
        <v>95900000</v>
      </c>
      <c r="AF52" s="69" t="s">
        <v>657</v>
      </c>
      <c r="AG52" s="69"/>
      <c r="AH52" s="69">
        <v>242</v>
      </c>
      <c r="AI52" s="69" t="s">
        <v>421</v>
      </c>
      <c r="AJ52" s="69"/>
      <c r="AK52" s="69" t="s">
        <v>195</v>
      </c>
      <c r="AL52" s="69"/>
      <c r="AM52" s="69"/>
      <c r="AN52" s="69"/>
      <c r="AO52" s="69"/>
      <c r="AP52" s="71">
        <v>41831</v>
      </c>
      <c r="AQ52" s="69"/>
      <c r="AR52" s="69"/>
      <c r="AS52" s="69"/>
      <c r="AT52" s="69">
        <v>2447238.48</v>
      </c>
      <c r="AU52" s="69"/>
      <c r="AV52" s="69"/>
      <c r="AW52" s="69"/>
      <c r="AX52" s="151"/>
      <c r="AY52" s="69"/>
      <c r="AZ52" s="69">
        <v>1</v>
      </c>
      <c r="BA52" s="69">
        <v>139</v>
      </c>
      <c r="BB52" s="69">
        <v>713554</v>
      </c>
      <c r="BC52" s="71">
        <v>43251</v>
      </c>
      <c r="BD52" s="69" t="s">
        <v>988</v>
      </c>
      <c r="BE52" s="69" t="s">
        <v>988</v>
      </c>
      <c r="BF52" s="69" t="s">
        <v>988</v>
      </c>
      <c r="BG52" s="69" t="s">
        <v>988</v>
      </c>
      <c r="BH52" s="73">
        <v>0</v>
      </c>
    </row>
    <row r="53" spans="1:60">
      <c r="A53" s="68">
        <v>24448</v>
      </c>
      <c r="B53" s="69" t="s">
        <v>991</v>
      </c>
      <c r="C53" s="69" t="s">
        <v>82</v>
      </c>
      <c r="D53" s="79" t="s">
        <v>64</v>
      </c>
      <c r="E53" s="69" t="s">
        <v>201</v>
      </c>
      <c r="F53" s="69" t="s">
        <v>202</v>
      </c>
      <c r="G53" s="69" t="s">
        <v>60</v>
      </c>
      <c r="H53" s="69">
        <v>13480000</v>
      </c>
      <c r="I53" s="69" t="s">
        <v>660</v>
      </c>
      <c r="J53" s="69" t="s">
        <v>1196</v>
      </c>
      <c r="K53" s="69" t="s">
        <v>203</v>
      </c>
      <c r="L53" s="94" t="str">
        <f t="shared" si="0"/>
        <v>2013</v>
      </c>
      <c r="M53" s="70">
        <v>43424</v>
      </c>
      <c r="N53" s="69" t="s">
        <v>408</v>
      </c>
      <c r="O53" s="69" t="s">
        <v>988</v>
      </c>
      <c r="P53" s="69"/>
      <c r="Q53" s="69" t="s">
        <v>409</v>
      </c>
      <c r="R53" s="69" t="s">
        <v>424</v>
      </c>
      <c r="S53" s="69" t="s">
        <v>290</v>
      </c>
      <c r="T53" s="69" t="s">
        <v>411</v>
      </c>
      <c r="U53" s="69" t="s">
        <v>1197</v>
      </c>
      <c r="V53" s="69" t="s">
        <v>412</v>
      </c>
      <c r="W53" s="69">
        <v>45132495000140</v>
      </c>
      <c r="X53" s="69"/>
      <c r="Y53" s="69" t="s">
        <v>662</v>
      </c>
      <c r="Z53" s="69" t="s">
        <v>1198</v>
      </c>
      <c r="AA53" s="69" t="s">
        <v>664</v>
      </c>
      <c r="AB53" s="69" t="s">
        <v>654</v>
      </c>
      <c r="AC53" s="69" t="s">
        <v>1199</v>
      </c>
      <c r="AD53" s="69" t="s">
        <v>1200</v>
      </c>
      <c r="AE53" s="69">
        <v>13480074</v>
      </c>
      <c r="AF53" s="69" t="s">
        <v>667</v>
      </c>
      <c r="AG53" s="69" t="s">
        <v>573</v>
      </c>
      <c r="AH53" s="69">
        <v>179</v>
      </c>
      <c r="AI53" s="69" t="s">
        <v>573</v>
      </c>
      <c r="AJ53" s="69"/>
      <c r="AK53" s="69" t="s">
        <v>201</v>
      </c>
      <c r="AL53" s="69"/>
      <c r="AM53" s="69"/>
      <c r="AN53" s="69"/>
      <c r="AO53" s="69"/>
      <c r="AP53" s="71">
        <v>41614</v>
      </c>
      <c r="AQ53" s="69"/>
      <c r="AR53" s="69"/>
      <c r="AS53" s="69" t="s">
        <v>988</v>
      </c>
      <c r="AT53" s="69">
        <v>1979860.84</v>
      </c>
      <c r="AU53" s="69"/>
      <c r="AV53" s="69"/>
      <c r="AW53" s="69"/>
      <c r="AX53" s="151">
        <v>361950.07</v>
      </c>
      <c r="AY53" s="72">
        <v>1.8281591445762202E+17</v>
      </c>
      <c r="AZ53" s="69">
        <v>1</v>
      </c>
      <c r="BA53" s="69">
        <v>216</v>
      </c>
      <c r="BB53" s="69" t="s">
        <v>668</v>
      </c>
      <c r="BC53" s="71">
        <v>43251</v>
      </c>
      <c r="BD53" s="69" t="s">
        <v>988</v>
      </c>
      <c r="BE53" s="69" t="s">
        <v>1201</v>
      </c>
      <c r="BF53" s="69" t="s">
        <v>988</v>
      </c>
      <c r="BG53" s="69" t="s">
        <v>988</v>
      </c>
      <c r="BH53" s="73">
        <v>1209533.3700000001</v>
      </c>
    </row>
    <row r="54" spans="1:60">
      <c r="A54" s="68">
        <v>24449</v>
      </c>
      <c r="B54" s="69" t="s">
        <v>1006</v>
      </c>
      <c r="C54" s="69" t="s">
        <v>22</v>
      </c>
      <c r="D54" s="79" t="s">
        <v>67</v>
      </c>
      <c r="E54" s="69" t="s">
        <v>201</v>
      </c>
      <c r="F54" s="69" t="s">
        <v>202</v>
      </c>
      <c r="G54" s="69" t="s">
        <v>60</v>
      </c>
      <c r="H54" s="69">
        <v>13480000</v>
      </c>
      <c r="I54" s="69" t="s">
        <v>1202</v>
      </c>
      <c r="J54" s="69" t="s">
        <v>670</v>
      </c>
      <c r="K54" s="69" t="s">
        <v>203</v>
      </c>
      <c r="L54" s="94" t="str">
        <f t="shared" si="0"/>
        <v>2013</v>
      </c>
      <c r="M54" s="70">
        <v>43424</v>
      </c>
      <c r="N54" s="69" t="s">
        <v>408</v>
      </c>
      <c r="O54" s="69" t="s">
        <v>1203</v>
      </c>
      <c r="P54" s="69"/>
      <c r="Q54" s="69" t="s">
        <v>409</v>
      </c>
      <c r="R54" s="69" t="s">
        <v>546</v>
      </c>
      <c r="S54" s="69" t="s">
        <v>290</v>
      </c>
      <c r="T54" s="69" t="s">
        <v>411</v>
      </c>
      <c r="U54" s="69" t="s">
        <v>1204</v>
      </c>
      <c r="V54" s="69" t="s">
        <v>412</v>
      </c>
      <c r="W54" s="69">
        <v>45132495000140</v>
      </c>
      <c r="X54" s="69"/>
      <c r="Y54" s="69" t="s">
        <v>662</v>
      </c>
      <c r="Z54" s="69" t="s">
        <v>1198</v>
      </c>
      <c r="AA54" s="69" t="s">
        <v>664</v>
      </c>
      <c r="AB54" s="69" t="s">
        <v>654</v>
      </c>
      <c r="AC54" s="69" t="s">
        <v>1199</v>
      </c>
      <c r="AD54" s="69" t="s">
        <v>1200</v>
      </c>
      <c r="AE54" s="69">
        <v>13480074</v>
      </c>
      <c r="AF54" s="69" t="s">
        <v>667</v>
      </c>
      <c r="AG54" s="69" t="s">
        <v>573</v>
      </c>
      <c r="AH54" s="69">
        <v>179</v>
      </c>
      <c r="AI54" s="69" t="s">
        <v>573</v>
      </c>
      <c r="AJ54" s="69"/>
      <c r="AK54" s="69" t="s">
        <v>201</v>
      </c>
      <c r="AL54" s="69"/>
      <c r="AM54" s="69"/>
      <c r="AN54" s="69"/>
      <c r="AO54" s="69"/>
      <c r="AP54" s="69"/>
      <c r="AQ54" s="69"/>
      <c r="AR54" s="69"/>
      <c r="AS54" s="69"/>
      <c r="AT54" s="69">
        <v>1519838.54</v>
      </c>
      <c r="AU54" s="69"/>
      <c r="AV54" s="69"/>
      <c r="AW54" s="69"/>
      <c r="AX54" s="151">
        <v>955917.1</v>
      </c>
      <c r="AY54" s="72">
        <v>6.2895963935747994E+17</v>
      </c>
      <c r="AZ54" s="69">
        <v>1</v>
      </c>
      <c r="BA54" s="69">
        <v>216</v>
      </c>
      <c r="BB54" s="69" t="s">
        <v>668</v>
      </c>
      <c r="BC54" s="71">
        <v>43251</v>
      </c>
      <c r="BD54" s="69" t="s">
        <v>988</v>
      </c>
      <c r="BE54" s="69" t="s">
        <v>1201</v>
      </c>
      <c r="BF54" s="69" t="s">
        <v>988</v>
      </c>
      <c r="BG54" s="69" t="s">
        <v>988</v>
      </c>
      <c r="BH54" s="73">
        <v>1209533.3700000001</v>
      </c>
    </row>
    <row r="55" spans="1:60">
      <c r="A55" s="68">
        <v>24450</v>
      </c>
      <c r="B55" s="69" t="s">
        <v>1205</v>
      </c>
      <c r="C55" s="69" t="s">
        <v>82</v>
      </c>
      <c r="D55" s="79" t="s">
        <v>64</v>
      </c>
      <c r="E55" s="69" t="s">
        <v>201</v>
      </c>
      <c r="F55" s="69" t="s">
        <v>202</v>
      </c>
      <c r="G55" s="69" t="s">
        <v>60</v>
      </c>
      <c r="H55" s="69">
        <v>13481527</v>
      </c>
      <c r="I55" s="69" t="s">
        <v>1206</v>
      </c>
      <c r="J55" s="69" t="s">
        <v>1207</v>
      </c>
      <c r="K55" s="69" t="s">
        <v>203</v>
      </c>
      <c r="L55" s="94" t="str">
        <f t="shared" si="0"/>
        <v>2013</v>
      </c>
      <c r="M55" s="70">
        <v>43424</v>
      </c>
      <c r="N55" s="69" t="s">
        <v>408</v>
      </c>
      <c r="O55" s="69" t="s">
        <v>988</v>
      </c>
      <c r="P55" s="69"/>
      <c r="Q55" s="69" t="s">
        <v>409</v>
      </c>
      <c r="R55" s="69" t="s">
        <v>866</v>
      </c>
      <c r="S55" s="69" t="s">
        <v>290</v>
      </c>
      <c r="T55" s="69" t="s">
        <v>411</v>
      </c>
      <c r="U55" s="69" t="s">
        <v>1208</v>
      </c>
      <c r="V55" s="69" t="s">
        <v>412</v>
      </c>
      <c r="W55" s="69">
        <v>45132495000140</v>
      </c>
      <c r="X55" s="69"/>
      <c r="Y55" s="69" t="s">
        <v>662</v>
      </c>
      <c r="Z55" s="69" t="s">
        <v>1198</v>
      </c>
      <c r="AA55" s="69" t="s">
        <v>664</v>
      </c>
      <c r="AB55" s="69" t="s">
        <v>654</v>
      </c>
      <c r="AC55" s="69" t="s">
        <v>1199</v>
      </c>
      <c r="AD55" s="69" t="s">
        <v>1200</v>
      </c>
      <c r="AE55" s="69">
        <v>13480074</v>
      </c>
      <c r="AF55" s="69" t="s">
        <v>667</v>
      </c>
      <c r="AG55" s="69" t="s">
        <v>573</v>
      </c>
      <c r="AH55" s="69">
        <v>179</v>
      </c>
      <c r="AI55" s="69" t="s">
        <v>573</v>
      </c>
      <c r="AJ55" s="69"/>
      <c r="AK55" s="69" t="s">
        <v>201</v>
      </c>
      <c r="AL55" s="69"/>
      <c r="AM55" s="69"/>
      <c r="AN55" s="69"/>
      <c r="AO55" s="69"/>
      <c r="AP55" s="69"/>
      <c r="AQ55" s="69"/>
      <c r="AR55" s="69"/>
      <c r="AS55" s="69" t="s">
        <v>988</v>
      </c>
      <c r="AT55" s="69">
        <v>4192331.79</v>
      </c>
      <c r="AU55" s="69"/>
      <c r="AV55" s="69"/>
      <c r="AW55" s="69"/>
      <c r="AX55" s="151">
        <v>728896.29</v>
      </c>
      <c r="AY55" s="72">
        <v>1.7386417070772899E+17</v>
      </c>
      <c r="AZ55" s="69">
        <v>1</v>
      </c>
      <c r="BA55" s="69">
        <v>216</v>
      </c>
      <c r="BB55" s="69" t="s">
        <v>668</v>
      </c>
      <c r="BC55" s="71">
        <v>43251</v>
      </c>
      <c r="BD55" s="69" t="s">
        <v>988</v>
      </c>
      <c r="BE55" s="69" t="s">
        <v>1201</v>
      </c>
      <c r="BF55" s="69" t="s">
        <v>988</v>
      </c>
      <c r="BG55" s="69" t="s">
        <v>988</v>
      </c>
      <c r="BH55" s="73">
        <v>1209533.3700000001</v>
      </c>
    </row>
    <row r="56" spans="1:60">
      <c r="A56" s="68">
        <v>24451</v>
      </c>
      <c r="B56" s="69" t="s">
        <v>1002</v>
      </c>
      <c r="C56" s="69" t="s">
        <v>169</v>
      </c>
      <c r="D56" s="79" t="s">
        <v>64</v>
      </c>
      <c r="E56" s="69" t="s">
        <v>201</v>
      </c>
      <c r="F56" s="69" t="s">
        <v>202</v>
      </c>
      <c r="G56" s="69" t="s">
        <v>60</v>
      </c>
      <c r="H56" s="69">
        <v>13483285</v>
      </c>
      <c r="I56" s="69" t="s">
        <v>675</v>
      </c>
      <c r="J56" s="69" t="s">
        <v>1209</v>
      </c>
      <c r="K56" s="69" t="s">
        <v>203</v>
      </c>
      <c r="L56" s="94" t="str">
        <f t="shared" si="0"/>
        <v>2013</v>
      </c>
      <c r="M56" s="70">
        <v>43424</v>
      </c>
      <c r="N56" s="69" t="s">
        <v>408</v>
      </c>
      <c r="O56" s="69" t="s">
        <v>988</v>
      </c>
      <c r="P56" s="69"/>
      <c r="Q56" s="69" t="s">
        <v>409</v>
      </c>
      <c r="R56" s="69" t="s">
        <v>546</v>
      </c>
      <c r="S56" s="69" t="s">
        <v>290</v>
      </c>
      <c r="T56" s="69" t="s">
        <v>411</v>
      </c>
      <c r="U56" s="69" t="s">
        <v>1210</v>
      </c>
      <c r="V56" s="69" t="s">
        <v>412</v>
      </c>
      <c r="W56" s="69">
        <v>45132495000140</v>
      </c>
      <c r="X56" s="69"/>
      <c r="Y56" s="69" t="s">
        <v>662</v>
      </c>
      <c r="Z56" s="69" t="s">
        <v>1198</v>
      </c>
      <c r="AA56" s="69" t="s">
        <v>664</v>
      </c>
      <c r="AB56" s="69" t="s">
        <v>654</v>
      </c>
      <c r="AC56" s="69" t="s">
        <v>1199</v>
      </c>
      <c r="AD56" s="69" t="s">
        <v>1200</v>
      </c>
      <c r="AE56" s="69">
        <v>13480074</v>
      </c>
      <c r="AF56" s="69" t="s">
        <v>667</v>
      </c>
      <c r="AG56" s="69" t="s">
        <v>573</v>
      </c>
      <c r="AH56" s="69">
        <v>179</v>
      </c>
      <c r="AI56" s="69" t="s">
        <v>573</v>
      </c>
      <c r="AJ56" s="69"/>
      <c r="AK56" s="69" t="s">
        <v>201</v>
      </c>
      <c r="AL56" s="69"/>
      <c r="AM56" s="69"/>
      <c r="AN56" s="69"/>
      <c r="AO56" s="69"/>
      <c r="AP56" s="71">
        <v>41614</v>
      </c>
      <c r="AQ56" s="69"/>
      <c r="AR56" s="69"/>
      <c r="AS56" s="69" t="s">
        <v>988</v>
      </c>
      <c r="AT56" s="69">
        <v>1524836.04</v>
      </c>
      <c r="AU56" s="69"/>
      <c r="AV56" s="69"/>
      <c r="AW56" s="69"/>
      <c r="AX56" s="151"/>
      <c r="AY56" s="69"/>
      <c r="AZ56" s="69">
        <v>1</v>
      </c>
      <c r="BA56" s="69">
        <v>216</v>
      </c>
      <c r="BB56" s="69" t="s">
        <v>668</v>
      </c>
      <c r="BC56" s="71">
        <v>43251</v>
      </c>
      <c r="BD56" s="69" t="s">
        <v>988</v>
      </c>
      <c r="BE56" s="69" t="s">
        <v>1201</v>
      </c>
      <c r="BF56" s="69" t="s">
        <v>988</v>
      </c>
      <c r="BG56" s="69" t="s">
        <v>988</v>
      </c>
      <c r="BH56" s="73">
        <v>1209533.3700000001</v>
      </c>
    </row>
    <row r="57" spans="1:60">
      <c r="A57" s="68">
        <v>1014625</v>
      </c>
      <c r="B57" s="69" t="s">
        <v>205</v>
      </c>
      <c r="C57" s="69" t="s">
        <v>137</v>
      </c>
      <c r="D57" s="79" t="s">
        <v>64</v>
      </c>
      <c r="E57" s="69" t="s">
        <v>201</v>
      </c>
      <c r="F57" s="69" t="s">
        <v>202</v>
      </c>
      <c r="G57" s="69" t="s">
        <v>60</v>
      </c>
      <c r="H57" s="69">
        <v>13487468</v>
      </c>
      <c r="I57" s="69" t="s">
        <v>677</v>
      </c>
      <c r="J57" s="69" t="s">
        <v>678</v>
      </c>
      <c r="K57" s="69" t="s">
        <v>206</v>
      </c>
      <c r="L57" s="94" t="str">
        <f t="shared" si="0"/>
        <v>2014</v>
      </c>
      <c r="M57" s="70">
        <v>43289</v>
      </c>
      <c r="N57" s="69" t="s">
        <v>408</v>
      </c>
      <c r="O57" s="69" t="s">
        <v>988</v>
      </c>
      <c r="P57" s="69"/>
      <c r="Q57" s="69" t="s">
        <v>409</v>
      </c>
      <c r="R57" s="69" t="s">
        <v>546</v>
      </c>
      <c r="S57" s="69" t="s">
        <v>290</v>
      </c>
      <c r="T57" s="69" t="s">
        <v>411</v>
      </c>
      <c r="U57" s="69" t="s">
        <v>1211</v>
      </c>
      <c r="V57" s="69" t="s">
        <v>412</v>
      </c>
      <c r="W57" s="69">
        <v>45132495000140</v>
      </c>
      <c r="X57" s="69"/>
      <c r="Y57" s="69" t="s">
        <v>662</v>
      </c>
      <c r="Z57" s="69" t="s">
        <v>1198</v>
      </c>
      <c r="AA57" s="69" t="s">
        <v>664</v>
      </c>
      <c r="AB57" s="69" t="s">
        <v>654</v>
      </c>
      <c r="AC57" s="69" t="s">
        <v>1199</v>
      </c>
      <c r="AD57" s="69" t="s">
        <v>1200</v>
      </c>
      <c r="AE57" s="69">
        <v>13480074</v>
      </c>
      <c r="AF57" s="69" t="s">
        <v>667</v>
      </c>
      <c r="AG57" s="69" t="s">
        <v>573</v>
      </c>
      <c r="AH57" s="69">
        <v>179</v>
      </c>
      <c r="AI57" s="69" t="s">
        <v>573</v>
      </c>
      <c r="AJ57" s="69"/>
      <c r="AK57" s="69" t="s">
        <v>201</v>
      </c>
      <c r="AL57" s="69"/>
      <c r="AM57" s="69"/>
      <c r="AN57" s="69"/>
      <c r="AO57" s="69"/>
      <c r="AP57" s="69"/>
      <c r="AQ57" s="69"/>
      <c r="AR57" s="69"/>
      <c r="AS57" s="69"/>
      <c r="AT57" s="69">
        <v>1516338.54</v>
      </c>
      <c r="AU57" s="69"/>
      <c r="AV57" s="69"/>
      <c r="AW57" s="69"/>
      <c r="AX57" s="151">
        <v>379084.64</v>
      </c>
      <c r="AY57" s="72">
        <v>1.9147034594699299E+17</v>
      </c>
      <c r="AZ57" s="69">
        <v>1</v>
      </c>
      <c r="BA57" s="69">
        <v>6538</v>
      </c>
      <c r="BB57" s="69">
        <v>89729</v>
      </c>
      <c r="BC57" s="71">
        <v>43251</v>
      </c>
      <c r="BD57" s="69" t="s">
        <v>988</v>
      </c>
      <c r="BE57" s="69" t="s">
        <v>1212</v>
      </c>
      <c r="BF57" s="69" t="s">
        <v>988</v>
      </c>
      <c r="BG57" s="69" t="s">
        <v>988</v>
      </c>
      <c r="BH57" s="73">
        <v>479994.02</v>
      </c>
    </row>
    <row r="58" spans="1:60">
      <c r="A58" s="68">
        <v>17386</v>
      </c>
      <c r="B58" s="69" t="s">
        <v>208</v>
      </c>
      <c r="C58" s="69" t="s">
        <v>67</v>
      </c>
      <c r="D58" s="80" t="s">
        <v>67</v>
      </c>
      <c r="E58" s="69" t="s">
        <v>207</v>
      </c>
      <c r="F58" s="69" t="s">
        <v>86</v>
      </c>
      <c r="G58" s="69" t="s">
        <v>60</v>
      </c>
      <c r="H58" s="69">
        <v>88130900</v>
      </c>
      <c r="I58" s="69" t="s">
        <v>679</v>
      </c>
      <c r="J58" s="69"/>
      <c r="K58" s="69" t="s">
        <v>210</v>
      </c>
      <c r="L58" s="94" t="str">
        <f t="shared" si="0"/>
        <v>2011</v>
      </c>
      <c r="M58" s="69"/>
      <c r="N58" s="69" t="s">
        <v>408</v>
      </c>
      <c r="O58" s="69" t="s">
        <v>1213</v>
      </c>
      <c r="P58" s="70">
        <v>43465</v>
      </c>
      <c r="Q58" s="69" t="s">
        <v>409</v>
      </c>
      <c r="R58" s="69" t="s">
        <v>680</v>
      </c>
      <c r="S58" s="69" t="s">
        <v>290</v>
      </c>
      <c r="T58" s="69" t="s">
        <v>411</v>
      </c>
      <c r="U58" s="69" t="s">
        <v>1214</v>
      </c>
      <c r="V58" s="69" t="s">
        <v>412</v>
      </c>
      <c r="W58" s="69">
        <v>82892316000108</v>
      </c>
      <c r="X58" s="69"/>
      <c r="Y58" s="69" t="s">
        <v>681</v>
      </c>
      <c r="Z58" s="69" t="s">
        <v>1215</v>
      </c>
      <c r="AA58" s="69" t="s">
        <v>683</v>
      </c>
      <c r="AB58" s="69" t="s">
        <v>684</v>
      </c>
      <c r="AC58" s="69" t="s">
        <v>685</v>
      </c>
      <c r="AD58" s="69" t="s">
        <v>1216</v>
      </c>
      <c r="AE58" s="69">
        <v>88130000</v>
      </c>
      <c r="AF58" s="69" t="s">
        <v>687</v>
      </c>
      <c r="AG58" s="69" t="s">
        <v>688</v>
      </c>
      <c r="AH58" s="69">
        <v>280</v>
      </c>
      <c r="AI58" s="69" t="s">
        <v>1217</v>
      </c>
      <c r="AJ58" s="69"/>
      <c r="AK58" s="69" t="s">
        <v>207</v>
      </c>
      <c r="AL58" s="69" t="s">
        <v>494</v>
      </c>
      <c r="AM58" s="69">
        <v>146</v>
      </c>
      <c r="AN58" s="71">
        <v>41199</v>
      </c>
      <c r="AO58" s="69" t="s">
        <v>211</v>
      </c>
      <c r="AP58" s="71">
        <v>41205</v>
      </c>
      <c r="AQ58" s="69">
        <v>765</v>
      </c>
      <c r="AR58" s="71">
        <v>41970</v>
      </c>
      <c r="AS58" s="69" t="s">
        <v>1218</v>
      </c>
      <c r="AT58" s="69">
        <v>524690.43999999994</v>
      </c>
      <c r="AU58" s="71">
        <v>43203</v>
      </c>
      <c r="AV58" s="69" t="s">
        <v>429</v>
      </c>
      <c r="AW58" s="69" t="s">
        <v>1219</v>
      </c>
      <c r="AX58" s="151"/>
      <c r="AY58" s="69"/>
      <c r="AZ58" s="69">
        <v>1</v>
      </c>
      <c r="BA58" s="69">
        <v>2383</v>
      </c>
      <c r="BB58" s="69">
        <v>269573</v>
      </c>
      <c r="BC58" s="71">
        <v>43251</v>
      </c>
      <c r="BD58" s="69" t="s">
        <v>988</v>
      </c>
      <c r="BE58" s="69" t="s">
        <v>1220</v>
      </c>
      <c r="BF58" s="69" t="s">
        <v>988</v>
      </c>
      <c r="BG58" s="69" t="s">
        <v>988</v>
      </c>
      <c r="BH58" s="73">
        <v>14464.23</v>
      </c>
    </row>
    <row r="59" spans="1:60">
      <c r="A59" s="68">
        <v>25132</v>
      </c>
      <c r="B59" s="69" t="s">
        <v>212</v>
      </c>
      <c r="C59" s="69" t="s">
        <v>89</v>
      </c>
      <c r="D59" s="80" t="s">
        <v>89</v>
      </c>
      <c r="E59" s="69" t="s">
        <v>207</v>
      </c>
      <c r="F59" s="69" t="s">
        <v>86</v>
      </c>
      <c r="G59" s="69" t="s">
        <v>60</v>
      </c>
      <c r="H59" s="69">
        <v>88133250</v>
      </c>
      <c r="I59" s="69" t="s">
        <v>694</v>
      </c>
      <c r="J59" s="69" t="s">
        <v>695</v>
      </c>
      <c r="K59" s="69" t="s">
        <v>214</v>
      </c>
      <c r="L59" s="94" t="str">
        <f t="shared" si="0"/>
        <v>2012</v>
      </c>
      <c r="M59" s="70">
        <v>43312</v>
      </c>
      <c r="N59" s="69" t="s">
        <v>408</v>
      </c>
      <c r="O59" s="69" t="s">
        <v>1063</v>
      </c>
      <c r="P59" s="70">
        <v>43203</v>
      </c>
      <c r="Q59" s="69" t="s">
        <v>409</v>
      </c>
      <c r="R59" s="69" t="s">
        <v>680</v>
      </c>
      <c r="S59" s="69" t="s">
        <v>290</v>
      </c>
      <c r="T59" s="69" t="s">
        <v>411</v>
      </c>
      <c r="U59" s="69" t="s">
        <v>1221</v>
      </c>
      <c r="V59" s="69" t="s">
        <v>412</v>
      </c>
      <c r="W59" s="69">
        <v>82892316000108</v>
      </c>
      <c r="X59" s="69"/>
      <c r="Y59" s="69" t="s">
        <v>681</v>
      </c>
      <c r="Z59" s="69" t="s">
        <v>1215</v>
      </c>
      <c r="AA59" s="69" t="s">
        <v>683</v>
      </c>
      <c r="AB59" s="69" t="s">
        <v>684</v>
      </c>
      <c r="AC59" s="69" t="s">
        <v>685</v>
      </c>
      <c r="AD59" s="69" t="s">
        <v>1216</v>
      </c>
      <c r="AE59" s="69">
        <v>88130000</v>
      </c>
      <c r="AF59" s="69" t="s">
        <v>687</v>
      </c>
      <c r="AG59" s="69" t="s">
        <v>688</v>
      </c>
      <c r="AH59" s="69">
        <v>280</v>
      </c>
      <c r="AI59" s="69" t="s">
        <v>1217</v>
      </c>
      <c r="AJ59" s="69"/>
      <c r="AK59" s="69" t="s">
        <v>207</v>
      </c>
      <c r="AL59" s="69" t="s">
        <v>427</v>
      </c>
      <c r="AM59" s="69" t="s">
        <v>1222</v>
      </c>
      <c r="AN59" s="71">
        <v>41603</v>
      </c>
      <c r="AO59" s="69" t="s">
        <v>215</v>
      </c>
      <c r="AP59" s="71">
        <v>41641</v>
      </c>
      <c r="AQ59" s="69">
        <v>765</v>
      </c>
      <c r="AR59" s="71">
        <v>42406</v>
      </c>
      <c r="AS59" s="69" t="s">
        <v>1223</v>
      </c>
      <c r="AT59" s="69">
        <v>626742.78</v>
      </c>
      <c r="AU59" s="71">
        <v>43203</v>
      </c>
      <c r="AV59" s="69" t="s">
        <v>1065</v>
      </c>
      <c r="AW59" s="69"/>
      <c r="AX59" s="151">
        <v>313371.39</v>
      </c>
      <c r="AY59" s="72">
        <v>5.0000000063822003E+17</v>
      </c>
      <c r="AZ59" s="69">
        <v>1</v>
      </c>
      <c r="BA59" s="69">
        <v>2383</v>
      </c>
      <c r="BB59" s="69">
        <v>282677</v>
      </c>
      <c r="BC59" s="71">
        <v>43251</v>
      </c>
      <c r="BD59" s="69" t="s">
        <v>988</v>
      </c>
      <c r="BE59" s="69" t="s">
        <v>1224</v>
      </c>
      <c r="BF59" s="69" t="s">
        <v>988</v>
      </c>
      <c r="BG59" s="69" t="s">
        <v>988</v>
      </c>
      <c r="BH59" s="73">
        <v>3337.18</v>
      </c>
    </row>
    <row r="60" spans="1:60">
      <c r="A60" s="68">
        <v>25133</v>
      </c>
      <c r="B60" s="69" t="s">
        <v>216</v>
      </c>
      <c r="C60" s="69" t="s">
        <v>89</v>
      </c>
      <c r="D60" s="80" t="s">
        <v>89</v>
      </c>
      <c r="E60" s="69" t="s">
        <v>207</v>
      </c>
      <c r="F60" s="69" t="s">
        <v>86</v>
      </c>
      <c r="G60" s="69" t="s">
        <v>60</v>
      </c>
      <c r="H60" s="69">
        <v>88136520</v>
      </c>
      <c r="I60" s="69" t="s">
        <v>699</v>
      </c>
      <c r="J60" s="69" t="s">
        <v>1225</v>
      </c>
      <c r="K60" s="69" t="s">
        <v>214</v>
      </c>
      <c r="L60" s="94" t="str">
        <f t="shared" si="0"/>
        <v>2012</v>
      </c>
      <c r="M60" s="70">
        <v>43312</v>
      </c>
      <c r="N60" s="69" t="s">
        <v>408</v>
      </c>
      <c r="O60" s="69" t="s">
        <v>1063</v>
      </c>
      <c r="P60" s="70">
        <v>43203</v>
      </c>
      <c r="Q60" s="69" t="s">
        <v>409</v>
      </c>
      <c r="R60" s="69" t="s">
        <v>680</v>
      </c>
      <c r="S60" s="69" t="s">
        <v>290</v>
      </c>
      <c r="T60" s="69" t="s">
        <v>411</v>
      </c>
      <c r="U60" s="69" t="s">
        <v>1221</v>
      </c>
      <c r="V60" s="69" t="s">
        <v>412</v>
      </c>
      <c r="W60" s="69">
        <v>82892316000108</v>
      </c>
      <c r="X60" s="69"/>
      <c r="Y60" s="69" t="s">
        <v>681</v>
      </c>
      <c r="Z60" s="69" t="s">
        <v>1215</v>
      </c>
      <c r="AA60" s="69" t="s">
        <v>683</v>
      </c>
      <c r="AB60" s="69" t="s">
        <v>684</v>
      </c>
      <c r="AC60" s="69" t="s">
        <v>685</v>
      </c>
      <c r="AD60" s="69" t="s">
        <v>1216</v>
      </c>
      <c r="AE60" s="69">
        <v>88130000</v>
      </c>
      <c r="AF60" s="69" t="s">
        <v>687</v>
      </c>
      <c r="AG60" s="69" t="s">
        <v>688</v>
      </c>
      <c r="AH60" s="69">
        <v>280</v>
      </c>
      <c r="AI60" s="69" t="s">
        <v>1217</v>
      </c>
      <c r="AJ60" s="69"/>
      <c r="AK60" s="69" t="s">
        <v>207</v>
      </c>
      <c r="AL60" s="69" t="s">
        <v>427</v>
      </c>
      <c r="AM60" s="69" t="s">
        <v>1222</v>
      </c>
      <c r="AN60" s="71">
        <v>41603</v>
      </c>
      <c r="AO60" s="69" t="s">
        <v>215</v>
      </c>
      <c r="AP60" s="71">
        <v>41641</v>
      </c>
      <c r="AQ60" s="69">
        <v>765</v>
      </c>
      <c r="AR60" s="71">
        <v>42406</v>
      </c>
      <c r="AS60" s="69" t="s">
        <v>1223</v>
      </c>
      <c r="AT60" s="69">
        <v>626742.78</v>
      </c>
      <c r="AU60" s="71">
        <v>43203</v>
      </c>
      <c r="AV60" s="69" t="s">
        <v>1065</v>
      </c>
      <c r="AW60" s="69"/>
      <c r="AX60" s="151">
        <v>438719.94</v>
      </c>
      <c r="AY60" s="72">
        <v>6.9999999132020301E+17</v>
      </c>
      <c r="AZ60" s="69">
        <v>1</v>
      </c>
      <c r="BA60" s="69">
        <v>2383</v>
      </c>
      <c r="BB60" s="69">
        <v>282677</v>
      </c>
      <c r="BC60" s="71">
        <v>43251</v>
      </c>
      <c r="BD60" s="69" t="s">
        <v>988</v>
      </c>
      <c r="BE60" s="69" t="s">
        <v>1224</v>
      </c>
      <c r="BF60" s="69" t="s">
        <v>988</v>
      </c>
      <c r="BG60" s="69" t="s">
        <v>988</v>
      </c>
      <c r="BH60" s="73">
        <v>3337.18</v>
      </c>
    </row>
    <row r="61" spans="1:60">
      <c r="A61" s="68">
        <v>25134</v>
      </c>
      <c r="B61" s="69" t="s">
        <v>217</v>
      </c>
      <c r="C61" s="69" t="s">
        <v>89</v>
      </c>
      <c r="D61" s="80" t="s">
        <v>89</v>
      </c>
      <c r="E61" s="69" t="s">
        <v>207</v>
      </c>
      <c r="F61" s="69" t="s">
        <v>86</v>
      </c>
      <c r="G61" s="69" t="s">
        <v>60</v>
      </c>
      <c r="H61" s="69">
        <v>88134030</v>
      </c>
      <c r="I61" s="69" t="s">
        <v>1226</v>
      </c>
      <c r="J61" s="69" t="s">
        <v>702</v>
      </c>
      <c r="K61" s="69" t="s">
        <v>214</v>
      </c>
      <c r="L61" s="94" t="str">
        <f t="shared" si="0"/>
        <v>2012</v>
      </c>
      <c r="M61" s="70">
        <v>43312</v>
      </c>
      <c r="N61" s="69" t="s">
        <v>408</v>
      </c>
      <c r="O61" s="69" t="s">
        <v>1063</v>
      </c>
      <c r="P61" s="70">
        <v>43203</v>
      </c>
      <c r="Q61" s="69" t="s">
        <v>409</v>
      </c>
      <c r="R61" s="69" t="s">
        <v>680</v>
      </c>
      <c r="S61" s="69" t="s">
        <v>290</v>
      </c>
      <c r="T61" s="69" t="s">
        <v>411</v>
      </c>
      <c r="U61" s="69" t="s">
        <v>1221</v>
      </c>
      <c r="V61" s="69" t="s">
        <v>412</v>
      </c>
      <c r="W61" s="69">
        <v>82892316000108</v>
      </c>
      <c r="X61" s="69"/>
      <c r="Y61" s="69" t="s">
        <v>681</v>
      </c>
      <c r="Z61" s="69" t="s">
        <v>1215</v>
      </c>
      <c r="AA61" s="69" t="s">
        <v>683</v>
      </c>
      <c r="AB61" s="69" t="s">
        <v>684</v>
      </c>
      <c r="AC61" s="69" t="s">
        <v>685</v>
      </c>
      <c r="AD61" s="69" t="s">
        <v>1216</v>
      </c>
      <c r="AE61" s="69">
        <v>88130000</v>
      </c>
      <c r="AF61" s="69" t="s">
        <v>687</v>
      </c>
      <c r="AG61" s="69" t="s">
        <v>688</v>
      </c>
      <c r="AH61" s="69">
        <v>280</v>
      </c>
      <c r="AI61" s="69" t="s">
        <v>1217</v>
      </c>
      <c r="AJ61" s="69"/>
      <c r="AK61" s="69" t="s">
        <v>207</v>
      </c>
      <c r="AL61" s="69" t="s">
        <v>427</v>
      </c>
      <c r="AM61" s="69" t="s">
        <v>1227</v>
      </c>
      <c r="AN61" s="71">
        <v>41603</v>
      </c>
      <c r="AO61" s="69" t="s">
        <v>215</v>
      </c>
      <c r="AP61" s="71">
        <v>41641</v>
      </c>
      <c r="AQ61" s="69">
        <v>765</v>
      </c>
      <c r="AR61" s="71">
        <v>42406</v>
      </c>
      <c r="AS61" s="69" t="s">
        <v>1223</v>
      </c>
      <c r="AT61" s="69">
        <v>626742.78</v>
      </c>
      <c r="AU61" s="71">
        <v>43203</v>
      </c>
      <c r="AV61" s="69" t="s">
        <v>1065</v>
      </c>
      <c r="AW61" s="69"/>
      <c r="AX61" s="151">
        <v>313371.39</v>
      </c>
      <c r="AY61" s="72">
        <v>5.0000000063822003E+17</v>
      </c>
      <c r="AZ61" s="69">
        <v>1</v>
      </c>
      <c r="BA61" s="69">
        <v>2383</v>
      </c>
      <c r="BB61" s="69">
        <v>282677</v>
      </c>
      <c r="BC61" s="71">
        <v>43251</v>
      </c>
      <c r="BD61" s="69" t="s">
        <v>988</v>
      </c>
      <c r="BE61" s="69" t="s">
        <v>1224</v>
      </c>
      <c r="BF61" s="69" t="s">
        <v>988</v>
      </c>
      <c r="BG61" s="69" t="s">
        <v>988</v>
      </c>
      <c r="BH61" s="73">
        <v>3337.18</v>
      </c>
    </row>
    <row r="62" spans="1:60">
      <c r="A62" s="68">
        <v>25135</v>
      </c>
      <c r="B62" s="69" t="s">
        <v>218</v>
      </c>
      <c r="C62" s="69" t="s">
        <v>137</v>
      </c>
      <c r="D62" s="79" t="s">
        <v>64</v>
      </c>
      <c r="E62" s="69" t="s">
        <v>207</v>
      </c>
      <c r="F62" s="69" t="s">
        <v>86</v>
      </c>
      <c r="G62" s="69" t="s">
        <v>60</v>
      </c>
      <c r="H62" s="69">
        <v>88132400</v>
      </c>
      <c r="I62" s="69" t="s">
        <v>703</v>
      </c>
      <c r="J62" s="69" t="s">
        <v>1228</v>
      </c>
      <c r="K62" s="69" t="s">
        <v>214</v>
      </c>
      <c r="L62" s="94" t="str">
        <f t="shared" si="0"/>
        <v>2012</v>
      </c>
      <c r="M62" s="70">
        <v>43312</v>
      </c>
      <c r="N62" s="69" t="s">
        <v>408</v>
      </c>
      <c r="O62" s="69" t="s">
        <v>988</v>
      </c>
      <c r="P62" s="69"/>
      <c r="Q62" s="69" t="s">
        <v>409</v>
      </c>
      <c r="R62" s="69" t="s">
        <v>546</v>
      </c>
      <c r="S62" s="69" t="s">
        <v>290</v>
      </c>
      <c r="T62" s="69" t="s">
        <v>411</v>
      </c>
      <c r="U62" s="69" t="s">
        <v>1229</v>
      </c>
      <c r="V62" s="69" t="s">
        <v>412</v>
      </c>
      <c r="W62" s="69">
        <v>82892316000108</v>
      </c>
      <c r="X62" s="69"/>
      <c r="Y62" s="69" t="s">
        <v>681</v>
      </c>
      <c r="Z62" s="69" t="s">
        <v>1215</v>
      </c>
      <c r="AA62" s="69" t="s">
        <v>683</v>
      </c>
      <c r="AB62" s="69" t="s">
        <v>684</v>
      </c>
      <c r="AC62" s="69" t="s">
        <v>685</v>
      </c>
      <c r="AD62" s="69" t="s">
        <v>1216</v>
      </c>
      <c r="AE62" s="69">
        <v>88130000</v>
      </c>
      <c r="AF62" s="69" t="s">
        <v>687</v>
      </c>
      <c r="AG62" s="69" t="s">
        <v>688</v>
      </c>
      <c r="AH62" s="69">
        <v>280</v>
      </c>
      <c r="AI62" s="69" t="s">
        <v>1217</v>
      </c>
      <c r="AJ62" s="69"/>
      <c r="AK62" s="69" t="s">
        <v>207</v>
      </c>
      <c r="AL62" s="69"/>
      <c r="AM62" s="69"/>
      <c r="AN62" s="69"/>
      <c r="AO62" s="69"/>
      <c r="AP62" s="69"/>
      <c r="AQ62" s="69"/>
      <c r="AR62" s="69"/>
      <c r="AS62" s="69"/>
      <c r="AT62" s="69">
        <v>1722573.34</v>
      </c>
      <c r="AU62" s="69"/>
      <c r="AV62" s="69"/>
      <c r="AW62" s="69"/>
      <c r="AX62" s="151">
        <v>286645.45</v>
      </c>
      <c r="AY62" s="72">
        <v>1.5181813998121101E+17</v>
      </c>
      <c r="AZ62" s="69">
        <v>1</v>
      </c>
      <c r="BA62" s="69">
        <v>2383</v>
      </c>
      <c r="BB62" s="69">
        <v>282677</v>
      </c>
      <c r="BC62" s="71">
        <v>43251</v>
      </c>
      <c r="BD62" s="69" t="s">
        <v>988</v>
      </c>
      <c r="BE62" s="69" t="s">
        <v>1224</v>
      </c>
      <c r="BF62" s="69" t="s">
        <v>988</v>
      </c>
      <c r="BG62" s="69" t="s">
        <v>988</v>
      </c>
      <c r="BH62" s="73">
        <v>3337.18</v>
      </c>
    </row>
    <row r="63" spans="1:60">
      <c r="A63" s="68">
        <v>1006536</v>
      </c>
      <c r="B63" s="69" t="s">
        <v>219</v>
      </c>
      <c r="C63" s="69" t="s">
        <v>137</v>
      </c>
      <c r="D63" s="79" t="s">
        <v>64</v>
      </c>
      <c r="E63" s="69" t="s">
        <v>207</v>
      </c>
      <c r="F63" s="69" t="s">
        <v>86</v>
      </c>
      <c r="G63" s="69" t="s">
        <v>60</v>
      </c>
      <c r="H63" s="69">
        <v>88138720</v>
      </c>
      <c r="I63" s="69" t="s">
        <v>705</v>
      </c>
      <c r="J63" s="69" t="s">
        <v>1230</v>
      </c>
      <c r="K63" s="69" t="s">
        <v>220</v>
      </c>
      <c r="L63" s="94" t="str">
        <f t="shared" si="0"/>
        <v>2013</v>
      </c>
      <c r="M63" s="70">
        <v>43311</v>
      </c>
      <c r="N63" s="69" t="s">
        <v>408</v>
      </c>
      <c r="O63" s="69" t="s">
        <v>988</v>
      </c>
      <c r="P63" s="69"/>
      <c r="Q63" s="69" t="s">
        <v>409</v>
      </c>
      <c r="R63" s="69" t="s">
        <v>583</v>
      </c>
      <c r="S63" s="69" t="s">
        <v>290</v>
      </c>
      <c r="T63" s="69" t="s">
        <v>411</v>
      </c>
      <c r="U63" s="69" t="s">
        <v>1231</v>
      </c>
      <c r="V63" s="69" t="s">
        <v>412</v>
      </c>
      <c r="W63" s="69">
        <v>82892316000108</v>
      </c>
      <c r="X63" s="69"/>
      <c r="Y63" s="69" t="s">
        <v>681</v>
      </c>
      <c r="Z63" s="69" t="s">
        <v>1215</v>
      </c>
      <c r="AA63" s="69" t="s">
        <v>683</v>
      </c>
      <c r="AB63" s="69" t="s">
        <v>684</v>
      </c>
      <c r="AC63" s="69" t="s">
        <v>685</v>
      </c>
      <c r="AD63" s="69" t="s">
        <v>1216</v>
      </c>
      <c r="AE63" s="69">
        <v>88130000</v>
      </c>
      <c r="AF63" s="69" t="s">
        <v>687</v>
      </c>
      <c r="AG63" s="69" t="s">
        <v>688</v>
      </c>
      <c r="AH63" s="69">
        <v>280</v>
      </c>
      <c r="AI63" s="69" t="s">
        <v>1217</v>
      </c>
      <c r="AJ63" s="69"/>
      <c r="AK63" s="69" t="s">
        <v>207</v>
      </c>
      <c r="AL63" s="69"/>
      <c r="AM63" s="69"/>
      <c r="AN63" s="69"/>
      <c r="AO63" s="69"/>
      <c r="AP63" s="69"/>
      <c r="AQ63" s="69"/>
      <c r="AR63" s="69"/>
      <c r="AS63" s="69"/>
      <c r="AT63" s="69">
        <v>806808.38</v>
      </c>
      <c r="AU63" s="69"/>
      <c r="AV63" s="69"/>
      <c r="AW63" s="69"/>
      <c r="AX63" s="151">
        <v>201702.1</v>
      </c>
      <c r="AY63" s="72">
        <v>1.6147353439660099E+17</v>
      </c>
      <c r="AZ63" s="69">
        <v>1</v>
      </c>
      <c r="BA63" s="69">
        <v>2383</v>
      </c>
      <c r="BB63" s="69">
        <v>300969</v>
      </c>
      <c r="BC63" s="71">
        <v>43251</v>
      </c>
      <c r="BD63" s="69" t="s">
        <v>988</v>
      </c>
      <c r="BE63" s="69" t="s">
        <v>1232</v>
      </c>
      <c r="BF63" s="69" t="s">
        <v>988</v>
      </c>
      <c r="BG63" s="69" t="s">
        <v>988</v>
      </c>
      <c r="BH63" s="73">
        <v>7818.32</v>
      </c>
    </row>
    <row r="64" spans="1:60">
      <c r="A64" s="68">
        <v>19337</v>
      </c>
      <c r="B64" s="69" t="s">
        <v>222</v>
      </c>
      <c r="C64" s="69" t="s">
        <v>89</v>
      </c>
      <c r="D64" s="80" t="s">
        <v>89</v>
      </c>
      <c r="E64" s="69" t="s">
        <v>221</v>
      </c>
      <c r="F64" s="69" t="s">
        <v>55</v>
      </c>
      <c r="G64" s="69" t="s">
        <v>60</v>
      </c>
      <c r="H64" s="69">
        <v>83203030</v>
      </c>
      <c r="I64" s="69" t="s">
        <v>707</v>
      </c>
      <c r="J64" s="69" t="s">
        <v>239</v>
      </c>
      <c r="K64" s="69" t="s">
        <v>224</v>
      </c>
      <c r="L64" s="94" t="str">
        <f t="shared" si="0"/>
        <v>2011</v>
      </c>
      <c r="M64" s="70">
        <v>42672</v>
      </c>
      <c r="N64" s="69" t="s">
        <v>446</v>
      </c>
      <c r="O64" s="69" t="s">
        <v>1233</v>
      </c>
      <c r="P64" s="69"/>
      <c r="Q64" s="69" t="s">
        <v>409</v>
      </c>
      <c r="R64" s="69" t="s">
        <v>447</v>
      </c>
      <c r="S64" s="69" t="s">
        <v>290</v>
      </c>
      <c r="T64" s="69" t="s">
        <v>411</v>
      </c>
      <c r="U64" s="69" t="s">
        <v>1234</v>
      </c>
      <c r="V64" s="69" t="s">
        <v>412</v>
      </c>
      <c r="W64" s="69">
        <v>76017458000115</v>
      </c>
      <c r="X64" s="69">
        <v>280980</v>
      </c>
      <c r="Y64" s="69" t="s">
        <v>709</v>
      </c>
      <c r="Z64" s="69" t="s">
        <v>1235</v>
      </c>
      <c r="AA64" s="69" t="s">
        <v>711</v>
      </c>
      <c r="AB64" s="69" t="s">
        <v>712</v>
      </c>
      <c r="AC64" s="69" t="s">
        <v>1236</v>
      </c>
      <c r="AD64" s="69" t="s">
        <v>1237</v>
      </c>
      <c r="AE64" s="69">
        <v>83203060</v>
      </c>
      <c r="AF64" s="69" t="s">
        <v>715</v>
      </c>
      <c r="AG64" s="69"/>
      <c r="AH64" s="69">
        <v>322</v>
      </c>
      <c r="AI64" s="69" t="s">
        <v>421</v>
      </c>
      <c r="AJ64" s="69"/>
      <c r="AK64" s="69" t="s">
        <v>221</v>
      </c>
      <c r="AL64" s="69"/>
      <c r="AM64" s="69"/>
      <c r="AN64" s="69"/>
      <c r="AO64" s="69"/>
      <c r="AP64" s="69"/>
      <c r="AQ64" s="69"/>
      <c r="AR64" s="69"/>
      <c r="AS64" s="69"/>
      <c r="AT64" s="69">
        <v>1281668.52</v>
      </c>
      <c r="AU64" s="69"/>
      <c r="AV64" s="69"/>
      <c r="AW64" s="69"/>
      <c r="AX64" s="151">
        <v>961251.39</v>
      </c>
      <c r="AY64" s="72">
        <v>7.4999999736671296E+17</v>
      </c>
      <c r="AZ64" s="69">
        <v>1</v>
      </c>
      <c r="BA64" s="69">
        <v>259</v>
      </c>
      <c r="BB64" s="69">
        <v>650870</v>
      </c>
      <c r="BC64" s="71">
        <v>43251</v>
      </c>
      <c r="BD64" s="69" t="s">
        <v>988</v>
      </c>
      <c r="BE64" s="69" t="s">
        <v>1238</v>
      </c>
      <c r="BF64" s="69" t="s">
        <v>988</v>
      </c>
      <c r="BG64" s="69" t="s">
        <v>988</v>
      </c>
      <c r="BH64" s="73">
        <v>44494.05</v>
      </c>
    </row>
    <row r="65" spans="1:60">
      <c r="A65" s="68">
        <v>25356</v>
      </c>
      <c r="B65" s="69" t="s">
        <v>227</v>
      </c>
      <c r="C65" s="69" t="s">
        <v>137</v>
      </c>
      <c r="D65" s="79" t="s">
        <v>64</v>
      </c>
      <c r="E65" s="69" t="s">
        <v>221</v>
      </c>
      <c r="F65" s="69" t="s">
        <v>55</v>
      </c>
      <c r="G65" s="69" t="s">
        <v>60</v>
      </c>
      <c r="H65" s="69">
        <v>83212552</v>
      </c>
      <c r="I65" s="69" t="s">
        <v>716</v>
      </c>
      <c r="J65" s="69" t="s">
        <v>1239</v>
      </c>
      <c r="K65" s="69" t="s">
        <v>229</v>
      </c>
      <c r="L65" s="94" t="str">
        <f t="shared" si="0"/>
        <v>2014</v>
      </c>
      <c r="M65" s="70">
        <v>43330</v>
      </c>
      <c r="N65" s="69" t="s">
        <v>408</v>
      </c>
      <c r="O65" s="69" t="s">
        <v>988</v>
      </c>
      <c r="P65" s="69"/>
      <c r="Q65" s="69" t="s">
        <v>409</v>
      </c>
      <c r="R65" s="69" t="s">
        <v>546</v>
      </c>
      <c r="S65" s="69" t="s">
        <v>290</v>
      </c>
      <c r="T65" s="69" t="s">
        <v>411</v>
      </c>
      <c r="U65" s="69" t="s">
        <v>1240</v>
      </c>
      <c r="V65" s="69" t="s">
        <v>412</v>
      </c>
      <c r="W65" s="69">
        <v>76017458000115</v>
      </c>
      <c r="X65" s="69">
        <v>280980</v>
      </c>
      <c r="Y65" s="69" t="s">
        <v>709</v>
      </c>
      <c r="Z65" s="69" t="s">
        <v>1235</v>
      </c>
      <c r="AA65" s="69" t="s">
        <v>711</v>
      </c>
      <c r="AB65" s="69" t="s">
        <v>712</v>
      </c>
      <c r="AC65" s="69" t="s">
        <v>1236</v>
      </c>
      <c r="AD65" s="69" t="s">
        <v>1237</v>
      </c>
      <c r="AE65" s="69">
        <v>83203060</v>
      </c>
      <c r="AF65" s="69" t="s">
        <v>715</v>
      </c>
      <c r="AG65" s="69"/>
      <c r="AH65" s="69">
        <v>322</v>
      </c>
      <c r="AI65" s="69" t="s">
        <v>421</v>
      </c>
      <c r="AJ65" s="69"/>
      <c r="AK65" s="69" t="s">
        <v>221</v>
      </c>
      <c r="AL65" s="69"/>
      <c r="AM65" s="69"/>
      <c r="AN65" s="69"/>
      <c r="AO65" s="69"/>
      <c r="AP65" s="69"/>
      <c r="AQ65" s="69"/>
      <c r="AR65" s="69"/>
      <c r="AS65" s="69" t="s">
        <v>988</v>
      </c>
      <c r="AT65" s="69">
        <v>1476438.54</v>
      </c>
      <c r="AU65" s="69"/>
      <c r="AV65" s="69"/>
      <c r="AW65" s="69"/>
      <c r="AX65" s="151">
        <v>289956.44</v>
      </c>
      <c r="AY65" s="72">
        <v>1.5041824823069699E+17</v>
      </c>
      <c r="AZ65" s="69">
        <v>1</v>
      </c>
      <c r="BA65" s="69">
        <v>259</v>
      </c>
      <c r="BB65" s="69" t="s">
        <v>719</v>
      </c>
      <c r="BC65" s="71">
        <v>43251</v>
      </c>
      <c r="BD65" s="69" t="s">
        <v>988</v>
      </c>
      <c r="BE65" s="69" t="s">
        <v>1241</v>
      </c>
      <c r="BF65" s="69" t="s">
        <v>988</v>
      </c>
      <c r="BG65" s="69" t="s">
        <v>988</v>
      </c>
      <c r="BH65" s="73">
        <v>2207440.54</v>
      </c>
    </row>
    <row r="66" spans="1:60">
      <c r="A66" s="68">
        <v>25357</v>
      </c>
      <c r="B66" s="69" t="s">
        <v>230</v>
      </c>
      <c r="C66" s="69" t="s">
        <v>137</v>
      </c>
      <c r="D66" s="79" t="s">
        <v>64</v>
      </c>
      <c r="E66" s="69" t="s">
        <v>221</v>
      </c>
      <c r="F66" s="69" t="s">
        <v>55</v>
      </c>
      <c r="G66" s="69" t="s">
        <v>60</v>
      </c>
      <c r="H66" s="69">
        <v>83200000</v>
      </c>
      <c r="I66" s="69" t="s">
        <v>720</v>
      </c>
      <c r="J66" s="69" t="s">
        <v>1242</v>
      </c>
      <c r="K66" s="69" t="s">
        <v>229</v>
      </c>
      <c r="L66" s="94" t="str">
        <f t="shared" si="0"/>
        <v>2014</v>
      </c>
      <c r="M66" s="70">
        <v>43330</v>
      </c>
      <c r="N66" s="69" t="s">
        <v>408</v>
      </c>
      <c r="O66" s="69" t="s">
        <v>988</v>
      </c>
      <c r="P66" s="69"/>
      <c r="Q66" s="69" t="s">
        <v>409</v>
      </c>
      <c r="R66" s="69" t="s">
        <v>546</v>
      </c>
      <c r="S66" s="69" t="s">
        <v>290</v>
      </c>
      <c r="T66" s="69" t="s">
        <v>411</v>
      </c>
      <c r="U66" s="69" t="s">
        <v>1243</v>
      </c>
      <c r="V66" s="69" t="s">
        <v>412</v>
      </c>
      <c r="W66" s="69">
        <v>76017458000115</v>
      </c>
      <c r="X66" s="69">
        <v>280980</v>
      </c>
      <c r="Y66" s="69" t="s">
        <v>709</v>
      </c>
      <c r="Z66" s="69" t="s">
        <v>1235</v>
      </c>
      <c r="AA66" s="69" t="s">
        <v>711</v>
      </c>
      <c r="AB66" s="69" t="s">
        <v>712</v>
      </c>
      <c r="AC66" s="69" t="s">
        <v>1236</v>
      </c>
      <c r="AD66" s="69" t="s">
        <v>1237</v>
      </c>
      <c r="AE66" s="69">
        <v>83203060</v>
      </c>
      <c r="AF66" s="69" t="s">
        <v>715</v>
      </c>
      <c r="AG66" s="69"/>
      <c r="AH66" s="69">
        <v>322</v>
      </c>
      <c r="AI66" s="69" t="s">
        <v>421</v>
      </c>
      <c r="AJ66" s="69"/>
      <c r="AK66" s="69" t="s">
        <v>221</v>
      </c>
      <c r="AL66" s="69"/>
      <c r="AM66" s="69"/>
      <c r="AN66" s="69"/>
      <c r="AO66" s="69"/>
      <c r="AP66" s="69"/>
      <c r="AQ66" s="69"/>
      <c r="AR66" s="69"/>
      <c r="AS66" s="69" t="s">
        <v>988</v>
      </c>
      <c r="AT66" s="69">
        <v>1482198.54</v>
      </c>
      <c r="AU66" s="69"/>
      <c r="AV66" s="69"/>
      <c r="AW66" s="69"/>
      <c r="AX66" s="151">
        <v>289978.53999999998</v>
      </c>
      <c r="AY66" s="72">
        <v>1.9564082150559901E+17</v>
      </c>
      <c r="AZ66" s="69">
        <v>1</v>
      </c>
      <c r="BA66" s="69">
        <v>259</v>
      </c>
      <c r="BB66" s="69" t="s">
        <v>719</v>
      </c>
      <c r="BC66" s="71">
        <v>43251</v>
      </c>
      <c r="BD66" s="69" t="s">
        <v>988</v>
      </c>
      <c r="BE66" s="69" t="s">
        <v>1241</v>
      </c>
      <c r="BF66" s="69" t="s">
        <v>988</v>
      </c>
      <c r="BG66" s="69" t="s">
        <v>988</v>
      </c>
      <c r="BH66" s="73">
        <v>2207440.54</v>
      </c>
    </row>
    <row r="67" spans="1:60">
      <c r="A67" s="68">
        <v>25358</v>
      </c>
      <c r="B67" s="69" t="s">
        <v>232</v>
      </c>
      <c r="C67" s="69" t="s">
        <v>137</v>
      </c>
      <c r="D67" s="79" t="s">
        <v>64</v>
      </c>
      <c r="E67" s="69" t="s">
        <v>221</v>
      </c>
      <c r="F67" s="69" t="s">
        <v>55</v>
      </c>
      <c r="G67" s="69" t="s">
        <v>60</v>
      </c>
      <c r="H67" s="69">
        <v>83218240</v>
      </c>
      <c r="I67" s="69" t="s">
        <v>721</v>
      </c>
      <c r="J67" s="69" t="s">
        <v>1244</v>
      </c>
      <c r="K67" s="69" t="s">
        <v>229</v>
      </c>
      <c r="L67" s="94" t="str">
        <f t="shared" ref="L67:L130" si="1">RIGHT(K67,4)</f>
        <v>2014</v>
      </c>
      <c r="M67" s="70">
        <v>43330</v>
      </c>
      <c r="N67" s="69" t="s">
        <v>408</v>
      </c>
      <c r="O67" s="69" t="s">
        <v>988</v>
      </c>
      <c r="P67" s="69"/>
      <c r="Q67" s="69" t="s">
        <v>409</v>
      </c>
      <c r="R67" s="69" t="s">
        <v>546</v>
      </c>
      <c r="S67" s="69" t="s">
        <v>290</v>
      </c>
      <c r="T67" s="69" t="s">
        <v>411</v>
      </c>
      <c r="U67" s="69" t="s">
        <v>1245</v>
      </c>
      <c r="V67" s="69" t="s">
        <v>412</v>
      </c>
      <c r="W67" s="69">
        <v>76017458000115</v>
      </c>
      <c r="X67" s="69">
        <v>280980</v>
      </c>
      <c r="Y67" s="69" t="s">
        <v>709</v>
      </c>
      <c r="Z67" s="69" t="s">
        <v>1235</v>
      </c>
      <c r="AA67" s="69" t="s">
        <v>711</v>
      </c>
      <c r="AB67" s="69" t="s">
        <v>712</v>
      </c>
      <c r="AC67" s="69" t="s">
        <v>1236</v>
      </c>
      <c r="AD67" s="69" t="s">
        <v>1237</v>
      </c>
      <c r="AE67" s="69">
        <v>83203060</v>
      </c>
      <c r="AF67" s="69" t="s">
        <v>715</v>
      </c>
      <c r="AG67" s="69"/>
      <c r="AH67" s="69">
        <v>322</v>
      </c>
      <c r="AI67" s="69" t="s">
        <v>421</v>
      </c>
      <c r="AJ67" s="69"/>
      <c r="AK67" s="69" t="s">
        <v>221</v>
      </c>
      <c r="AL67" s="69"/>
      <c r="AM67" s="69"/>
      <c r="AN67" s="69"/>
      <c r="AO67" s="69"/>
      <c r="AP67" s="69"/>
      <c r="AQ67" s="69"/>
      <c r="AR67" s="69"/>
      <c r="AS67" s="69" t="s">
        <v>988</v>
      </c>
      <c r="AT67" s="69">
        <v>1505586.54</v>
      </c>
      <c r="AU67" s="69"/>
      <c r="AV67" s="69"/>
      <c r="AW67" s="69"/>
      <c r="AX67" s="151">
        <v>289740.40000000002</v>
      </c>
      <c r="AY67" s="72">
        <v>2.2857675365027398E+17</v>
      </c>
      <c r="AZ67" s="69">
        <v>1</v>
      </c>
      <c r="BA67" s="69">
        <v>259</v>
      </c>
      <c r="BB67" s="69" t="s">
        <v>719</v>
      </c>
      <c r="BC67" s="71">
        <v>43251</v>
      </c>
      <c r="BD67" s="69" t="s">
        <v>988</v>
      </c>
      <c r="BE67" s="69" t="s">
        <v>1241</v>
      </c>
      <c r="BF67" s="69" t="s">
        <v>988</v>
      </c>
      <c r="BG67" s="69" t="s">
        <v>988</v>
      </c>
      <c r="BH67" s="73">
        <v>2207440.54</v>
      </c>
    </row>
    <row r="68" spans="1:60">
      <c r="A68" s="68">
        <v>25359</v>
      </c>
      <c r="B68" s="69" t="s">
        <v>233</v>
      </c>
      <c r="C68" s="69" t="s">
        <v>137</v>
      </c>
      <c r="D68" s="79" t="s">
        <v>64</v>
      </c>
      <c r="E68" s="69" t="s">
        <v>221</v>
      </c>
      <c r="F68" s="69" t="s">
        <v>55</v>
      </c>
      <c r="G68" s="69" t="s">
        <v>60</v>
      </c>
      <c r="H68" s="69">
        <v>83250000</v>
      </c>
      <c r="I68" s="69" t="s">
        <v>722</v>
      </c>
      <c r="J68" s="69" t="s">
        <v>1246</v>
      </c>
      <c r="K68" s="69" t="s">
        <v>229</v>
      </c>
      <c r="L68" s="94" t="str">
        <f t="shared" si="1"/>
        <v>2014</v>
      </c>
      <c r="M68" s="70">
        <v>43330</v>
      </c>
      <c r="N68" s="69" t="s">
        <v>408</v>
      </c>
      <c r="O68" s="69" t="s">
        <v>988</v>
      </c>
      <c r="P68" s="69"/>
      <c r="Q68" s="69" t="s">
        <v>409</v>
      </c>
      <c r="R68" s="69" t="s">
        <v>546</v>
      </c>
      <c r="S68" s="69" t="s">
        <v>290</v>
      </c>
      <c r="T68" s="69" t="s">
        <v>411</v>
      </c>
      <c r="U68" s="69" t="s">
        <v>1243</v>
      </c>
      <c r="V68" s="69" t="s">
        <v>412</v>
      </c>
      <c r="W68" s="69">
        <v>76017458000115</v>
      </c>
      <c r="X68" s="69">
        <v>280980</v>
      </c>
      <c r="Y68" s="69" t="s">
        <v>709</v>
      </c>
      <c r="Z68" s="69" t="s">
        <v>1235</v>
      </c>
      <c r="AA68" s="69" t="s">
        <v>711</v>
      </c>
      <c r="AB68" s="69" t="s">
        <v>712</v>
      </c>
      <c r="AC68" s="69" t="s">
        <v>1236</v>
      </c>
      <c r="AD68" s="69" t="s">
        <v>1237</v>
      </c>
      <c r="AE68" s="69">
        <v>83203060</v>
      </c>
      <c r="AF68" s="69" t="s">
        <v>715</v>
      </c>
      <c r="AG68" s="69"/>
      <c r="AH68" s="69">
        <v>322</v>
      </c>
      <c r="AI68" s="69" t="s">
        <v>421</v>
      </c>
      <c r="AJ68" s="69"/>
      <c r="AK68" s="69" t="s">
        <v>221</v>
      </c>
      <c r="AL68" s="69"/>
      <c r="AM68" s="69"/>
      <c r="AN68" s="69"/>
      <c r="AO68" s="69"/>
      <c r="AP68" s="69"/>
      <c r="AQ68" s="69"/>
      <c r="AR68" s="69"/>
      <c r="AS68" s="69" t="s">
        <v>988</v>
      </c>
      <c r="AT68" s="69">
        <v>1482198.54</v>
      </c>
      <c r="AU68" s="69"/>
      <c r="AV68" s="69"/>
      <c r="AW68" s="69"/>
      <c r="AX68" s="151">
        <v>289984.52</v>
      </c>
      <c r="AY68" s="72">
        <v>1.9564485605282E+17</v>
      </c>
      <c r="AZ68" s="69">
        <v>1</v>
      </c>
      <c r="BA68" s="69">
        <v>259</v>
      </c>
      <c r="BB68" s="69" t="s">
        <v>719</v>
      </c>
      <c r="BC68" s="71">
        <v>43251</v>
      </c>
      <c r="BD68" s="69" t="s">
        <v>988</v>
      </c>
      <c r="BE68" s="69" t="s">
        <v>1241</v>
      </c>
      <c r="BF68" s="69" t="s">
        <v>988</v>
      </c>
      <c r="BG68" s="69" t="s">
        <v>988</v>
      </c>
      <c r="BH68" s="73">
        <v>2207440.54</v>
      </c>
    </row>
    <row r="69" spans="1:60">
      <c r="A69" s="68">
        <v>25360</v>
      </c>
      <c r="B69" s="69" t="s">
        <v>234</v>
      </c>
      <c r="C69" s="69" t="s">
        <v>137</v>
      </c>
      <c r="D69" s="79" t="s">
        <v>64</v>
      </c>
      <c r="E69" s="69" t="s">
        <v>221</v>
      </c>
      <c r="F69" s="69" t="s">
        <v>55</v>
      </c>
      <c r="G69" s="69" t="s">
        <v>60</v>
      </c>
      <c r="H69" s="69">
        <v>83221610</v>
      </c>
      <c r="I69" s="69" t="s">
        <v>723</v>
      </c>
      <c r="J69" s="69" t="s">
        <v>1247</v>
      </c>
      <c r="K69" s="69" t="s">
        <v>229</v>
      </c>
      <c r="L69" s="94" t="str">
        <f t="shared" si="1"/>
        <v>2014</v>
      </c>
      <c r="M69" s="70">
        <v>43330</v>
      </c>
      <c r="N69" s="69" t="s">
        <v>408</v>
      </c>
      <c r="O69" s="69" t="s">
        <v>988</v>
      </c>
      <c r="P69" s="69"/>
      <c r="Q69" s="69" t="s">
        <v>409</v>
      </c>
      <c r="R69" s="69" t="s">
        <v>546</v>
      </c>
      <c r="S69" s="69" t="s">
        <v>290</v>
      </c>
      <c r="T69" s="69" t="s">
        <v>411</v>
      </c>
      <c r="U69" s="69" t="s">
        <v>1240</v>
      </c>
      <c r="V69" s="69" t="s">
        <v>412</v>
      </c>
      <c r="W69" s="69">
        <v>76017458000115</v>
      </c>
      <c r="X69" s="69">
        <v>280980</v>
      </c>
      <c r="Y69" s="69" t="s">
        <v>709</v>
      </c>
      <c r="Z69" s="69" t="s">
        <v>1235</v>
      </c>
      <c r="AA69" s="69" t="s">
        <v>711</v>
      </c>
      <c r="AB69" s="69" t="s">
        <v>712</v>
      </c>
      <c r="AC69" s="69" t="s">
        <v>1236</v>
      </c>
      <c r="AD69" s="69" t="s">
        <v>1237</v>
      </c>
      <c r="AE69" s="69">
        <v>83203060</v>
      </c>
      <c r="AF69" s="69" t="s">
        <v>715</v>
      </c>
      <c r="AG69" s="69"/>
      <c r="AH69" s="69">
        <v>322</v>
      </c>
      <c r="AI69" s="69" t="s">
        <v>421</v>
      </c>
      <c r="AJ69" s="69"/>
      <c r="AK69" s="69" t="s">
        <v>221</v>
      </c>
      <c r="AL69" s="69"/>
      <c r="AM69" s="69"/>
      <c r="AN69" s="69"/>
      <c r="AO69" s="69"/>
      <c r="AP69" s="69"/>
      <c r="AQ69" s="69"/>
      <c r="AR69" s="69"/>
      <c r="AS69" s="69" t="s">
        <v>988</v>
      </c>
      <c r="AT69" s="69">
        <v>1476438.54</v>
      </c>
      <c r="AU69" s="69"/>
      <c r="AV69" s="69"/>
      <c r="AW69" s="69"/>
      <c r="AX69" s="151">
        <v>289980.53000000003</v>
      </c>
      <c r="AY69" s="72">
        <v>2.2876619266483299E+17</v>
      </c>
      <c r="AZ69" s="69">
        <v>1</v>
      </c>
      <c r="BA69" s="69">
        <v>259</v>
      </c>
      <c r="BB69" s="69" t="s">
        <v>719</v>
      </c>
      <c r="BC69" s="71">
        <v>43251</v>
      </c>
      <c r="BD69" s="69" t="s">
        <v>988</v>
      </c>
      <c r="BE69" s="69" t="s">
        <v>1241</v>
      </c>
      <c r="BF69" s="69" t="s">
        <v>988</v>
      </c>
      <c r="BG69" s="69" t="s">
        <v>988</v>
      </c>
      <c r="BH69" s="73">
        <v>2207440.54</v>
      </c>
    </row>
    <row r="70" spans="1:60">
      <c r="A70" s="68">
        <v>1005814</v>
      </c>
      <c r="B70" s="69" t="s">
        <v>235</v>
      </c>
      <c r="C70" s="69" t="s">
        <v>137</v>
      </c>
      <c r="D70" s="79" t="s">
        <v>64</v>
      </c>
      <c r="E70" s="69" t="s">
        <v>221</v>
      </c>
      <c r="F70" s="69" t="s">
        <v>55</v>
      </c>
      <c r="G70" s="69" t="s">
        <v>60</v>
      </c>
      <c r="H70" s="69">
        <v>83212415</v>
      </c>
      <c r="I70" s="69" t="s">
        <v>724</v>
      </c>
      <c r="J70" s="69" t="s">
        <v>1248</v>
      </c>
      <c r="K70" s="69" t="s">
        <v>236</v>
      </c>
      <c r="L70" s="94" t="str">
        <f t="shared" si="1"/>
        <v>2013</v>
      </c>
      <c r="M70" s="70">
        <v>43671</v>
      </c>
      <c r="N70" s="69" t="s">
        <v>408</v>
      </c>
      <c r="O70" s="69" t="s">
        <v>988</v>
      </c>
      <c r="P70" s="69"/>
      <c r="Q70" s="69" t="s">
        <v>409</v>
      </c>
      <c r="R70" s="69" t="s">
        <v>583</v>
      </c>
      <c r="S70" s="69" t="s">
        <v>290</v>
      </c>
      <c r="T70" s="69" t="s">
        <v>411</v>
      </c>
      <c r="U70" s="69" t="s">
        <v>1249</v>
      </c>
      <c r="V70" s="69" t="s">
        <v>412</v>
      </c>
      <c r="W70" s="69">
        <v>76017458000115</v>
      </c>
      <c r="X70" s="69">
        <v>280980</v>
      </c>
      <c r="Y70" s="69" t="s">
        <v>709</v>
      </c>
      <c r="Z70" s="69" t="s">
        <v>1235</v>
      </c>
      <c r="AA70" s="69" t="s">
        <v>711</v>
      </c>
      <c r="AB70" s="69" t="s">
        <v>712</v>
      </c>
      <c r="AC70" s="69" t="s">
        <v>1236</v>
      </c>
      <c r="AD70" s="69" t="s">
        <v>1237</v>
      </c>
      <c r="AE70" s="69">
        <v>83203060</v>
      </c>
      <c r="AF70" s="69" t="s">
        <v>715</v>
      </c>
      <c r="AG70" s="69"/>
      <c r="AH70" s="69">
        <v>322</v>
      </c>
      <c r="AI70" s="69" t="s">
        <v>421</v>
      </c>
      <c r="AJ70" s="69"/>
      <c r="AK70" s="69" t="s">
        <v>221</v>
      </c>
      <c r="AL70" s="69"/>
      <c r="AM70" s="69"/>
      <c r="AN70" s="69"/>
      <c r="AO70" s="69"/>
      <c r="AP70" s="69"/>
      <c r="AQ70" s="69"/>
      <c r="AR70" s="69"/>
      <c r="AS70" s="69"/>
      <c r="AT70" s="69">
        <v>809772.58</v>
      </c>
      <c r="AU70" s="69"/>
      <c r="AV70" s="69"/>
      <c r="AW70" s="69"/>
      <c r="AX70" s="151">
        <v>202443.14</v>
      </c>
      <c r="AY70" s="72">
        <v>2.4999999382542598E+17</v>
      </c>
      <c r="AZ70" s="69">
        <v>1</v>
      </c>
      <c r="BA70" s="69">
        <v>259</v>
      </c>
      <c r="BB70" s="69">
        <v>714216</v>
      </c>
      <c r="BC70" s="71">
        <v>43251</v>
      </c>
      <c r="BD70" s="69" t="s">
        <v>988</v>
      </c>
      <c r="BE70" s="69" t="s">
        <v>1250</v>
      </c>
      <c r="BF70" s="69" t="s">
        <v>988</v>
      </c>
      <c r="BG70" s="69" t="s">
        <v>988</v>
      </c>
      <c r="BH70" s="73">
        <v>270774.44</v>
      </c>
    </row>
    <row r="71" spans="1:60">
      <c r="A71" s="68">
        <v>1009214</v>
      </c>
      <c r="B71" s="69" t="s">
        <v>237</v>
      </c>
      <c r="C71" s="69" t="s">
        <v>137</v>
      </c>
      <c r="D71" s="79" t="s">
        <v>64</v>
      </c>
      <c r="E71" s="69" t="s">
        <v>221</v>
      </c>
      <c r="F71" s="69" t="s">
        <v>55</v>
      </c>
      <c r="G71" s="69" t="s">
        <v>60</v>
      </c>
      <c r="H71" s="69">
        <v>83221400</v>
      </c>
      <c r="I71" s="69" t="s">
        <v>727</v>
      </c>
      <c r="J71" s="69" t="s">
        <v>1251</v>
      </c>
      <c r="K71" s="69" t="s">
        <v>238</v>
      </c>
      <c r="L71" s="94" t="str">
        <f t="shared" si="1"/>
        <v>2014</v>
      </c>
      <c r="M71" s="70">
        <v>43306</v>
      </c>
      <c r="N71" s="69" t="s">
        <v>408</v>
      </c>
      <c r="O71" s="69" t="s">
        <v>988</v>
      </c>
      <c r="P71" s="69"/>
      <c r="Q71" s="69" t="s">
        <v>409</v>
      </c>
      <c r="R71" s="69" t="s">
        <v>583</v>
      </c>
      <c r="S71" s="69" t="s">
        <v>290</v>
      </c>
      <c r="T71" s="69" t="s">
        <v>411</v>
      </c>
      <c r="U71" s="69" t="s">
        <v>1252</v>
      </c>
      <c r="V71" s="69" t="s">
        <v>412</v>
      </c>
      <c r="W71" s="69">
        <v>76017458000115</v>
      </c>
      <c r="X71" s="69">
        <v>280980</v>
      </c>
      <c r="Y71" s="69" t="s">
        <v>709</v>
      </c>
      <c r="Z71" s="69" t="s">
        <v>1235</v>
      </c>
      <c r="AA71" s="69" t="s">
        <v>711</v>
      </c>
      <c r="AB71" s="69" t="s">
        <v>712</v>
      </c>
      <c r="AC71" s="69" t="s">
        <v>1236</v>
      </c>
      <c r="AD71" s="69" t="s">
        <v>1237</v>
      </c>
      <c r="AE71" s="69">
        <v>83203060</v>
      </c>
      <c r="AF71" s="69" t="s">
        <v>715</v>
      </c>
      <c r="AG71" s="69"/>
      <c r="AH71" s="69">
        <v>322</v>
      </c>
      <c r="AI71" s="69" t="s">
        <v>421</v>
      </c>
      <c r="AJ71" s="69"/>
      <c r="AK71" s="69" t="s">
        <v>221</v>
      </c>
      <c r="AL71" s="69"/>
      <c r="AM71" s="69"/>
      <c r="AN71" s="69"/>
      <c r="AO71" s="69"/>
      <c r="AP71" s="69"/>
      <c r="AQ71" s="69"/>
      <c r="AR71" s="69"/>
      <c r="AS71" s="69"/>
      <c r="AT71" s="69">
        <v>809908.38</v>
      </c>
      <c r="AU71" s="69"/>
      <c r="AV71" s="69"/>
      <c r="AW71" s="69"/>
      <c r="AX71" s="151">
        <v>202155.89</v>
      </c>
      <c r="AY71" s="72">
        <v>2.49603405758068E+17</v>
      </c>
      <c r="AZ71" s="69">
        <v>1</v>
      </c>
      <c r="BA71" s="69">
        <v>259</v>
      </c>
      <c r="BB71" s="69">
        <v>714399</v>
      </c>
      <c r="BC71" s="71">
        <v>43251</v>
      </c>
      <c r="BD71" s="69" t="s">
        <v>988</v>
      </c>
      <c r="BE71" s="69" t="s">
        <v>1253</v>
      </c>
      <c r="BF71" s="69" t="s">
        <v>988</v>
      </c>
      <c r="BG71" s="69" t="s">
        <v>988</v>
      </c>
      <c r="BH71" s="73">
        <v>270390.23</v>
      </c>
    </row>
    <row r="72" spans="1:60">
      <c r="A72" s="68">
        <v>18129</v>
      </c>
      <c r="B72" s="69" t="s">
        <v>241</v>
      </c>
      <c r="C72" s="69" t="s">
        <v>58</v>
      </c>
      <c r="D72" s="79" t="s">
        <v>1443</v>
      </c>
      <c r="E72" s="69" t="s">
        <v>240</v>
      </c>
      <c r="F72" s="69" t="s">
        <v>146</v>
      </c>
      <c r="G72" s="69" t="s">
        <v>60</v>
      </c>
      <c r="H72" s="69">
        <v>96060290</v>
      </c>
      <c r="I72" s="69" t="s">
        <v>729</v>
      </c>
      <c r="J72" s="69" t="s">
        <v>1254</v>
      </c>
      <c r="K72" s="69" t="s">
        <v>242</v>
      </c>
      <c r="L72" s="94" t="str">
        <f t="shared" si="1"/>
        <v>2013</v>
      </c>
      <c r="M72" s="70">
        <v>43449</v>
      </c>
      <c r="N72" s="69" t="s">
        <v>408</v>
      </c>
      <c r="O72" s="75" t="s">
        <v>1255</v>
      </c>
      <c r="P72" s="70">
        <v>43565</v>
      </c>
      <c r="Q72" s="69" t="s">
        <v>409</v>
      </c>
      <c r="R72" s="69" t="s">
        <v>410</v>
      </c>
      <c r="S72" s="69" t="s">
        <v>290</v>
      </c>
      <c r="T72" s="69" t="s">
        <v>411</v>
      </c>
      <c r="U72" s="69" t="s">
        <v>1159</v>
      </c>
      <c r="V72" s="69" t="s">
        <v>412</v>
      </c>
      <c r="W72" s="69">
        <v>87455531000157</v>
      </c>
      <c r="X72" s="69">
        <v>0</v>
      </c>
      <c r="Y72" s="69" t="s">
        <v>732</v>
      </c>
      <c r="Z72" s="69" t="s">
        <v>1256</v>
      </c>
      <c r="AA72" s="69" t="s">
        <v>734</v>
      </c>
      <c r="AB72" s="69" t="s">
        <v>735</v>
      </c>
      <c r="AC72" s="69" t="s">
        <v>1257</v>
      </c>
      <c r="AD72" s="69" t="s">
        <v>1258</v>
      </c>
      <c r="AE72" s="69">
        <v>96015000</v>
      </c>
      <c r="AF72" s="69" t="s">
        <v>738</v>
      </c>
      <c r="AG72" s="69"/>
      <c r="AH72" s="69">
        <v>101</v>
      </c>
      <c r="AI72" s="69" t="s">
        <v>421</v>
      </c>
      <c r="AJ72" s="69"/>
      <c r="AK72" s="69" t="s">
        <v>240</v>
      </c>
      <c r="AL72" s="69" t="s">
        <v>427</v>
      </c>
      <c r="AM72" s="69">
        <v>42016</v>
      </c>
      <c r="AN72" s="71">
        <v>42538</v>
      </c>
      <c r="AO72" s="69" t="s">
        <v>243</v>
      </c>
      <c r="AP72" s="71">
        <v>42537</v>
      </c>
      <c r="AQ72" s="69">
        <v>579</v>
      </c>
      <c r="AR72" s="71">
        <v>43116</v>
      </c>
      <c r="AS72" s="69" t="s">
        <v>1259</v>
      </c>
      <c r="AT72" s="69">
        <v>1196771.3899999999</v>
      </c>
      <c r="AU72" s="71">
        <v>43234</v>
      </c>
      <c r="AV72" s="69" t="s">
        <v>457</v>
      </c>
      <c r="AW72" s="69"/>
      <c r="AX72" s="151">
        <v>171901.53</v>
      </c>
      <c r="AY72" s="72">
        <v>1.4363773301492499E+17</v>
      </c>
      <c r="AZ72" s="69">
        <v>1</v>
      </c>
      <c r="BA72" s="69">
        <v>29</v>
      </c>
      <c r="BB72" s="69">
        <v>312827</v>
      </c>
      <c r="BC72" s="71">
        <v>43251</v>
      </c>
      <c r="BD72" s="69" t="s">
        <v>988</v>
      </c>
      <c r="BE72" s="69" t="s">
        <v>1260</v>
      </c>
      <c r="BF72" s="69" t="s">
        <v>988</v>
      </c>
      <c r="BG72" s="69" t="s">
        <v>988</v>
      </c>
      <c r="BH72" s="73">
        <v>1040878.05</v>
      </c>
    </row>
    <row r="73" spans="1:60">
      <c r="A73" s="68">
        <v>19600</v>
      </c>
      <c r="B73" s="69" t="s">
        <v>244</v>
      </c>
      <c r="C73" s="69" t="s">
        <v>58</v>
      </c>
      <c r="D73" s="79" t="s">
        <v>1443</v>
      </c>
      <c r="E73" s="69" t="s">
        <v>240</v>
      </c>
      <c r="F73" s="69" t="s">
        <v>146</v>
      </c>
      <c r="G73" s="69" t="s">
        <v>60</v>
      </c>
      <c r="H73" s="69">
        <v>96065610</v>
      </c>
      <c r="I73" s="69" t="s">
        <v>742</v>
      </c>
      <c r="J73" s="69" t="s">
        <v>1261</v>
      </c>
      <c r="K73" s="69" t="s">
        <v>242</v>
      </c>
      <c r="L73" s="94" t="str">
        <f t="shared" si="1"/>
        <v>2013</v>
      </c>
      <c r="M73" s="70">
        <v>43449</v>
      </c>
      <c r="N73" s="69" t="s">
        <v>408</v>
      </c>
      <c r="O73" s="75" t="s">
        <v>1255</v>
      </c>
      <c r="P73" s="70">
        <v>43565</v>
      </c>
      <c r="Q73" s="69" t="s">
        <v>409</v>
      </c>
      <c r="R73" s="69" t="s">
        <v>410</v>
      </c>
      <c r="S73" s="69" t="s">
        <v>290</v>
      </c>
      <c r="T73" s="69" t="s">
        <v>411</v>
      </c>
      <c r="U73" s="69" t="s">
        <v>1159</v>
      </c>
      <c r="V73" s="69" t="s">
        <v>412</v>
      </c>
      <c r="W73" s="69">
        <v>87455531000157</v>
      </c>
      <c r="X73" s="69">
        <v>0</v>
      </c>
      <c r="Y73" s="69" t="s">
        <v>732</v>
      </c>
      <c r="Z73" s="69" t="s">
        <v>1256</v>
      </c>
      <c r="AA73" s="69" t="s">
        <v>734</v>
      </c>
      <c r="AB73" s="69" t="s">
        <v>735</v>
      </c>
      <c r="AC73" s="69" t="s">
        <v>1257</v>
      </c>
      <c r="AD73" s="69" t="s">
        <v>1258</v>
      </c>
      <c r="AE73" s="69">
        <v>96015000</v>
      </c>
      <c r="AF73" s="69" t="s">
        <v>738</v>
      </c>
      <c r="AG73" s="69"/>
      <c r="AH73" s="69">
        <v>101</v>
      </c>
      <c r="AI73" s="69" t="s">
        <v>421</v>
      </c>
      <c r="AJ73" s="69"/>
      <c r="AK73" s="69" t="s">
        <v>240</v>
      </c>
      <c r="AL73" s="69" t="s">
        <v>427</v>
      </c>
      <c r="AM73" s="69">
        <v>42016</v>
      </c>
      <c r="AN73" s="71">
        <v>42538</v>
      </c>
      <c r="AO73" s="69" t="s">
        <v>243</v>
      </c>
      <c r="AP73" s="71">
        <v>42537</v>
      </c>
      <c r="AQ73" s="69">
        <v>579</v>
      </c>
      <c r="AR73" s="71">
        <v>43116</v>
      </c>
      <c r="AS73" s="69" t="s">
        <v>1259</v>
      </c>
      <c r="AT73" s="69">
        <v>1196771.3899999999</v>
      </c>
      <c r="AU73" s="71">
        <v>43234</v>
      </c>
      <c r="AV73" s="69" t="s">
        <v>457</v>
      </c>
      <c r="AW73" s="69"/>
      <c r="AX73" s="151">
        <v>183869.24</v>
      </c>
      <c r="AY73" s="72">
        <v>1.5363772972106301E+17</v>
      </c>
      <c r="AZ73" s="69">
        <v>1</v>
      </c>
      <c r="BA73" s="69">
        <v>29</v>
      </c>
      <c r="BB73" s="69">
        <v>312827</v>
      </c>
      <c r="BC73" s="71">
        <v>43251</v>
      </c>
      <c r="BD73" s="69" t="s">
        <v>988</v>
      </c>
      <c r="BE73" s="69" t="s">
        <v>1260</v>
      </c>
      <c r="BF73" s="69" t="s">
        <v>988</v>
      </c>
      <c r="BG73" s="69" t="s">
        <v>988</v>
      </c>
      <c r="BH73" s="73">
        <v>1040878.05</v>
      </c>
    </row>
    <row r="74" spans="1:60">
      <c r="A74" s="68">
        <v>20024</v>
      </c>
      <c r="B74" s="69" t="s">
        <v>245</v>
      </c>
      <c r="C74" s="69" t="s">
        <v>82</v>
      </c>
      <c r="D74" s="79" t="s">
        <v>64</v>
      </c>
      <c r="E74" s="69" t="s">
        <v>240</v>
      </c>
      <c r="F74" s="69" t="s">
        <v>146</v>
      </c>
      <c r="G74" s="69" t="s">
        <v>60</v>
      </c>
      <c r="H74" s="69">
        <v>96115000</v>
      </c>
      <c r="I74" s="69" t="s">
        <v>744</v>
      </c>
      <c r="J74" s="69" t="s">
        <v>573</v>
      </c>
      <c r="K74" s="69" t="s">
        <v>242</v>
      </c>
      <c r="L74" s="94" t="str">
        <f t="shared" si="1"/>
        <v>2013</v>
      </c>
      <c r="M74" s="70">
        <v>43449</v>
      </c>
      <c r="N74" s="69" t="s">
        <v>408</v>
      </c>
      <c r="O74" s="69" t="s">
        <v>988</v>
      </c>
      <c r="P74" s="69"/>
      <c r="Q74" s="69" t="s">
        <v>409</v>
      </c>
      <c r="R74" s="69" t="s">
        <v>583</v>
      </c>
      <c r="S74" s="69" t="s">
        <v>290</v>
      </c>
      <c r="T74" s="69" t="s">
        <v>411</v>
      </c>
      <c r="U74" s="69" t="s">
        <v>1262</v>
      </c>
      <c r="V74" s="69" t="s">
        <v>412</v>
      </c>
      <c r="W74" s="69">
        <v>87455531000157</v>
      </c>
      <c r="X74" s="69">
        <v>0</v>
      </c>
      <c r="Y74" s="69" t="s">
        <v>732</v>
      </c>
      <c r="Z74" s="69" t="s">
        <v>1256</v>
      </c>
      <c r="AA74" s="69" t="s">
        <v>734</v>
      </c>
      <c r="AB74" s="69" t="s">
        <v>735</v>
      </c>
      <c r="AC74" s="69" t="s">
        <v>1257</v>
      </c>
      <c r="AD74" s="69" t="s">
        <v>1258</v>
      </c>
      <c r="AE74" s="69">
        <v>96015000</v>
      </c>
      <c r="AF74" s="69" t="s">
        <v>738</v>
      </c>
      <c r="AG74" s="69"/>
      <c r="AH74" s="69">
        <v>101</v>
      </c>
      <c r="AI74" s="69" t="s">
        <v>421</v>
      </c>
      <c r="AJ74" s="69"/>
      <c r="AK74" s="69" t="s">
        <v>240</v>
      </c>
      <c r="AL74" s="69" t="s">
        <v>494</v>
      </c>
      <c r="AM74" s="69">
        <v>122012</v>
      </c>
      <c r="AN74" s="71">
        <v>41096</v>
      </c>
      <c r="AO74" s="69"/>
      <c r="AP74" s="71">
        <v>41583</v>
      </c>
      <c r="AQ74" s="69"/>
      <c r="AR74" s="69"/>
      <c r="AS74" s="69" t="s">
        <v>988</v>
      </c>
      <c r="AT74" s="69">
        <v>811383.29</v>
      </c>
      <c r="AU74" s="69"/>
      <c r="AV74" s="69"/>
      <c r="AW74" s="69"/>
      <c r="AX74" s="151">
        <v>122786.81</v>
      </c>
      <c r="AY74" s="72">
        <v>1.5133021780618598E+17</v>
      </c>
      <c r="AZ74" s="69">
        <v>1</v>
      </c>
      <c r="BA74" s="69">
        <v>29</v>
      </c>
      <c r="BB74" s="69">
        <v>312827</v>
      </c>
      <c r="BC74" s="71">
        <v>43251</v>
      </c>
      <c r="BD74" s="69" t="s">
        <v>988</v>
      </c>
      <c r="BE74" s="69" t="s">
        <v>1260</v>
      </c>
      <c r="BF74" s="69" t="s">
        <v>988</v>
      </c>
      <c r="BG74" s="69" t="s">
        <v>988</v>
      </c>
      <c r="BH74" s="73">
        <v>1040878.05</v>
      </c>
    </row>
    <row r="75" spans="1:60">
      <c r="A75" s="68">
        <v>20029</v>
      </c>
      <c r="B75" s="69" t="s">
        <v>246</v>
      </c>
      <c r="C75" s="69" t="s">
        <v>58</v>
      </c>
      <c r="D75" s="79" t="s">
        <v>1443</v>
      </c>
      <c r="E75" s="69" t="s">
        <v>240</v>
      </c>
      <c r="F75" s="69" t="s">
        <v>146</v>
      </c>
      <c r="G75" s="69" t="s">
        <v>60</v>
      </c>
      <c r="H75" s="69">
        <v>96070135</v>
      </c>
      <c r="I75" s="69" t="s">
        <v>745</v>
      </c>
      <c r="J75" s="69" t="s">
        <v>1254</v>
      </c>
      <c r="K75" s="69" t="s">
        <v>242</v>
      </c>
      <c r="L75" s="94" t="str">
        <f t="shared" si="1"/>
        <v>2013</v>
      </c>
      <c r="M75" s="70">
        <v>43449</v>
      </c>
      <c r="N75" s="69" t="s">
        <v>408</v>
      </c>
      <c r="O75" s="75" t="s">
        <v>1263</v>
      </c>
      <c r="P75" s="70">
        <v>43565</v>
      </c>
      <c r="Q75" s="69" t="s">
        <v>409</v>
      </c>
      <c r="R75" s="69" t="s">
        <v>410</v>
      </c>
      <c r="S75" s="69" t="s">
        <v>290</v>
      </c>
      <c r="T75" s="69" t="s">
        <v>411</v>
      </c>
      <c r="U75" s="69" t="s">
        <v>1159</v>
      </c>
      <c r="V75" s="69" t="s">
        <v>412</v>
      </c>
      <c r="W75" s="69">
        <v>87455531000157</v>
      </c>
      <c r="X75" s="69">
        <v>0</v>
      </c>
      <c r="Y75" s="69" t="s">
        <v>732</v>
      </c>
      <c r="Z75" s="69" t="s">
        <v>1256</v>
      </c>
      <c r="AA75" s="69" t="s">
        <v>734</v>
      </c>
      <c r="AB75" s="69" t="s">
        <v>735</v>
      </c>
      <c r="AC75" s="69" t="s">
        <v>1257</v>
      </c>
      <c r="AD75" s="69" t="s">
        <v>1258</v>
      </c>
      <c r="AE75" s="69">
        <v>96015000</v>
      </c>
      <c r="AF75" s="69" t="s">
        <v>738</v>
      </c>
      <c r="AG75" s="69"/>
      <c r="AH75" s="69">
        <v>101</v>
      </c>
      <c r="AI75" s="69" t="s">
        <v>421</v>
      </c>
      <c r="AJ75" s="69"/>
      <c r="AK75" s="69" t="s">
        <v>240</v>
      </c>
      <c r="AL75" s="69" t="s">
        <v>427</v>
      </c>
      <c r="AM75" s="69">
        <v>42016</v>
      </c>
      <c r="AN75" s="71">
        <v>42538</v>
      </c>
      <c r="AO75" s="69" t="s">
        <v>243</v>
      </c>
      <c r="AP75" s="71">
        <v>42537</v>
      </c>
      <c r="AQ75" s="69">
        <v>579</v>
      </c>
      <c r="AR75" s="71">
        <v>43116</v>
      </c>
      <c r="AS75" s="69" t="s">
        <v>1259</v>
      </c>
      <c r="AT75" s="69">
        <v>1196771.3899999999</v>
      </c>
      <c r="AU75" s="71">
        <v>43234</v>
      </c>
      <c r="AV75" s="69" t="s">
        <v>457</v>
      </c>
      <c r="AW75" s="69"/>
      <c r="AX75" s="151">
        <v>183869.24</v>
      </c>
      <c r="AY75" s="72">
        <v>1.5363772972106301E+17</v>
      </c>
      <c r="AZ75" s="69">
        <v>1</v>
      </c>
      <c r="BA75" s="69">
        <v>29</v>
      </c>
      <c r="BB75" s="69">
        <v>312827</v>
      </c>
      <c r="BC75" s="71">
        <v>43251</v>
      </c>
      <c r="BD75" s="69" t="s">
        <v>988</v>
      </c>
      <c r="BE75" s="69" t="s">
        <v>1260</v>
      </c>
      <c r="BF75" s="69" t="s">
        <v>988</v>
      </c>
      <c r="BG75" s="69" t="s">
        <v>988</v>
      </c>
      <c r="BH75" s="73">
        <v>1040878.05</v>
      </c>
    </row>
    <row r="76" spans="1:60">
      <c r="A76" s="68">
        <v>20033</v>
      </c>
      <c r="B76" s="69" t="s">
        <v>247</v>
      </c>
      <c r="C76" s="69" t="s">
        <v>58</v>
      </c>
      <c r="D76" s="79" t="s">
        <v>1443</v>
      </c>
      <c r="E76" s="69" t="s">
        <v>240</v>
      </c>
      <c r="F76" s="69" t="s">
        <v>146</v>
      </c>
      <c r="G76" s="69" t="s">
        <v>60</v>
      </c>
      <c r="H76" s="69">
        <v>96085070</v>
      </c>
      <c r="I76" s="69" t="s">
        <v>746</v>
      </c>
      <c r="J76" s="69" t="s">
        <v>1264</v>
      </c>
      <c r="K76" s="69" t="s">
        <v>242</v>
      </c>
      <c r="L76" s="94" t="str">
        <f t="shared" si="1"/>
        <v>2013</v>
      </c>
      <c r="M76" s="70">
        <v>43449</v>
      </c>
      <c r="N76" s="69" t="s">
        <v>408</v>
      </c>
      <c r="O76" s="75" t="s">
        <v>1265</v>
      </c>
      <c r="P76" s="70">
        <v>43565</v>
      </c>
      <c r="Q76" s="69" t="s">
        <v>409</v>
      </c>
      <c r="R76" s="69" t="s">
        <v>410</v>
      </c>
      <c r="S76" s="69" t="s">
        <v>290</v>
      </c>
      <c r="T76" s="69" t="s">
        <v>411</v>
      </c>
      <c r="U76" s="69" t="s">
        <v>1159</v>
      </c>
      <c r="V76" s="69" t="s">
        <v>412</v>
      </c>
      <c r="W76" s="69">
        <v>87455531000157</v>
      </c>
      <c r="X76" s="69">
        <v>0</v>
      </c>
      <c r="Y76" s="69" t="s">
        <v>732</v>
      </c>
      <c r="Z76" s="69" t="s">
        <v>1256</v>
      </c>
      <c r="AA76" s="69" t="s">
        <v>734</v>
      </c>
      <c r="AB76" s="69" t="s">
        <v>735</v>
      </c>
      <c r="AC76" s="69" t="s">
        <v>1257</v>
      </c>
      <c r="AD76" s="69" t="s">
        <v>1258</v>
      </c>
      <c r="AE76" s="69">
        <v>96015000</v>
      </c>
      <c r="AF76" s="69" t="s">
        <v>738</v>
      </c>
      <c r="AG76" s="69"/>
      <c r="AH76" s="69">
        <v>101</v>
      </c>
      <c r="AI76" s="69" t="s">
        <v>421</v>
      </c>
      <c r="AJ76" s="69"/>
      <c r="AK76" s="69" t="s">
        <v>240</v>
      </c>
      <c r="AL76" s="69" t="s">
        <v>427</v>
      </c>
      <c r="AM76" s="69">
        <v>42016</v>
      </c>
      <c r="AN76" s="71">
        <v>42538</v>
      </c>
      <c r="AO76" s="69" t="s">
        <v>243</v>
      </c>
      <c r="AP76" s="71">
        <v>42537</v>
      </c>
      <c r="AQ76" s="69">
        <v>579</v>
      </c>
      <c r="AR76" s="71">
        <v>43116</v>
      </c>
      <c r="AS76" s="69" t="s">
        <v>1259</v>
      </c>
      <c r="AT76" s="69">
        <v>1196771.3899999999</v>
      </c>
      <c r="AU76" s="71">
        <v>43234</v>
      </c>
      <c r="AV76" s="69" t="s">
        <v>457</v>
      </c>
      <c r="AW76" s="69"/>
      <c r="AX76" s="151">
        <v>183869.24</v>
      </c>
      <c r="AY76" s="72">
        <v>1.5363772972106301E+17</v>
      </c>
      <c r="AZ76" s="69">
        <v>1</v>
      </c>
      <c r="BA76" s="69">
        <v>29</v>
      </c>
      <c r="BB76" s="69">
        <v>312827</v>
      </c>
      <c r="BC76" s="71">
        <v>43251</v>
      </c>
      <c r="BD76" s="69" t="s">
        <v>988</v>
      </c>
      <c r="BE76" s="69" t="s">
        <v>1260</v>
      </c>
      <c r="BF76" s="69" t="s">
        <v>988</v>
      </c>
      <c r="BG76" s="69" t="s">
        <v>988</v>
      </c>
      <c r="BH76" s="73">
        <v>1040878.05</v>
      </c>
    </row>
    <row r="77" spans="1:60">
      <c r="A77" s="68">
        <v>20061</v>
      </c>
      <c r="B77" s="69" t="s">
        <v>248</v>
      </c>
      <c r="C77" s="69" t="s">
        <v>82</v>
      </c>
      <c r="D77" s="79" t="s">
        <v>64</v>
      </c>
      <c r="E77" s="69" t="s">
        <v>240</v>
      </c>
      <c r="F77" s="69" t="s">
        <v>146</v>
      </c>
      <c r="G77" s="69" t="s">
        <v>60</v>
      </c>
      <c r="H77" s="69">
        <v>96130000</v>
      </c>
      <c r="I77" s="69" t="s">
        <v>748</v>
      </c>
      <c r="J77" s="69" t="s">
        <v>749</v>
      </c>
      <c r="K77" s="69" t="s">
        <v>242</v>
      </c>
      <c r="L77" s="94" t="str">
        <f t="shared" si="1"/>
        <v>2013</v>
      </c>
      <c r="M77" s="70">
        <v>43449</v>
      </c>
      <c r="N77" s="69" t="s">
        <v>408</v>
      </c>
      <c r="O77" s="69" t="s">
        <v>988</v>
      </c>
      <c r="P77" s="69"/>
      <c r="Q77" s="69" t="s">
        <v>409</v>
      </c>
      <c r="R77" s="69" t="s">
        <v>583</v>
      </c>
      <c r="S77" s="69" t="s">
        <v>290</v>
      </c>
      <c r="T77" s="69" t="s">
        <v>411</v>
      </c>
      <c r="U77" s="69" t="s">
        <v>1262</v>
      </c>
      <c r="V77" s="69" t="s">
        <v>412</v>
      </c>
      <c r="W77" s="69">
        <v>87455531000157</v>
      </c>
      <c r="X77" s="69">
        <v>0</v>
      </c>
      <c r="Y77" s="69" t="s">
        <v>732</v>
      </c>
      <c r="Z77" s="69" t="s">
        <v>1256</v>
      </c>
      <c r="AA77" s="69" t="s">
        <v>734</v>
      </c>
      <c r="AB77" s="69" t="s">
        <v>735</v>
      </c>
      <c r="AC77" s="69" t="s">
        <v>1257</v>
      </c>
      <c r="AD77" s="69" t="s">
        <v>1258</v>
      </c>
      <c r="AE77" s="69">
        <v>96015000</v>
      </c>
      <c r="AF77" s="69" t="s">
        <v>738</v>
      </c>
      <c r="AG77" s="69"/>
      <c r="AH77" s="69">
        <v>101</v>
      </c>
      <c r="AI77" s="69" t="s">
        <v>421</v>
      </c>
      <c r="AJ77" s="69"/>
      <c r="AK77" s="69" t="s">
        <v>240</v>
      </c>
      <c r="AL77" s="69" t="s">
        <v>494</v>
      </c>
      <c r="AM77" s="69">
        <v>112012</v>
      </c>
      <c r="AN77" s="71">
        <v>41096</v>
      </c>
      <c r="AO77" s="69"/>
      <c r="AP77" s="71">
        <v>41583</v>
      </c>
      <c r="AQ77" s="69"/>
      <c r="AR77" s="69"/>
      <c r="AS77" s="69" t="s">
        <v>988</v>
      </c>
      <c r="AT77" s="69">
        <v>811383.29</v>
      </c>
      <c r="AU77" s="69"/>
      <c r="AV77" s="69"/>
      <c r="AW77" s="69"/>
      <c r="AX77" s="151">
        <v>122786.81</v>
      </c>
      <c r="AY77" s="72">
        <v>1.5133021780618598E+17</v>
      </c>
      <c r="AZ77" s="69">
        <v>1</v>
      </c>
      <c r="BA77" s="69">
        <v>29</v>
      </c>
      <c r="BB77" s="69">
        <v>312827</v>
      </c>
      <c r="BC77" s="71">
        <v>43251</v>
      </c>
      <c r="BD77" s="69" t="s">
        <v>988</v>
      </c>
      <c r="BE77" s="69" t="s">
        <v>1260</v>
      </c>
      <c r="BF77" s="69" t="s">
        <v>988</v>
      </c>
      <c r="BG77" s="69" t="s">
        <v>988</v>
      </c>
      <c r="BH77" s="73">
        <v>1040878.05</v>
      </c>
    </row>
    <row r="78" spans="1:60">
      <c r="A78" s="68">
        <v>20179</v>
      </c>
      <c r="B78" s="69" t="s">
        <v>249</v>
      </c>
      <c r="C78" s="69" t="s">
        <v>58</v>
      </c>
      <c r="D78" s="79" t="s">
        <v>1443</v>
      </c>
      <c r="E78" s="69" t="s">
        <v>240</v>
      </c>
      <c r="F78" s="69" t="s">
        <v>146</v>
      </c>
      <c r="G78" s="69" t="s">
        <v>60</v>
      </c>
      <c r="H78" s="69">
        <v>96072014</v>
      </c>
      <c r="I78" s="69" t="s">
        <v>750</v>
      </c>
      <c r="J78" s="69" t="s">
        <v>1254</v>
      </c>
      <c r="K78" s="69" t="s">
        <v>242</v>
      </c>
      <c r="L78" s="94" t="str">
        <f t="shared" si="1"/>
        <v>2013</v>
      </c>
      <c r="M78" s="70">
        <v>43449</v>
      </c>
      <c r="N78" s="69" t="s">
        <v>408</v>
      </c>
      <c r="O78" s="75" t="s">
        <v>1266</v>
      </c>
      <c r="P78" s="70">
        <v>43565</v>
      </c>
      <c r="Q78" s="69" t="s">
        <v>409</v>
      </c>
      <c r="R78" s="69" t="s">
        <v>410</v>
      </c>
      <c r="S78" s="69" t="s">
        <v>290</v>
      </c>
      <c r="T78" s="69" t="s">
        <v>411</v>
      </c>
      <c r="U78" s="69" t="s">
        <v>1159</v>
      </c>
      <c r="V78" s="69" t="s">
        <v>412</v>
      </c>
      <c r="W78" s="69">
        <v>87455531000157</v>
      </c>
      <c r="X78" s="69">
        <v>0</v>
      </c>
      <c r="Y78" s="69" t="s">
        <v>732</v>
      </c>
      <c r="Z78" s="69" t="s">
        <v>1256</v>
      </c>
      <c r="AA78" s="69" t="s">
        <v>734</v>
      </c>
      <c r="AB78" s="69" t="s">
        <v>735</v>
      </c>
      <c r="AC78" s="69" t="s">
        <v>1257</v>
      </c>
      <c r="AD78" s="69" t="s">
        <v>1258</v>
      </c>
      <c r="AE78" s="69">
        <v>96015000</v>
      </c>
      <c r="AF78" s="69" t="s">
        <v>738</v>
      </c>
      <c r="AG78" s="69"/>
      <c r="AH78" s="69">
        <v>101</v>
      </c>
      <c r="AI78" s="69" t="s">
        <v>421</v>
      </c>
      <c r="AJ78" s="69"/>
      <c r="AK78" s="69" t="s">
        <v>240</v>
      </c>
      <c r="AL78" s="69" t="s">
        <v>427</v>
      </c>
      <c r="AM78" s="69">
        <v>42016</v>
      </c>
      <c r="AN78" s="71">
        <v>42538</v>
      </c>
      <c r="AO78" s="69" t="s">
        <v>243</v>
      </c>
      <c r="AP78" s="71">
        <v>42537</v>
      </c>
      <c r="AQ78" s="69">
        <v>579</v>
      </c>
      <c r="AR78" s="71">
        <v>43116</v>
      </c>
      <c r="AS78" s="69" t="s">
        <v>1259</v>
      </c>
      <c r="AT78" s="69">
        <v>1196771.3899999999</v>
      </c>
      <c r="AU78" s="71">
        <v>43234</v>
      </c>
      <c r="AV78" s="69" t="s">
        <v>457</v>
      </c>
      <c r="AW78" s="69"/>
      <c r="AX78" s="151">
        <v>183869.26</v>
      </c>
      <c r="AY78" s="72">
        <v>1.53637746432692E+17</v>
      </c>
      <c r="AZ78" s="69">
        <v>1</v>
      </c>
      <c r="BA78" s="69">
        <v>29</v>
      </c>
      <c r="BB78" s="69">
        <v>312827</v>
      </c>
      <c r="BC78" s="71">
        <v>43251</v>
      </c>
      <c r="BD78" s="69" t="s">
        <v>988</v>
      </c>
      <c r="BE78" s="69" t="s">
        <v>1260</v>
      </c>
      <c r="BF78" s="69" t="s">
        <v>988</v>
      </c>
      <c r="BG78" s="69" t="s">
        <v>988</v>
      </c>
      <c r="BH78" s="73">
        <v>1040878.05</v>
      </c>
    </row>
    <row r="79" spans="1:60">
      <c r="A79" s="68">
        <v>24619</v>
      </c>
      <c r="B79" s="69" t="s">
        <v>250</v>
      </c>
      <c r="C79" s="69" t="s">
        <v>137</v>
      </c>
      <c r="D79" s="79" t="s">
        <v>67</v>
      </c>
      <c r="E79" s="69" t="s">
        <v>240</v>
      </c>
      <c r="F79" s="69" t="s">
        <v>146</v>
      </c>
      <c r="G79" s="69" t="s">
        <v>60</v>
      </c>
      <c r="H79" s="69">
        <v>96060140</v>
      </c>
      <c r="I79" s="69" t="s">
        <v>751</v>
      </c>
      <c r="J79" s="69" t="s">
        <v>730</v>
      </c>
      <c r="K79" s="69" t="s">
        <v>251</v>
      </c>
      <c r="L79" s="94" t="str">
        <f t="shared" si="1"/>
        <v>2013</v>
      </c>
      <c r="M79" s="70">
        <v>43342</v>
      </c>
      <c r="N79" s="69" t="s">
        <v>408</v>
      </c>
      <c r="O79" s="75" t="s">
        <v>1267</v>
      </c>
      <c r="P79" s="70">
        <v>43081</v>
      </c>
      <c r="Q79" s="69" t="s">
        <v>409</v>
      </c>
      <c r="R79" s="69" t="s">
        <v>546</v>
      </c>
      <c r="S79" s="69" t="s">
        <v>290</v>
      </c>
      <c r="T79" s="69" t="s">
        <v>411</v>
      </c>
      <c r="U79" s="69" t="s">
        <v>1268</v>
      </c>
      <c r="V79" s="69" t="s">
        <v>412</v>
      </c>
      <c r="W79" s="69">
        <v>87455531000157</v>
      </c>
      <c r="X79" s="69">
        <v>0</v>
      </c>
      <c r="Y79" s="69" t="s">
        <v>732</v>
      </c>
      <c r="Z79" s="69" t="s">
        <v>1256</v>
      </c>
      <c r="AA79" s="69" t="s">
        <v>734</v>
      </c>
      <c r="AB79" s="69" t="s">
        <v>735</v>
      </c>
      <c r="AC79" s="69" t="s">
        <v>1257</v>
      </c>
      <c r="AD79" s="69" t="s">
        <v>1258</v>
      </c>
      <c r="AE79" s="69">
        <v>96015000</v>
      </c>
      <c r="AF79" s="69" t="s">
        <v>738</v>
      </c>
      <c r="AG79" s="69"/>
      <c r="AH79" s="69">
        <v>101</v>
      </c>
      <c r="AI79" s="69" t="s">
        <v>421</v>
      </c>
      <c r="AJ79" s="69"/>
      <c r="AK79" s="69" t="s">
        <v>240</v>
      </c>
      <c r="AL79" s="69"/>
      <c r="AM79" s="69"/>
      <c r="AN79" s="69"/>
      <c r="AO79" s="69"/>
      <c r="AP79" s="71">
        <v>41586</v>
      </c>
      <c r="AQ79" s="69">
        <v>452</v>
      </c>
      <c r="AR79" s="71">
        <v>42038</v>
      </c>
      <c r="AS79" s="69" t="s">
        <v>1268</v>
      </c>
      <c r="AT79" s="69">
        <v>1522329.37</v>
      </c>
      <c r="AU79" s="71">
        <v>42667</v>
      </c>
      <c r="AV79" s="69" t="s">
        <v>429</v>
      </c>
      <c r="AW79" s="69" t="s">
        <v>430</v>
      </c>
      <c r="AX79" s="151">
        <v>676367.26</v>
      </c>
      <c r="AY79" s="72">
        <v>1.3718198261493101E+17</v>
      </c>
      <c r="AZ79" s="69">
        <v>1</v>
      </c>
      <c r="BA79" s="69">
        <v>29</v>
      </c>
      <c r="BB79" s="69">
        <v>338095</v>
      </c>
      <c r="BC79" s="71">
        <v>43251</v>
      </c>
      <c r="BD79" s="69" t="s">
        <v>988</v>
      </c>
      <c r="BE79" s="69" t="s">
        <v>1269</v>
      </c>
      <c r="BF79" s="69" t="s">
        <v>988</v>
      </c>
      <c r="BG79" s="69" t="s">
        <v>988</v>
      </c>
      <c r="BH79" s="73">
        <v>1153358.79</v>
      </c>
    </row>
    <row r="80" spans="1:60">
      <c r="A80" s="68">
        <v>24620</v>
      </c>
      <c r="B80" s="69" t="s">
        <v>252</v>
      </c>
      <c r="C80" s="69" t="s">
        <v>137</v>
      </c>
      <c r="D80" s="79" t="s">
        <v>64</v>
      </c>
      <c r="E80" s="69" t="s">
        <v>240</v>
      </c>
      <c r="F80" s="69" t="s">
        <v>146</v>
      </c>
      <c r="G80" s="69" t="s">
        <v>60</v>
      </c>
      <c r="H80" s="69">
        <v>96045000</v>
      </c>
      <c r="I80" s="69" t="s">
        <v>752</v>
      </c>
      <c r="J80" s="69" t="s">
        <v>753</v>
      </c>
      <c r="K80" s="69" t="s">
        <v>251</v>
      </c>
      <c r="L80" s="94" t="str">
        <f t="shared" si="1"/>
        <v>2013</v>
      </c>
      <c r="M80" s="70">
        <v>43342</v>
      </c>
      <c r="N80" s="69" t="s">
        <v>408</v>
      </c>
      <c r="O80" s="69" t="s">
        <v>988</v>
      </c>
      <c r="P80" s="69"/>
      <c r="Q80" s="69" t="s">
        <v>409</v>
      </c>
      <c r="R80" s="69" t="s">
        <v>546</v>
      </c>
      <c r="S80" s="69" t="s">
        <v>290</v>
      </c>
      <c r="T80" s="69" t="s">
        <v>411</v>
      </c>
      <c r="U80" s="69" t="s">
        <v>1270</v>
      </c>
      <c r="V80" s="69" t="s">
        <v>412</v>
      </c>
      <c r="W80" s="69">
        <v>87455531000157</v>
      </c>
      <c r="X80" s="69">
        <v>0</v>
      </c>
      <c r="Y80" s="69" t="s">
        <v>732</v>
      </c>
      <c r="Z80" s="69" t="s">
        <v>1256</v>
      </c>
      <c r="AA80" s="69" t="s">
        <v>734</v>
      </c>
      <c r="AB80" s="69" t="s">
        <v>735</v>
      </c>
      <c r="AC80" s="69" t="s">
        <v>1257</v>
      </c>
      <c r="AD80" s="69" t="s">
        <v>1258</v>
      </c>
      <c r="AE80" s="69">
        <v>96015000</v>
      </c>
      <c r="AF80" s="69" t="s">
        <v>738</v>
      </c>
      <c r="AG80" s="69"/>
      <c r="AH80" s="69">
        <v>101</v>
      </c>
      <c r="AI80" s="69" t="s">
        <v>421</v>
      </c>
      <c r="AJ80" s="69"/>
      <c r="AK80" s="69" t="s">
        <v>240</v>
      </c>
      <c r="AL80" s="69"/>
      <c r="AM80" s="69"/>
      <c r="AN80" s="69"/>
      <c r="AO80" s="69"/>
      <c r="AP80" s="71">
        <v>41586</v>
      </c>
      <c r="AQ80" s="69"/>
      <c r="AR80" s="69"/>
      <c r="AS80" s="69" t="s">
        <v>988</v>
      </c>
      <c r="AT80" s="69">
        <v>1526930.41</v>
      </c>
      <c r="AU80" s="69"/>
      <c r="AV80" s="69"/>
      <c r="AW80" s="69"/>
      <c r="AX80" s="151">
        <v>415377.33</v>
      </c>
      <c r="AY80" s="72">
        <v>3.4708159972161203E+17</v>
      </c>
      <c r="AZ80" s="69">
        <v>1</v>
      </c>
      <c r="BA80" s="69">
        <v>29</v>
      </c>
      <c r="BB80" s="69">
        <v>338095</v>
      </c>
      <c r="BC80" s="71">
        <v>43251</v>
      </c>
      <c r="BD80" s="69" t="s">
        <v>988</v>
      </c>
      <c r="BE80" s="69" t="s">
        <v>1269</v>
      </c>
      <c r="BF80" s="69" t="s">
        <v>988</v>
      </c>
      <c r="BG80" s="69" t="s">
        <v>988</v>
      </c>
      <c r="BH80" s="73">
        <v>1153358.79</v>
      </c>
    </row>
    <row r="81" spans="1:60">
      <c r="A81" s="68">
        <v>24621</v>
      </c>
      <c r="B81" s="69" t="s">
        <v>253</v>
      </c>
      <c r="C81" s="69" t="s">
        <v>137</v>
      </c>
      <c r="D81" s="79" t="s">
        <v>64</v>
      </c>
      <c r="E81" s="69" t="s">
        <v>240</v>
      </c>
      <c r="F81" s="69" t="s">
        <v>146</v>
      </c>
      <c r="G81" s="69" t="s">
        <v>60</v>
      </c>
      <c r="H81" s="69">
        <v>96075520</v>
      </c>
      <c r="I81" s="69" t="s">
        <v>754</v>
      </c>
      <c r="J81" s="69" t="s">
        <v>755</v>
      </c>
      <c r="K81" s="69" t="s">
        <v>251</v>
      </c>
      <c r="L81" s="94" t="str">
        <f t="shared" si="1"/>
        <v>2013</v>
      </c>
      <c r="M81" s="70">
        <v>43342</v>
      </c>
      <c r="N81" s="69" t="s">
        <v>408</v>
      </c>
      <c r="O81" s="69" t="s">
        <v>988</v>
      </c>
      <c r="P81" s="69"/>
      <c r="Q81" s="69" t="s">
        <v>409</v>
      </c>
      <c r="R81" s="69" t="s">
        <v>546</v>
      </c>
      <c r="S81" s="69" t="s">
        <v>290</v>
      </c>
      <c r="T81" s="69" t="s">
        <v>411</v>
      </c>
      <c r="U81" s="69" t="s">
        <v>1271</v>
      </c>
      <c r="V81" s="69" t="s">
        <v>412</v>
      </c>
      <c r="W81" s="69">
        <v>87455531000157</v>
      </c>
      <c r="X81" s="69">
        <v>0</v>
      </c>
      <c r="Y81" s="69" t="s">
        <v>732</v>
      </c>
      <c r="Z81" s="69" t="s">
        <v>1256</v>
      </c>
      <c r="AA81" s="69" t="s">
        <v>734</v>
      </c>
      <c r="AB81" s="69" t="s">
        <v>735</v>
      </c>
      <c r="AC81" s="69" t="s">
        <v>1257</v>
      </c>
      <c r="AD81" s="69" t="s">
        <v>1258</v>
      </c>
      <c r="AE81" s="69">
        <v>96015000</v>
      </c>
      <c r="AF81" s="69" t="s">
        <v>738</v>
      </c>
      <c r="AG81" s="69"/>
      <c r="AH81" s="69">
        <v>101</v>
      </c>
      <c r="AI81" s="69" t="s">
        <v>421</v>
      </c>
      <c r="AJ81" s="69"/>
      <c r="AK81" s="69" t="s">
        <v>240</v>
      </c>
      <c r="AL81" s="69"/>
      <c r="AM81" s="69"/>
      <c r="AN81" s="69"/>
      <c r="AO81" s="69"/>
      <c r="AP81" s="71">
        <v>41586</v>
      </c>
      <c r="AQ81" s="69"/>
      <c r="AR81" s="69"/>
      <c r="AS81" s="69" t="s">
        <v>988</v>
      </c>
      <c r="AT81" s="69">
        <v>1515462.9</v>
      </c>
      <c r="AU81" s="69"/>
      <c r="AV81" s="69"/>
      <c r="AW81" s="69"/>
      <c r="AX81" s="151">
        <v>405341.22</v>
      </c>
      <c r="AY81" s="72">
        <v>2.2488050907283802E+17</v>
      </c>
      <c r="AZ81" s="69">
        <v>1</v>
      </c>
      <c r="BA81" s="69">
        <v>29</v>
      </c>
      <c r="BB81" s="69">
        <v>338095</v>
      </c>
      <c r="BC81" s="71">
        <v>43251</v>
      </c>
      <c r="BD81" s="69" t="s">
        <v>988</v>
      </c>
      <c r="BE81" s="69" t="s">
        <v>1269</v>
      </c>
      <c r="BF81" s="69" t="s">
        <v>988</v>
      </c>
      <c r="BG81" s="69" t="s">
        <v>988</v>
      </c>
      <c r="BH81" s="73">
        <v>1153358.79</v>
      </c>
    </row>
    <row r="82" spans="1:60">
      <c r="A82" s="68">
        <v>24622</v>
      </c>
      <c r="B82" s="69" t="s">
        <v>254</v>
      </c>
      <c r="C82" s="69" t="s">
        <v>82</v>
      </c>
      <c r="D82" s="79" t="s">
        <v>64</v>
      </c>
      <c r="E82" s="69" t="s">
        <v>240</v>
      </c>
      <c r="F82" s="69" t="s">
        <v>146</v>
      </c>
      <c r="G82" s="69" t="s">
        <v>60</v>
      </c>
      <c r="H82" s="69">
        <v>96040350</v>
      </c>
      <c r="I82" s="69" t="s">
        <v>756</v>
      </c>
      <c r="J82" s="69" t="s">
        <v>753</v>
      </c>
      <c r="K82" s="69" t="s">
        <v>251</v>
      </c>
      <c r="L82" s="94" t="str">
        <f t="shared" si="1"/>
        <v>2013</v>
      </c>
      <c r="M82" s="70">
        <v>43342</v>
      </c>
      <c r="N82" s="69" t="s">
        <v>408</v>
      </c>
      <c r="O82" s="69" t="s">
        <v>988</v>
      </c>
      <c r="P82" s="69"/>
      <c r="Q82" s="69" t="s">
        <v>409</v>
      </c>
      <c r="R82" s="69" t="s">
        <v>546</v>
      </c>
      <c r="S82" s="69" t="s">
        <v>290</v>
      </c>
      <c r="T82" s="69" t="s">
        <v>411</v>
      </c>
      <c r="U82" s="69" t="s">
        <v>1270</v>
      </c>
      <c r="V82" s="69" t="s">
        <v>412</v>
      </c>
      <c r="W82" s="69">
        <v>87455531000157</v>
      </c>
      <c r="X82" s="69">
        <v>0</v>
      </c>
      <c r="Y82" s="69" t="s">
        <v>732</v>
      </c>
      <c r="Z82" s="69" t="s">
        <v>1256</v>
      </c>
      <c r="AA82" s="69" t="s">
        <v>734</v>
      </c>
      <c r="AB82" s="69" t="s">
        <v>735</v>
      </c>
      <c r="AC82" s="69" t="s">
        <v>1257</v>
      </c>
      <c r="AD82" s="69" t="s">
        <v>1258</v>
      </c>
      <c r="AE82" s="69">
        <v>96015000</v>
      </c>
      <c r="AF82" s="69" t="s">
        <v>738</v>
      </c>
      <c r="AG82" s="69"/>
      <c r="AH82" s="69">
        <v>101</v>
      </c>
      <c r="AI82" s="69" t="s">
        <v>421</v>
      </c>
      <c r="AJ82" s="69"/>
      <c r="AK82" s="69" t="s">
        <v>240</v>
      </c>
      <c r="AL82" s="69"/>
      <c r="AM82" s="69"/>
      <c r="AN82" s="69"/>
      <c r="AO82" s="69"/>
      <c r="AP82" s="71">
        <v>41586</v>
      </c>
      <c r="AQ82" s="69"/>
      <c r="AR82" s="69"/>
      <c r="AS82" s="69" t="s">
        <v>988</v>
      </c>
      <c r="AT82" s="69">
        <v>1526930.41</v>
      </c>
      <c r="AU82" s="69"/>
      <c r="AV82" s="69"/>
      <c r="AW82" s="69"/>
      <c r="AX82" s="151">
        <v>415490.76</v>
      </c>
      <c r="AY82" s="72">
        <v>2.7210851082597699E+17</v>
      </c>
      <c r="AZ82" s="69">
        <v>1</v>
      </c>
      <c r="BA82" s="69">
        <v>29</v>
      </c>
      <c r="BB82" s="69">
        <v>338095</v>
      </c>
      <c r="BC82" s="71">
        <v>43251</v>
      </c>
      <c r="BD82" s="69" t="s">
        <v>988</v>
      </c>
      <c r="BE82" s="69" t="s">
        <v>1269</v>
      </c>
      <c r="BF82" s="69" t="s">
        <v>988</v>
      </c>
      <c r="BG82" s="69" t="s">
        <v>988</v>
      </c>
      <c r="BH82" s="73">
        <v>1153358.79</v>
      </c>
    </row>
    <row r="83" spans="1:60">
      <c r="A83" s="68">
        <v>24623</v>
      </c>
      <c r="B83" s="69" t="s">
        <v>255</v>
      </c>
      <c r="C83" s="69" t="s">
        <v>137</v>
      </c>
      <c r="D83" s="79" t="s">
        <v>67</v>
      </c>
      <c r="E83" s="69" t="s">
        <v>240</v>
      </c>
      <c r="F83" s="69" t="s">
        <v>146</v>
      </c>
      <c r="G83" s="69" t="s">
        <v>60</v>
      </c>
      <c r="H83" s="69">
        <v>96070370</v>
      </c>
      <c r="I83" s="69" t="s">
        <v>757</v>
      </c>
      <c r="J83" s="69" t="s">
        <v>730</v>
      </c>
      <c r="K83" s="69" t="s">
        <v>251</v>
      </c>
      <c r="L83" s="94" t="str">
        <f t="shared" si="1"/>
        <v>2013</v>
      </c>
      <c r="M83" s="70">
        <v>43342</v>
      </c>
      <c r="N83" s="69" t="s">
        <v>408</v>
      </c>
      <c r="O83" s="75" t="s">
        <v>1272</v>
      </c>
      <c r="P83" s="70">
        <v>43081</v>
      </c>
      <c r="Q83" s="69" t="s">
        <v>409</v>
      </c>
      <c r="R83" s="69" t="s">
        <v>546</v>
      </c>
      <c r="S83" s="69" t="s">
        <v>290</v>
      </c>
      <c r="T83" s="69" t="s">
        <v>411</v>
      </c>
      <c r="U83" s="69" t="s">
        <v>1273</v>
      </c>
      <c r="V83" s="69" t="s">
        <v>412</v>
      </c>
      <c r="W83" s="69">
        <v>87455531000157</v>
      </c>
      <c r="X83" s="69">
        <v>0</v>
      </c>
      <c r="Y83" s="69" t="s">
        <v>732</v>
      </c>
      <c r="Z83" s="69" t="s">
        <v>1256</v>
      </c>
      <c r="AA83" s="69" t="s">
        <v>734</v>
      </c>
      <c r="AB83" s="69" t="s">
        <v>735</v>
      </c>
      <c r="AC83" s="69" t="s">
        <v>1257</v>
      </c>
      <c r="AD83" s="69" t="s">
        <v>1258</v>
      </c>
      <c r="AE83" s="69">
        <v>96015000</v>
      </c>
      <c r="AF83" s="69" t="s">
        <v>738</v>
      </c>
      <c r="AG83" s="69"/>
      <c r="AH83" s="69">
        <v>101</v>
      </c>
      <c r="AI83" s="69" t="s">
        <v>421</v>
      </c>
      <c r="AJ83" s="69"/>
      <c r="AK83" s="69" t="s">
        <v>240</v>
      </c>
      <c r="AL83" s="69"/>
      <c r="AM83" s="69"/>
      <c r="AN83" s="69"/>
      <c r="AO83" s="69"/>
      <c r="AP83" s="71">
        <v>41586</v>
      </c>
      <c r="AQ83" s="69"/>
      <c r="AR83" s="69"/>
      <c r="AS83" s="69" t="s">
        <v>988</v>
      </c>
      <c r="AT83" s="69">
        <v>1531110.41</v>
      </c>
      <c r="AU83" s="71">
        <v>42667</v>
      </c>
      <c r="AV83" s="69" t="s">
        <v>429</v>
      </c>
      <c r="AW83" s="69" t="s">
        <v>430</v>
      </c>
      <c r="AX83" s="151">
        <v>685148.3</v>
      </c>
      <c r="AY83" s="72">
        <v>4.4748458081478202E+17</v>
      </c>
      <c r="AZ83" s="69">
        <v>1</v>
      </c>
      <c r="BA83" s="69">
        <v>29</v>
      </c>
      <c r="BB83" s="69">
        <v>338095</v>
      </c>
      <c r="BC83" s="71">
        <v>43251</v>
      </c>
      <c r="BD83" s="69" t="s">
        <v>988</v>
      </c>
      <c r="BE83" s="69" t="s">
        <v>1269</v>
      </c>
      <c r="BF83" s="69" t="s">
        <v>988</v>
      </c>
      <c r="BG83" s="69" t="s">
        <v>988</v>
      </c>
      <c r="BH83" s="73">
        <v>1153358.79</v>
      </c>
    </row>
    <row r="84" spans="1:60">
      <c r="A84" s="68">
        <v>1009321</v>
      </c>
      <c r="B84" s="69" t="s">
        <v>256</v>
      </c>
      <c r="C84" s="69" t="s">
        <v>137</v>
      </c>
      <c r="D84" s="79" t="s">
        <v>64</v>
      </c>
      <c r="E84" s="69" t="s">
        <v>240</v>
      </c>
      <c r="F84" s="69" t="s">
        <v>146</v>
      </c>
      <c r="G84" s="69" t="s">
        <v>60</v>
      </c>
      <c r="H84" s="69">
        <v>96081150</v>
      </c>
      <c r="I84" s="69" t="s">
        <v>758</v>
      </c>
      <c r="J84" s="69" t="s">
        <v>1264</v>
      </c>
      <c r="K84" s="69" t="s">
        <v>257</v>
      </c>
      <c r="L84" s="94" t="str">
        <f t="shared" si="1"/>
        <v>2014</v>
      </c>
      <c r="M84" s="70">
        <v>43464</v>
      </c>
      <c r="N84" s="69" t="s">
        <v>408</v>
      </c>
      <c r="O84" s="69" t="s">
        <v>988</v>
      </c>
      <c r="P84" s="69"/>
      <c r="Q84" s="69" t="s">
        <v>409</v>
      </c>
      <c r="R84" s="69" t="s">
        <v>583</v>
      </c>
      <c r="S84" s="69" t="s">
        <v>290</v>
      </c>
      <c r="T84" s="69" t="s">
        <v>411</v>
      </c>
      <c r="U84" s="69" t="s">
        <v>1274</v>
      </c>
      <c r="V84" s="69" t="s">
        <v>412</v>
      </c>
      <c r="W84" s="69">
        <v>87455531000157</v>
      </c>
      <c r="X84" s="69">
        <v>0</v>
      </c>
      <c r="Y84" s="69" t="s">
        <v>732</v>
      </c>
      <c r="Z84" s="69" t="s">
        <v>1256</v>
      </c>
      <c r="AA84" s="69" t="s">
        <v>734</v>
      </c>
      <c r="AB84" s="69" t="s">
        <v>735</v>
      </c>
      <c r="AC84" s="69" t="s">
        <v>1257</v>
      </c>
      <c r="AD84" s="69" t="s">
        <v>1258</v>
      </c>
      <c r="AE84" s="69">
        <v>96015000</v>
      </c>
      <c r="AF84" s="69" t="s">
        <v>738</v>
      </c>
      <c r="AG84" s="69"/>
      <c r="AH84" s="69">
        <v>101</v>
      </c>
      <c r="AI84" s="69" t="s">
        <v>421</v>
      </c>
      <c r="AJ84" s="69"/>
      <c r="AK84" s="69" t="s">
        <v>240</v>
      </c>
      <c r="AL84" s="69"/>
      <c r="AM84" s="69"/>
      <c r="AN84" s="69"/>
      <c r="AO84" s="69"/>
      <c r="AP84" s="69"/>
      <c r="AQ84" s="69"/>
      <c r="AR84" s="69"/>
      <c r="AS84" s="69"/>
      <c r="AT84" s="69">
        <v>795563.29</v>
      </c>
      <c r="AU84" s="69"/>
      <c r="AV84" s="69"/>
      <c r="AW84" s="69"/>
      <c r="AX84" s="151"/>
      <c r="AY84" s="69"/>
      <c r="AZ84" s="69">
        <v>1</v>
      </c>
      <c r="BA84" s="69">
        <v>29</v>
      </c>
      <c r="BB84" s="69">
        <v>420832</v>
      </c>
      <c r="BC84" s="71">
        <v>43251</v>
      </c>
      <c r="BD84" s="69" t="s">
        <v>988</v>
      </c>
      <c r="BE84" s="69" t="s">
        <v>988</v>
      </c>
      <c r="BF84" s="69" t="s">
        <v>988</v>
      </c>
      <c r="BG84" s="69" t="s">
        <v>988</v>
      </c>
      <c r="BH84" s="73">
        <v>0</v>
      </c>
    </row>
    <row r="85" spans="1:60">
      <c r="A85" s="68">
        <v>1009322</v>
      </c>
      <c r="B85" s="69" t="s">
        <v>258</v>
      </c>
      <c r="C85" s="69" t="s">
        <v>137</v>
      </c>
      <c r="D85" s="79" t="s">
        <v>64</v>
      </c>
      <c r="E85" s="69" t="s">
        <v>240</v>
      </c>
      <c r="F85" s="69" t="s">
        <v>146</v>
      </c>
      <c r="G85" s="69" t="s">
        <v>60</v>
      </c>
      <c r="H85" s="69">
        <v>96090130</v>
      </c>
      <c r="I85" s="69" t="s">
        <v>760</v>
      </c>
      <c r="J85" s="69" t="s">
        <v>1275</v>
      </c>
      <c r="K85" s="69" t="s">
        <v>257</v>
      </c>
      <c r="L85" s="94" t="str">
        <f t="shared" si="1"/>
        <v>2014</v>
      </c>
      <c r="M85" s="70">
        <v>43464</v>
      </c>
      <c r="N85" s="69" t="s">
        <v>408</v>
      </c>
      <c r="O85" s="69" t="s">
        <v>988</v>
      </c>
      <c r="P85" s="69"/>
      <c r="Q85" s="69" t="s">
        <v>409</v>
      </c>
      <c r="R85" s="69" t="s">
        <v>546</v>
      </c>
      <c r="S85" s="69" t="s">
        <v>290</v>
      </c>
      <c r="T85" s="69" t="s">
        <v>411</v>
      </c>
      <c r="U85" s="69" t="s">
        <v>1270</v>
      </c>
      <c r="V85" s="69" t="s">
        <v>412</v>
      </c>
      <c r="W85" s="69">
        <v>87455531000157</v>
      </c>
      <c r="X85" s="69">
        <v>0</v>
      </c>
      <c r="Y85" s="69" t="s">
        <v>732</v>
      </c>
      <c r="Z85" s="69" t="s">
        <v>1256</v>
      </c>
      <c r="AA85" s="69" t="s">
        <v>734</v>
      </c>
      <c r="AB85" s="69" t="s">
        <v>735</v>
      </c>
      <c r="AC85" s="69" t="s">
        <v>1257</v>
      </c>
      <c r="AD85" s="69" t="s">
        <v>1258</v>
      </c>
      <c r="AE85" s="69">
        <v>96015000</v>
      </c>
      <c r="AF85" s="69" t="s">
        <v>738</v>
      </c>
      <c r="AG85" s="69"/>
      <c r="AH85" s="69">
        <v>101</v>
      </c>
      <c r="AI85" s="69" t="s">
        <v>421</v>
      </c>
      <c r="AJ85" s="69"/>
      <c r="AK85" s="69" t="s">
        <v>240</v>
      </c>
      <c r="AL85" s="69"/>
      <c r="AM85" s="69"/>
      <c r="AN85" s="69"/>
      <c r="AO85" s="69"/>
      <c r="AP85" s="69"/>
      <c r="AQ85" s="69"/>
      <c r="AR85" s="69"/>
      <c r="AS85" s="69"/>
      <c r="AT85" s="69">
        <v>1526930.41</v>
      </c>
      <c r="AU85" s="69"/>
      <c r="AV85" s="69"/>
      <c r="AW85" s="69"/>
      <c r="AX85" s="151"/>
      <c r="AY85" s="69"/>
      <c r="AZ85" s="69">
        <v>1</v>
      </c>
      <c r="BA85" s="69">
        <v>29</v>
      </c>
      <c r="BB85" s="69">
        <v>420832</v>
      </c>
      <c r="BC85" s="71">
        <v>43251</v>
      </c>
      <c r="BD85" s="69" t="s">
        <v>988</v>
      </c>
      <c r="BE85" s="69" t="s">
        <v>988</v>
      </c>
      <c r="BF85" s="69" t="s">
        <v>988</v>
      </c>
      <c r="BG85" s="69" t="s">
        <v>988</v>
      </c>
      <c r="BH85" s="73">
        <v>0</v>
      </c>
    </row>
    <row r="86" spans="1:60">
      <c r="A86" s="68">
        <v>17717</v>
      </c>
      <c r="B86" s="69" t="s">
        <v>260</v>
      </c>
      <c r="C86" s="69" t="s">
        <v>82</v>
      </c>
      <c r="D86" s="79" t="s">
        <v>64</v>
      </c>
      <c r="E86" s="69" t="s">
        <v>259</v>
      </c>
      <c r="F86" s="69" t="s">
        <v>55</v>
      </c>
      <c r="G86" s="69" t="s">
        <v>60</v>
      </c>
      <c r="H86" s="69">
        <v>84051900</v>
      </c>
      <c r="I86" s="69" t="s">
        <v>762</v>
      </c>
      <c r="J86" s="69"/>
      <c r="K86" s="69" t="s">
        <v>261</v>
      </c>
      <c r="L86" s="94" t="str">
        <f t="shared" si="1"/>
        <v>2011</v>
      </c>
      <c r="M86" s="69"/>
      <c r="N86" s="69" t="s">
        <v>408</v>
      </c>
      <c r="O86" s="69" t="s">
        <v>988</v>
      </c>
      <c r="P86" s="70">
        <v>41744</v>
      </c>
      <c r="Q86" s="69" t="s">
        <v>409</v>
      </c>
      <c r="R86" s="69" t="s">
        <v>546</v>
      </c>
      <c r="S86" s="69" t="s">
        <v>290</v>
      </c>
      <c r="T86" s="69" t="s">
        <v>411</v>
      </c>
      <c r="U86" s="69" t="s">
        <v>988</v>
      </c>
      <c r="V86" s="69" t="s">
        <v>412</v>
      </c>
      <c r="W86" s="69">
        <v>76175884000187</v>
      </c>
      <c r="X86" s="69"/>
      <c r="Y86" s="69" t="s">
        <v>763</v>
      </c>
      <c r="Z86" s="69" t="s">
        <v>1276</v>
      </c>
      <c r="AA86" s="69" t="s">
        <v>765</v>
      </c>
      <c r="AB86" s="69" t="s">
        <v>766</v>
      </c>
      <c r="AC86" s="69" t="s">
        <v>1277</v>
      </c>
      <c r="AD86" s="69" t="s">
        <v>1278</v>
      </c>
      <c r="AE86" s="69">
        <v>84051900</v>
      </c>
      <c r="AF86" s="69" t="s">
        <v>769</v>
      </c>
      <c r="AG86" s="69" t="s">
        <v>770</v>
      </c>
      <c r="AH86" s="69">
        <v>950</v>
      </c>
      <c r="AI86" s="69" t="s">
        <v>573</v>
      </c>
      <c r="AJ86" s="69"/>
      <c r="AK86" s="69" t="s">
        <v>259</v>
      </c>
      <c r="AL86" s="69" t="s">
        <v>427</v>
      </c>
      <c r="AM86" s="69">
        <v>262012</v>
      </c>
      <c r="AN86" s="71">
        <v>41193</v>
      </c>
      <c r="AO86" s="69" t="s">
        <v>771</v>
      </c>
      <c r="AP86" s="71">
        <v>41193</v>
      </c>
      <c r="AQ86" s="69">
        <v>311</v>
      </c>
      <c r="AR86" s="71">
        <v>41504</v>
      </c>
      <c r="AS86" s="69" t="s">
        <v>1279</v>
      </c>
      <c r="AT86" s="69">
        <v>0</v>
      </c>
      <c r="AU86" s="71">
        <v>41697</v>
      </c>
      <c r="AV86" s="69" t="s">
        <v>429</v>
      </c>
      <c r="AW86" s="69" t="s">
        <v>430</v>
      </c>
      <c r="AX86" s="151"/>
      <c r="AY86" s="69"/>
      <c r="AZ86" s="69">
        <v>1</v>
      </c>
      <c r="BA86" s="69">
        <v>30</v>
      </c>
      <c r="BB86" s="69" t="s">
        <v>774</v>
      </c>
      <c r="BC86" s="71">
        <v>43251</v>
      </c>
      <c r="BD86" s="69" t="s">
        <v>988</v>
      </c>
      <c r="BE86" s="69" t="s">
        <v>1280</v>
      </c>
      <c r="BF86" s="69" t="s">
        <v>988</v>
      </c>
      <c r="BG86" s="69" t="s">
        <v>988</v>
      </c>
      <c r="BH86" s="73">
        <v>5906020.8399999999</v>
      </c>
    </row>
    <row r="87" spans="1:60">
      <c r="A87" s="68">
        <v>17718</v>
      </c>
      <c r="B87" s="69" t="s">
        <v>262</v>
      </c>
      <c r="C87" s="69" t="s">
        <v>82</v>
      </c>
      <c r="D87" s="79" t="s">
        <v>64</v>
      </c>
      <c r="E87" s="69" t="s">
        <v>259</v>
      </c>
      <c r="F87" s="69" t="s">
        <v>55</v>
      </c>
      <c r="G87" s="69" t="s">
        <v>60</v>
      </c>
      <c r="H87" s="69">
        <v>84051900</v>
      </c>
      <c r="I87" s="69" t="s">
        <v>775</v>
      </c>
      <c r="J87" s="69"/>
      <c r="K87" s="69" t="s">
        <v>261</v>
      </c>
      <c r="L87" s="94" t="str">
        <f t="shared" si="1"/>
        <v>2011</v>
      </c>
      <c r="M87" s="69"/>
      <c r="N87" s="69" t="s">
        <v>408</v>
      </c>
      <c r="O87" s="69" t="s">
        <v>988</v>
      </c>
      <c r="P87" s="70">
        <v>41744</v>
      </c>
      <c r="Q87" s="69" t="s">
        <v>409</v>
      </c>
      <c r="R87" s="69" t="s">
        <v>546</v>
      </c>
      <c r="S87" s="69" t="s">
        <v>290</v>
      </c>
      <c r="T87" s="69" t="s">
        <v>411</v>
      </c>
      <c r="U87" s="69" t="s">
        <v>988</v>
      </c>
      <c r="V87" s="69" t="s">
        <v>412</v>
      </c>
      <c r="W87" s="69">
        <v>76175884000187</v>
      </c>
      <c r="X87" s="69"/>
      <c r="Y87" s="69" t="s">
        <v>763</v>
      </c>
      <c r="Z87" s="69" t="s">
        <v>1276</v>
      </c>
      <c r="AA87" s="69" t="s">
        <v>765</v>
      </c>
      <c r="AB87" s="69" t="s">
        <v>766</v>
      </c>
      <c r="AC87" s="69" t="s">
        <v>1277</v>
      </c>
      <c r="AD87" s="69" t="s">
        <v>1278</v>
      </c>
      <c r="AE87" s="69">
        <v>84051900</v>
      </c>
      <c r="AF87" s="69" t="s">
        <v>769</v>
      </c>
      <c r="AG87" s="69" t="s">
        <v>770</v>
      </c>
      <c r="AH87" s="69">
        <v>950</v>
      </c>
      <c r="AI87" s="69" t="s">
        <v>573</v>
      </c>
      <c r="AJ87" s="69"/>
      <c r="AK87" s="69" t="s">
        <v>259</v>
      </c>
      <c r="AL87" s="69" t="s">
        <v>427</v>
      </c>
      <c r="AM87" s="69">
        <v>262012</v>
      </c>
      <c r="AN87" s="71">
        <v>41193</v>
      </c>
      <c r="AO87" s="69" t="s">
        <v>776</v>
      </c>
      <c r="AP87" s="71">
        <v>41193</v>
      </c>
      <c r="AQ87" s="69">
        <v>311</v>
      </c>
      <c r="AR87" s="71">
        <v>41504</v>
      </c>
      <c r="AS87" s="69" t="s">
        <v>1281</v>
      </c>
      <c r="AT87" s="69">
        <v>0</v>
      </c>
      <c r="AU87" s="71">
        <v>41697</v>
      </c>
      <c r="AV87" s="69" t="s">
        <v>429</v>
      </c>
      <c r="AW87" s="69" t="s">
        <v>430</v>
      </c>
      <c r="AX87" s="151"/>
      <c r="AY87" s="69"/>
      <c r="AZ87" s="69">
        <v>1</v>
      </c>
      <c r="BA87" s="69">
        <v>30</v>
      </c>
      <c r="BB87" s="69" t="s">
        <v>774</v>
      </c>
      <c r="BC87" s="71">
        <v>43251</v>
      </c>
      <c r="BD87" s="69" t="s">
        <v>988</v>
      </c>
      <c r="BE87" s="69" t="s">
        <v>1280</v>
      </c>
      <c r="BF87" s="69" t="s">
        <v>988</v>
      </c>
      <c r="BG87" s="69" t="s">
        <v>988</v>
      </c>
      <c r="BH87" s="73">
        <v>5906020.8399999999</v>
      </c>
    </row>
    <row r="88" spans="1:60">
      <c r="A88" s="68">
        <v>17720</v>
      </c>
      <c r="B88" s="69" t="s">
        <v>263</v>
      </c>
      <c r="C88" s="69" t="s">
        <v>67</v>
      </c>
      <c r="D88" s="80" t="s">
        <v>67</v>
      </c>
      <c r="E88" s="69" t="s">
        <v>259</v>
      </c>
      <c r="F88" s="69" t="s">
        <v>55</v>
      </c>
      <c r="G88" s="69" t="s">
        <v>60</v>
      </c>
      <c r="H88" s="69">
        <v>84051900</v>
      </c>
      <c r="I88" s="69" t="s">
        <v>777</v>
      </c>
      <c r="J88" s="69"/>
      <c r="K88" s="69" t="s">
        <v>261</v>
      </c>
      <c r="L88" s="94" t="str">
        <f t="shared" si="1"/>
        <v>2011</v>
      </c>
      <c r="M88" s="69"/>
      <c r="N88" s="69" t="s">
        <v>408</v>
      </c>
      <c r="O88" s="69" t="s">
        <v>1282</v>
      </c>
      <c r="P88" s="70">
        <v>43443</v>
      </c>
      <c r="Q88" s="69" t="s">
        <v>409</v>
      </c>
      <c r="R88" s="69" t="s">
        <v>447</v>
      </c>
      <c r="S88" s="69" t="s">
        <v>290</v>
      </c>
      <c r="T88" s="69" t="s">
        <v>411</v>
      </c>
      <c r="U88" s="69" t="s">
        <v>988</v>
      </c>
      <c r="V88" s="69" t="s">
        <v>412</v>
      </c>
      <c r="W88" s="69">
        <v>76175884000187</v>
      </c>
      <c r="X88" s="69"/>
      <c r="Y88" s="69" t="s">
        <v>763</v>
      </c>
      <c r="Z88" s="69" t="s">
        <v>1276</v>
      </c>
      <c r="AA88" s="69" t="s">
        <v>765</v>
      </c>
      <c r="AB88" s="69" t="s">
        <v>766</v>
      </c>
      <c r="AC88" s="69" t="s">
        <v>1277</v>
      </c>
      <c r="AD88" s="69" t="s">
        <v>1278</v>
      </c>
      <c r="AE88" s="69">
        <v>84051900</v>
      </c>
      <c r="AF88" s="69" t="s">
        <v>769</v>
      </c>
      <c r="AG88" s="69" t="s">
        <v>770</v>
      </c>
      <c r="AH88" s="69">
        <v>950</v>
      </c>
      <c r="AI88" s="69" t="s">
        <v>573</v>
      </c>
      <c r="AJ88" s="69"/>
      <c r="AK88" s="69" t="s">
        <v>259</v>
      </c>
      <c r="AL88" s="69" t="s">
        <v>427</v>
      </c>
      <c r="AM88" s="69">
        <v>262012</v>
      </c>
      <c r="AN88" s="71">
        <v>41009</v>
      </c>
      <c r="AO88" s="69" t="s">
        <v>778</v>
      </c>
      <c r="AP88" s="71">
        <v>41009</v>
      </c>
      <c r="AQ88" s="69">
        <v>308</v>
      </c>
      <c r="AR88" s="71">
        <v>41317</v>
      </c>
      <c r="AS88" s="69" t="s">
        <v>1283</v>
      </c>
      <c r="AT88" s="69">
        <v>0</v>
      </c>
      <c r="AU88" s="71">
        <v>42713</v>
      </c>
      <c r="AV88" s="69" t="s">
        <v>429</v>
      </c>
      <c r="AW88" s="69" t="s">
        <v>779</v>
      </c>
      <c r="AX88" s="151"/>
      <c r="AY88" s="69"/>
      <c r="AZ88" s="69">
        <v>1</v>
      </c>
      <c r="BA88" s="69">
        <v>30</v>
      </c>
      <c r="BB88" s="69" t="s">
        <v>774</v>
      </c>
      <c r="BC88" s="71">
        <v>43251</v>
      </c>
      <c r="BD88" s="69" t="s">
        <v>988</v>
      </c>
      <c r="BE88" s="69" t="s">
        <v>1280</v>
      </c>
      <c r="BF88" s="69" t="s">
        <v>988</v>
      </c>
      <c r="BG88" s="69" t="s">
        <v>988</v>
      </c>
      <c r="BH88" s="73">
        <v>5906020.8399999999</v>
      </c>
    </row>
    <row r="89" spans="1:60">
      <c r="A89" s="68">
        <v>19529</v>
      </c>
      <c r="B89" s="69" t="s">
        <v>264</v>
      </c>
      <c r="C89" s="69" t="s">
        <v>82</v>
      </c>
      <c r="D89" s="79" t="s">
        <v>64</v>
      </c>
      <c r="E89" s="69" t="s">
        <v>259</v>
      </c>
      <c r="F89" s="69" t="s">
        <v>55</v>
      </c>
      <c r="G89" s="69" t="s">
        <v>60</v>
      </c>
      <c r="H89" s="69">
        <v>84022418</v>
      </c>
      <c r="I89" s="69" t="s">
        <v>780</v>
      </c>
      <c r="J89" s="69" t="s">
        <v>1284</v>
      </c>
      <c r="K89" s="69" t="s">
        <v>265</v>
      </c>
      <c r="L89" s="94" t="str">
        <f t="shared" si="1"/>
        <v>2014</v>
      </c>
      <c r="M89" s="70">
        <v>43393</v>
      </c>
      <c r="N89" s="69" t="s">
        <v>408</v>
      </c>
      <c r="O89" s="69" t="s">
        <v>988</v>
      </c>
      <c r="P89" s="69"/>
      <c r="Q89" s="69" t="s">
        <v>409</v>
      </c>
      <c r="R89" s="69" t="s">
        <v>546</v>
      </c>
      <c r="S89" s="69" t="s">
        <v>290</v>
      </c>
      <c r="T89" s="69" t="s">
        <v>411</v>
      </c>
      <c r="U89" s="69" t="s">
        <v>1285</v>
      </c>
      <c r="V89" s="69" t="s">
        <v>412</v>
      </c>
      <c r="W89" s="69">
        <v>76175884000187</v>
      </c>
      <c r="X89" s="69"/>
      <c r="Y89" s="69" t="s">
        <v>763</v>
      </c>
      <c r="Z89" s="69" t="s">
        <v>1276</v>
      </c>
      <c r="AA89" s="69" t="s">
        <v>765</v>
      </c>
      <c r="AB89" s="69" t="s">
        <v>766</v>
      </c>
      <c r="AC89" s="69" t="s">
        <v>1277</v>
      </c>
      <c r="AD89" s="69" t="s">
        <v>1278</v>
      </c>
      <c r="AE89" s="69">
        <v>84051900</v>
      </c>
      <c r="AF89" s="69" t="s">
        <v>769</v>
      </c>
      <c r="AG89" s="69" t="s">
        <v>770</v>
      </c>
      <c r="AH89" s="69">
        <v>950</v>
      </c>
      <c r="AI89" s="69" t="s">
        <v>573</v>
      </c>
      <c r="AJ89" s="69"/>
      <c r="AK89" s="69" t="s">
        <v>259</v>
      </c>
      <c r="AL89" s="69" t="s">
        <v>427</v>
      </c>
      <c r="AM89" s="69">
        <v>252012</v>
      </c>
      <c r="AN89" s="71">
        <v>41193</v>
      </c>
      <c r="AO89" s="69" t="s">
        <v>776</v>
      </c>
      <c r="AP89" s="71">
        <v>41193</v>
      </c>
      <c r="AQ89" s="69">
        <v>480</v>
      </c>
      <c r="AR89" s="71">
        <v>41673</v>
      </c>
      <c r="AS89" s="69" t="s">
        <v>1286</v>
      </c>
      <c r="AT89" s="69">
        <v>1497430.54</v>
      </c>
      <c r="AU89" s="69"/>
      <c r="AV89" s="69"/>
      <c r="AW89" s="69"/>
      <c r="AX89" s="151">
        <v>879291.23</v>
      </c>
      <c r="AY89" s="72">
        <v>5.8720001129401306E+17</v>
      </c>
      <c r="AZ89" s="69">
        <v>1</v>
      </c>
      <c r="BA89" s="69">
        <v>30</v>
      </c>
      <c r="BB89" s="69">
        <v>620696</v>
      </c>
      <c r="BC89" s="71">
        <v>43251</v>
      </c>
      <c r="BD89" s="69" t="s">
        <v>988</v>
      </c>
      <c r="BE89" s="69" t="s">
        <v>1287</v>
      </c>
      <c r="BF89" s="69" t="s">
        <v>988</v>
      </c>
      <c r="BG89" s="69" t="s">
        <v>988</v>
      </c>
      <c r="BH89" s="73">
        <v>1562425.86</v>
      </c>
    </row>
    <row r="90" spans="1:60">
      <c r="A90" s="68">
        <v>19531</v>
      </c>
      <c r="B90" s="69" t="s">
        <v>266</v>
      </c>
      <c r="C90" s="69" t="s">
        <v>82</v>
      </c>
      <c r="D90" s="79" t="s">
        <v>64</v>
      </c>
      <c r="E90" s="69" t="s">
        <v>259</v>
      </c>
      <c r="F90" s="69" t="s">
        <v>55</v>
      </c>
      <c r="G90" s="69" t="s">
        <v>60</v>
      </c>
      <c r="H90" s="69">
        <v>84053380</v>
      </c>
      <c r="I90" s="69" t="s">
        <v>783</v>
      </c>
      <c r="J90" s="69" t="s">
        <v>1288</v>
      </c>
      <c r="K90" s="69" t="s">
        <v>265</v>
      </c>
      <c r="L90" s="94" t="str">
        <f t="shared" si="1"/>
        <v>2014</v>
      </c>
      <c r="M90" s="70">
        <v>43393</v>
      </c>
      <c r="N90" s="69" t="s">
        <v>408</v>
      </c>
      <c r="O90" s="69" t="s">
        <v>988</v>
      </c>
      <c r="P90" s="69"/>
      <c r="Q90" s="69" t="s">
        <v>409</v>
      </c>
      <c r="R90" s="69" t="s">
        <v>583</v>
      </c>
      <c r="S90" s="69" t="s">
        <v>290</v>
      </c>
      <c r="T90" s="69" t="s">
        <v>411</v>
      </c>
      <c r="U90" s="69" t="s">
        <v>1289</v>
      </c>
      <c r="V90" s="69" t="s">
        <v>412</v>
      </c>
      <c r="W90" s="69">
        <v>76175884000187</v>
      </c>
      <c r="X90" s="69"/>
      <c r="Y90" s="69" t="s">
        <v>763</v>
      </c>
      <c r="Z90" s="69" t="s">
        <v>1276</v>
      </c>
      <c r="AA90" s="69" t="s">
        <v>765</v>
      </c>
      <c r="AB90" s="69" t="s">
        <v>766</v>
      </c>
      <c r="AC90" s="69" t="s">
        <v>1277</v>
      </c>
      <c r="AD90" s="69" t="s">
        <v>1278</v>
      </c>
      <c r="AE90" s="69">
        <v>84051900</v>
      </c>
      <c r="AF90" s="69" t="s">
        <v>769</v>
      </c>
      <c r="AG90" s="69" t="s">
        <v>770</v>
      </c>
      <c r="AH90" s="69">
        <v>950</v>
      </c>
      <c r="AI90" s="69" t="s">
        <v>573</v>
      </c>
      <c r="AJ90" s="69"/>
      <c r="AK90" s="69" t="s">
        <v>259</v>
      </c>
      <c r="AL90" s="69" t="s">
        <v>427</v>
      </c>
      <c r="AM90" s="69">
        <v>252012</v>
      </c>
      <c r="AN90" s="71">
        <v>41193</v>
      </c>
      <c r="AO90" s="69" t="s">
        <v>776</v>
      </c>
      <c r="AP90" s="71">
        <v>41193</v>
      </c>
      <c r="AQ90" s="69">
        <v>311</v>
      </c>
      <c r="AR90" s="71">
        <v>41504</v>
      </c>
      <c r="AS90" s="69" t="s">
        <v>1290</v>
      </c>
      <c r="AT90" s="69">
        <v>808307.38</v>
      </c>
      <c r="AU90" s="69"/>
      <c r="AV90" s="69"/>
      <c r="AW90" s="69"/>
      <c r="AX90" s="151">
        <v>308250.07</v>
      </c>
      <c r="AY90" s="72">
        <v>3.8135253695196902E+17</v>
      </c>
      <c r="AZ90" s="69">
        <v>1</v>
      </c>
      <c r="BA90" s="69">
        <v>30</v>
      </c>
      <c r="BB90" s="69">
        <v>620696</v>
      </c>
      <c r="BC90" s="71">
        <v>43251</v>
      </c>
      <c r="BD90" s="69" t="s">
        <v>988</v>
      </c>
      <c r="BE90" s="69" t="s">
        <v>1287</v>
      </c>
      <c r="BF90" s="69" t="s">
        <v>988</v>
      </c>
      <c r="BG90" s="69" t="s">
        <v>988</v>
      </c>
      <c r="BH90" s="73">
        <v>1562425.86</v>
      </c>
    </row>
    <row r="91" spans="1:60">
      <c r="A91" s="68">
        <v>19536</v>
      </c>
      <c r="B91" s="69" t="s">
        <v>267</v>
      </c>
      <c r="C91" s="69" t="s">
        <v>82</v>
      </c>
      <c r="D91" s="79" t="s">
        <v>64</v>
      </c>
      <c r="E91" s="69" t="s">
        <v>259</v>
      </c>
      <c r="F91" s="69" t="s">
        <v>55</v>
      </c>
      <c r="G91" s="69" t="s">
        <v>60</v>
      </c>
      <c r="H91" s="69">
        <v>84032320</v>
      </c>
      <c r="I91" s="69" t="s">
        <v>785</v>
      </c>
      <c r="J91" s="69" t="s">
        <v>1291</v>
      </c>
      <c r="K91" s="69" t="s">
        <v>265</v>
      </c>
      <c r="L91" s="94" t="str">
        <f t="shared" si="1"/>
        <v>2014</v>
      </c>
      <c r="M91" s="70">
        <v>43393</v>
      </c>
      <c r="N91" s="69" t="s">
        <v>408</v>
      </c>
      <c r="O91" s="69" t="s">
        <v>988</v>
      </c>
      <c r="P91" s="69"/>
      <c r="Q91" s="69" t="s">
        <v>409</v>
      </c>
      <c r="R91" s="69" t="s">
        <v>583</v>
      </c>
      <c r="S91" s="69" t="s">
        <v>290</v>
      </c>
      <c r="T91" s="69" t="s">
        <v>411</v>
      </c>
      <c r="U91" s="69" t="s">
        <v>1292</v>
      </c>
      <c r="V91" s="69" t="s">
        <v>412</v>
      </c>
      <c r="W91" s="69">
        <v>76175884000187</v>
      </c>
      <c r="X91" s="69"/>
      <c r="Y91" s="69" t="s">
        <v>763</v>
      </c>
      <c r="Z91" s="69" t="s">
        <v>1276</v>
      </c>
      <c r="AA91" s="69" t="s">
        <v>765</v>
      </c>
      <c r="AB91" s="69" t="s">
        <v>766</v>
      </c>
      <c r="AC91" s="69" t="s">
        <v>1277</v>
      </c>
      <c r="AD91" s="69" t="s">
        <v>1278</v>
      </c>
      <c r="AE91" s="69">
        <v>84051900</v>
      </c>
      <c r="AF91" s="69" t="s">
        <v>769</v>
      </c>
      <c r="AG91" s="69" t="s">
        <v>770</v>
      </c>
      <c r="AH91" s="69">
        <v>950</v>
      </c>
      <c r="AI91" s="69" t="s">
        <v>573</v>
      </c>
      <c r="AJ91" s="69"/>
      <c r="AK91" s="69" t="s">
        <v>259</v>
      </c>
      <c r="AL91" s="69"/>
      <c r="AM91" s="69"/>
      <c r="AN91" s="69"/>
      <c r="AO91" s="69"/>
      <c r="AP91" s="69"/>
      <c r="AQ91" s="69"/>
      <c r="AR91" s="69"/>
      <c r="AS91" s="69"/>
      <c r="AT91" s="69">
        <v>807158.38</v>
      </c>
      <c r="AU91" s="69"/>
      <c r="AV91" s="69"/>
      <c r="AW91" s="69"/>
      <c r="AX91" s="151">
        <v>308250.12</v>
      </c>
      <c r="AY91" s="72">
        <v>3.8189545898042899E+17</v>
      </c>
      <c r="AZ91" s="69">
        <v>1</v>
      </c>
      <c r="BA91" s="69">
        <v>30</v>
      </c>
      <c r="BB91" s="69">
        <v>620696</v>
      </c>
      <c r="BC91" s="71">
        <v>43251</v>
      </c>
      <c r="BD91" s="69" t="s">
        <v>988</v>
      </c>
      <c r="BE91" s="69" t="s">
        <v>1287</v>
      </c>
      <c r="BF91" s="69" t="s">
        <v>988</v>
      </c>
      <c r="BG91" s="69" t="s">
        <v>988</v>
      </c>
      <c r="BH91" s="73">
        <v>1562425.86</v>
      </c>
    </row>
    <row r="92" spans="1:60">
      <c r="A92" s="68">
        <v>25309</v>
      </c>
      <c r="B92" s="69" t="s">
        <v>1293</v>
      </c>
      <c r="C92" s="69" t="s">
        <v>82</v>
      </c>
      <c r="D92" s="79" t="s">
        <v>64</v>
      </c>
      <c r="E92" s="69" t="s">
        <v>259</v>
      </c>
      <c r="F92" s="69" t="s">
        <v>55</v>
      </c>
      <c r="G92" s="69" t="s">
        <v>60</v>
      </c>
      <c r="H92" s="69">
        <v>84000000</v>
      </c>
      <c r="I92" s="69" t="s">
        <v>787</v>
      </c>
      <c r="J92" s="69" t="s">
        <v>1294</v>
      </c>
      <c r="K92" s="69" t="s">
        <v>269</v>
      </c>
      <c r="L92" s="94" t="str">
        <f t="shared" si="1"/>
        <v>2014</v>
      </c>
      <c r="M92" s="70">
        <v>43405</v>
      </c>
      <c r="N92" s="69" t="s">
        <v>408</v>
      </c>
      <c r="O92" s="69" t="s">
        <v>988</v>
      </c>
      <c r="P92" s="70">
        <v>41733</v>
      </c>
      <c r="Q92" s="69" t="s">
        <v>409</v>
      </c>
      <c r="R92" s="69" t="s">
        <v>546</v>
      </c>
      <c r="S92" s="69" t="s">
        <v>290</v>
      </c>
      <c r="T92" s="69" t="s">
        <v>411</v>
      </c>
      <c r="U92" s="69" t="s">
        <v>1295</v>
      </c>
      <c r="V92" s="69" t="s">
        <v>412</v>
      </c>
      <c r="W92" s="69">
        <v>76175884000187</v>
      </c>
      <c r="X92" s="69"/>
      <c r="Y92" s="69" t="s">
        <v>763</v>
      </c>
      <c r="Z92" s="69" t="s">
        <v>1276</v>
      </c>
      <c r="AA92" s="69" t="s">
        <v>765</v>
      </c>
      <c r="AB92" s="69" t="s">
        <v>766</v>
      </c>
      <c r="AC92" s="69" t="s">
        <v>1277</v>
      </c>
      <c r="AD92" s="69" t="s">
        <v>1278</v>
      </c>
      <c r="AE92" s="69">
        <v>84051900</v>
      </c>
      <c r="AF92" s="69" t="s">
        <v>769</v>
      </c>
      <c r="AG92" s="69" t="s">
        <v>770</v>
      </c>
      <c r="AH92" s="69">
        <v>950</v>
      </c>
      <c r="AI92" s="69" t="s">
        <v>573</v>
      </c>
      <c r="AJ92" s="69"/>
      <c r="AK92" s="69" t="s">
        <v>259</v>
      </c>
      <c r="AL92" s="69" t="s">
        <v>427</v>
      </c>
      <c r="AM92" s="69">
        <v>35</v>
      </c>
      <c r="AN92" s="71">
        <v>41236</v>
      </c>
      <c r="AO92" s="69" t="s">
        <v>790</v>
      </c>
      <c r="AP92" s="71">
        <v>41240</v>
      </c>
      <c r="AQ92" s="69">
        <v>300</v>
      </c>
      <c r="AR92" s="71">
        <v>41540</v>
      </c>
      <c r="AS92" s="69" t="s">
        <v>1296</v>
      </c>
      <c r="AT92" s="69">
        <v>1498221.54</v>
      </c>
      <c r="AU92" s="71">
        <v>41512</v>
      </c>
      <c r="AV92" s="69" t="s">
        <v>429</v>
      </c>
      <c r="AW92" s="69" t="s">
        <v>794</v>
      </c>
      <c r="AX92" s="151">
        <v>727500</v>
      </c>
      <c r="AY92" s="72">
        <v>4.8557571799428198E+17</v>
      </c>
      <c r="AZ92" s="69">
        <v>1</v>
      </c>
      <c r="BA92" s="69">
        <v>30</v>
      </c>
      <c r="BB92" s="69">
        <v>675172</v>
      </c>
      <c r="BC92" s="71">
        <v>43251</v>
      </c>
      <c r="BD92" s="69" t="s">
        <v>988</v>
      </c>
      <c r="BE92" s="69" t="s">
        <v>1297</v>
      </c>
      <c r="BF92" s="69" t="s">
        <v>988</v>
      </c>
      <c r="BG92" s="69" t="s">
        <v>988</v>
      </c>
      <c r="BH92" s="73">
        <v>2105217.98</v>
      </c>
    </row>
    <row r="93" spans="1:60">
      <c r="A93" s="68">
        <v>25311</v>
      </c>
      <c r="B93" s="69" t="s">
        <v>270</v>
      </c>
      <c r="C93" s="69" t="s">
        <v>82</v>
      </c>
      <c r="D93" s="79" t="s">
        <v>64</v>
      </c>
      <c r="E93" s="69" t="s">
        <v>259</v>
      </c>
      <c r="F93" s="69" t="s">
        <v>55</v>
      </c>
      <c r="G93" s="69" t="s">
        <v>60</v>
      </c>
      <c r="H93" s="69">
        <v>84062742</v>
      </c>
      <c r="I93" s="69" t="s">
        <v>795</v>
      </c>
      <c r="J93" s="69" t="s">
        <v>1298</v>
      </c>
      <c r="K93" s="69" t="s">
        <v>269</v>
      </c>
      <c r="L93" s="94" t="str">
        <f t="shared" si="1"/>
        <v>2014</v>
      </c>
      <c r="M93" s="70">
        <v>43405</v>
      </c>
      <c r="N93" s="69" t="s">
        <v>408</v>
      </c>
      <c r="O93" s="69" t="s">
        <v>988</v>
      </c>
      <c r="P93" s="69"/>
      <c r="Q93" s="69" t="s">
        <v>409</v>
      </c>
      <c r="R93" s="69" t="s">
        <v>583</v>
      </c>
      <c r="S93" s="69" t="s">
        <v>290</v>
      </c>
      <c r="T93" s="69" t="s">
        <v>411</v>
      </c>
      <c r="U93" s="69" t="s">
        <v>1299</v>
      </c>
      <c r="V93" s="69" t="s">
        <v>412</v>
      </c>
      <c r="W93" s="69">
        <v>76175884000187</v>
      </c>
      <c r="X93" s="69"/>
      <c r="Y93" s="69" t="s">
        <v>763</v>
      </c>
      <c r="Z93" s="69" t="s">
        <v>1276</v>
      </c>
      <c r="AA93" s="69" t="s">
        <v>765</v>
      </c>
      <c r="AB93" s="69" t="s">
        <v>766</v>
      </c>
      <c r="AC93" s="69" t="s">
        <v>1277</v>
      </c>
      <c r="AD93" s="69" t="s">
        <v>1278</v>
      </c>
      <c r="AE93" s="69">
        <v>84051900</v>
      </c>
      <c r="AF93" s="69" t="s">
        <v>769</v>
      </c>
      <c r="AG93" s="69" t="s">
        <v>770</v>
      </c>
      <c r="AH93" s="69">
        <v>950</v>
      </c>
      <c r="AI93" s="69" t="s">
        <v>573</v>
      </c>
      <c r="AJ93" s="69"/>
      <c r="AK93" s="69" t="s">
        <v>259</v>
      </c>
      <c r="AL93" s="69" t="s">
        <v>427</v>
      </c>
      <c r="AM93" s="69"/>
      <c r="AN93" s="71">
        <v>41236</v>
      </c>
      <c r="AO93" s="69" t="s">
        <v>771</v>
      </c>
      <c r="AP93" s="71">
        <v>41240</v>
      </c>
      <c r="AQ93" s="69">
        <v>302</v>
      </c>
      <c r="AR93" s="71">
        <v>41542</v>
      </c>
      <c r="AS93" s="69" t="s">
        <v>1300</v>
      </c>
      <c r="AT93" s="69">
        <v>828293.38</v>
      </c>
      <c r="AU93" s="69"/>
      <c r="AV93" s="69"/>
      <c r="AW93" s="69"/>
      <c r="AX93" s="151">
        <v>727500</v>
      </c>
      <c r="AY93" s="72">
        <v>8.78311981679728E+17</v>
      </c>
      <c r="AZ93" s="69">
        <v>1</v>
      </c>
      <c r="BA93" s="69">
        <v>30</v>
      </c>
      <c r="BB93" s="69">
        <v>675172</v>
      </c>
      <c r="BC93" s="71">
        <v>43251</v>
      </c>
      <c r="BD93" s="69" t="s">
        <v>988</v>
      </c>
      <c r="BE93" s="69" t="s">
        <v>1297</v>
      </c>
      <c r="BF93" s="69" t="s">
        <v>988</v>
      </c>
      <c r="BG93" s="69" t="s">
        <v>988</v>
      </c>
      <c r="BH93" s="73">
        <v>2105217.98</v>
      </c>
    </row>
    <row r="94" spans="1:60">
      <c r="A94" s="68">
        <v>25312</v>
      </c>
      <c r="B94" s="69" t="s">
        <v>271</v>
      </c>
      <c r="C94" s="69" t="s">
        <v>82</v>
      </c>
      <c r="D94" s="79" t="s">
        <v>64</v>
      </c>
      <c r="E94" s="69" t="s">
        <v>259</v>
      </c>
      <c r="F94" s="69" t="s">
        <v>55</v>
      </c>
      <c r="G94" s="69" t="s">
        <v>60</v>
      </c>
      <c r="H94" s="69">
        <v>84070202</v>
      </c>
      <c r="I94" s="69" t="s">
        <v>798</v>
      </c>
      <c r="J94" s="69" t="s">
        <v>1301</v>
      </c>
      <c r="K94" s="69" t="s">
        <v>269</v>
      </c>
      <c r="L94" s="94" t="str">
        <f t="shared" si="1"/>
        <v>2014</v>
      </c>
      <c r="M94" s="70">
        <v>43405</v>
      </c>
      <c r="N94" s="69" t="s">
        <v>408</v>
      </c>
      <c r="O94" s="69" t="s">
        <v>988</v>
      </c>
      <c r="P94" s="69"/>
      <c r="Q94" s="69" t="s">
        <v>409</v>
      </c>
      <c r="R94" s="69" t="s">
        <v>583</v>
      </c>
      <c r="S94" s="69" t="s">
        <v>290</v>
      </c>
      <c r="T94" s="69" t="s">
        <v>411</v>
      </c>
      <c r="U94" s="69" t="s">
        <v>1302</v>
      </c>
      <c r="V94" s="69" t="s">
        <v>412</v>
      </c>
      <c r="W94" s="69">
        <v>76175884000187</v>
      </c>
      <c r="X94" s="69"/>
      <c r="Y94" s="69" t="s">
        <v>763</v>
      </c>
      <c r="Z94" s="69" t="s">
        <v>1276</v>
      </c>
      <c r="AA94" s="69" t="s">
        <v>765</v>
      </c>
      <c r="AB94" s="69" t="s">
        <v>766</v>
      </c>
      <c r="AC94" s="69" t="s">
        <v>1277</v>
      </c>
      <c r="AD94" s="69" t="s">
        <v>1278</v>
      </c>
      <c r="AE94" s="69">
        <v>84051900</v>
      </c>
      <c r="AF94" s="69" t="s">
        <v>769</v>
      </c>
      <c r="AG94" s="69" t="s">
        <v>770</v>
      </c>
      <c r="AH94" s="69">
        <v>950</v>
      </c>
      <c r="AI94" s="69" t="s">
        <v>573</v>
      </c>
      <c r="AJ94" s="69"/>
      <c r="AK94" s="69" t="s">
        <v>259</v>
      </c>
      <c r="AL94" s="69" t="s">
        <v>427</v>
      </c>
      <c r="AM94" s="69"/>
      <c r="AN94" s="71">
        <v>41236</v>
      </c>
      <c r="AO94" s="69" t="s">
        <v>790</v>
      </c>
      <c r="AP94" s="71">
        <v>41638</v>
      </c>
      <c r="AQ94" s="69">
        <v>302</v>
      </c>
      <c r="AR94" s="71">
        <v>41542</v>
      </c>
      <c r="AS94" s="69" t="s">
        <v>1303</v>
      </c>
      <c r="AT94" s="69">
        <v>821067.38</v>
      </c>
      <c r="AU94" s="71">
        <v>41487</v>
      </c>
      <c r="AV94" s="69" t="s">
        <v>429</v>
      </c>
      <c r="AW94" s="69" t="s">
        <v>430</v>
      </c>
      <c r="AX94" s="151">
        <v>340000</v>
      </c>
      <c r="AY94" s="72">
        <v>4.14095125786144E+17</v>
      </c>
      <c r="AZ94" s="69">
        <v>1</v>
      </c>
      <c r="BA94" s="69">
        <v>30</v>
      </c>
      <c r="BB94" s="69">
        <v>675172</v>
      </c>
      <c r="BC94" s="71">
        <v>43251</v>
      </c>
      <c r="BD94" s="69" t="s">
        <v>988</v>
      </c>
      <c r="BE94" s="69" t="s">
        <v>1297</v>
      </c>
      <c r="BF94" s="69" t="s">
        <v>988</v>
      </c>
      <c r="BG94" s="69" t="s">
        <v>988</v>
      </c>
      <c r="BH94" s="73">
        <v>2105217.98</v>
      </c>
    </row>
    <row r="95" spans="1:60">
      <c r="A95" s="68">
        <v>8969</v>
      </c>
      <c r="B95" s="69" t="s">
        <v>273</v>
      </c>
      <c r="C95" s="69" t="s">
        <v>88</v>
      </c>
      <c r="D95" s="79" t="s">
        <v>67</v>
      </c>
      <c r="E95" s="69" t="s">
        <v>272</v>
      </c>
      <c r="F95" s="69" t="s">
        <v>146</v>
      </c>
      <c r="G95" s="69" t="s">
        <v>60</v>
      </c>
      <c r="H95" s="69">
        <v>97010000</v>
      </c>
      <c r="I95" s="69" t="s">
        <v>801</v>
      </c>
      <c r="J95" s="69" t="s">
        <v>573</v>
      </c>
      <c r="K95" s="69" t="s">
        <v>274</v>
      </c>
      <c r="L95" s="94" t="str">
        <f t="shared" si="1"/>
        <v>2009</v>
      </c>
      <c r="M95" s="69"/>
      <c r="N95" s="69" t="s">
        <v>408</v>
      </c>
      <c r="O95" s="69" t="s">
        <v>1304</v>
      </c>
      <c r="P95" s="70">
        <v>43258</v>
      </c>
      <c r="Q95" s="69" t="s">
        <v>409</v>
      </c>
      <c r="R95" s="69" t="s">
        <v>447</v>
      </c>
      <c r="S95" s="69" t="s">
        <v>290</v>
      </c>
      <c r="T95" s="69" t="s">
        <v>411</v>
      </c>
      <c r="U95" s="69" t="s">
        <v>1305</v>
      </c>
      <c r="V95" s="69" t="s">
        <v>412</v>
      </c>
      <c r="W95" s="69">
        <v>88488366000100</v>
      </c>
      <c r="X95" s="69"/>
      <c r="Y95" s="69" t="s">
        <v>802</v>
      </c>
      <c r="Z95" s="69" t="s">
        <v>1306</v>
      </c>
      <c r="AA95" s="69" t="s">
        <v>804</v>
      </c>
      <c r="AB95" s="69" t="s">
        <v>805</v>
      </c>
      <c r="AC95" s="69" t="s">
        <v>1307</v>
      </c>
      <c r="AD95" s="69" t="s">
        <v>1308</v>
      </c>
      <c r="AE95" s="69">
        <v>97010005</v>
      </c>
      <c r="AF95" s="69" t="s">
        <v>801</v>
      </c>
      <c r="AG95" s="69" t="s">
        <v>808</v>
      </c>
      <c r="AH95" s="69">
        <v>2277</v>
      </c>
      <c r="AI95" s="69" t="s">
        <v>573</v>
      </c>
      <c r="AJ95" s="69"/>
      <c r="AK95" s="69" t="s">
        <v>272</v>
      </c>
      <c r="AL95" s="69" t="s">
        <v>427</v>
      </c>
      <c r="AM95" s="69" t="s">
        <v>809</v>
      </c>
      <c r="AN95" s="71">
        <v>42555</v>
      </c>
      <c r="AO95" s="69" t="s">
        <v>810</v>
      </c>
      <c r="AP95" s="71">
        <v>42559</v>
      </c>
      <c r="AQ95" s="69">
        <v>336</v>
      </c>
      <c r="AR95" s="71">
        <v>42895</v>
      </c>
      <c r="AS95" s="69" t="s">
        <v>1309</v>
      </c>
      <c r="AT95" s="69">
        <v>1305613.49</v>
      </c>
      <c r="AU95" s="71">
        <v>43235</v>
      </c>
      <c r="AV95" s="69" t="s">
        <v>457</v>
      </c>
      <c r="AW95" s="69"/>
      <c r="AX95" s="151"/>
      <c r="AY95" s="69"/>
      <c r="AZ95" s="69">
        <v>1</v>
      </c>
      <c r="BA95" s="69">
        <v>126</v>
      </c>
      <c r="BB95" s="69">
        <v>535761</v>
      </c>
      <c r="BC95" s="71">
        <v>43251</v>
      </c>
      <c r="BD95" s="69" t="s">
        <v>988</v>
      </c>
      <c r="BE95" s="69" t="s">
        <v>1310</v>
      </c>
      <c r="BF95" s="69" t="s">
        <v>988</v>
      </c>
      <c r="BG95" s="69" t="s">
        <v>988</v>
      </c>
      <c r="BH95" s="73">
        <v>31174.58</v>
      </c>
    </row>
    <row r="96" spans="1:60">
      <c r="A96" s="68">
        <v>13418</v>
      </c>
      <c r="B96" s="69" t="s">
        <v>275</v>
      </c>
      <c r="C96" s="69" t="s">
        <v>58</v>
      </c>
      <c r="D96" s="79" t="s">
        <v>1443</v>
      </c>
      <c r="E96" s="69" t="s">
        <v>272</v>
      </c>
      <c r="F96" s="69" t="s">
        <v>146</v>
      </c>
      <c r="G96" s="69" t="s">
        <v>60</v>
      </c>
      <c r="H96" s="69">
        <v>97010000</v>
      </c>
      <c r="I96" s="69"/>
      <c r="J96" s="69"/>
      <c r="K96" s="69" t="s">
        <v>276</v>
      </c>
      <c r="L96" s="94" t="str">
        <f t="shared" si="1"/>
        <v>2010</v>
      </c>
      <c r="M96" s="69"/>
      <c r="N96" s="69" t="s">
        <v>408</v>
      </c>
      <c r="O96" s="69" t="s">
        <v>1311</v>
      </c>
      <c r="P96" s="70">
        <v>43258</v>
      </c>
      <c r="Q96" s="69" t="s">
        <v>409</v>
      </c>
      <c r="R96" s="69" t="s">
        <v>680</v>
      </c>
      <c r="S96" s="69" t="s">
        <v>290</v>
      </c>
      <c r="T96" s="69" t="s">
        <v>411</v>
      </c>
      <c r="U96" s="69" t="s">
        <v>1312</v>
      </c>
      <c r="V96" s="69" t="s">
        <v>412</v>
      </c>
      <c r="W96" s="69">
        <v>88488366000100</v>
      </c>
      <c r="X96" s="69"/>
      <c r="Y96" s="69" t="s">
        <v>802</v>
      </c>
      <c r="Z96" s="69" t="s">
        <v>1306</v>
      </c>
      <c r="AA96" s="69" t="s">
        <v>804</v>
      </c>
      <c r="AB96" s="69" t="s">
        <v>805</v>
      </c>
      <c r="AC96" s="69" t="s">
        <v>1307</v>
      </c>
      <c r="AD96" s="69" t="s">
        <v>1308</v>
      </c>
      <c r="AE96" s="69">
        <v>97010005</v>
      </c>
      <c r="AF96" s="69" t="s">
        <v>801</v>
      </c>
      <c r="AG96" s="69" t="s">
        <v>808</v>
      </c>
      <c r="AH96" s="69">
        <v>2277</v>
      </c>
      <c r="AI96" s="69" t="s">
        <v>573</v>
      </c>
      <c r="AJ96" s="69"/>
      <c r="AK96" s="69" t="s">
        <v>272</v>
      </c>
      <c r="AL96" s="69" t="s">
        <v>427</v>
      </c>
      <c r="AM96" s="69">
        <v>82016</v>
      </c>
      <c r="AN96" s="71">
        <v>42650</v>
      </c>
      <c r="AO96" s="69" t="s">
        <v>810</v>
      </c>
      <c r="AP96" s="71">
        <v>42653</v>
      </c>
      <c r="AQ96" s="69">
        <v>589</v>
      </c>
      <c r="AR96" s="71">
        <v>43242</v>
      </c>
      <c r="AS96" s="69" t="s">
        <v>1313</v>
      </c>
      <c r="AT96" s="69">
        <v>614766.46</v>
      </c>
      <c r="AU96" s="71">
        <v>43258</v>
      </c>
      <c r="AV96" s="69" t="s">
        <v>457</v>
      </c>
      <c r="AW96" s="69"/>
      <c r="AX96" s="151"/>
      <c r="AY96" s="69"/>
      <c r="AZ96" s="69">
        <v>1</v>
      </c>
      <c r="BA96" s="69">
        <v>126</v>
      </c>
      <c r="BB96" s="69">
        <v>571164</v>
      </c>
      <c r="BC96" s="71">
        <v>43251</v>
      </c>
      <c r="BD96" s="69" t="s">
        <v>988</v>
      </c>
      <c r="BE96" s="69" t="s">
        <v>1314</v>
      </c>
      <c r="BF96" s="69" t="s">
        <v>988</v>
      </c>
      <c r="BG96" s="69" t="s">
        <v>988</v>
      </c>
      <c r="BH96" s="73">
        <v>7204.35</v>
      </c>
    </row>
    <row r="97" spans="1:60">
      <c r="A97" s="68">
        <v>19778</v>
      </c>
      <c r="B97" s="69" t="s">
        <v>277</v>
      </c>
      <c r="C97" s="69" t="s">
        <v>82</v>
      </c>
      <c r="D97" s="79" t="s">
        <v>64</v>
      </c>
      <c r="E97" s="69" t="s">
        <v>272</v>
      </c>
      <c r="F97" s="69" t="s">
        <v>146</v>
      </c>
      <c r="G97" s="69" t="s">
        <v>60</v>
      </c>
      <c r="H97" s="69">
        <v>97090420</v>
      </c>
      <c r="I97" s="69" t="s">
        <v>815</v>
      </c>
      <c r="J97" s="69" t="s">
        <v>1315</v>
      </c>
      <c r="K97" s="69" t="s">
        <v>279</v>
      </c>
      <c r="L97" s="94" t="str">
        <f t="shared" si="1"/>
        <v>2013</v>
      </c>
      <c r="M97" s="70">
        <v>43341</v>
      </c>
      <c r="N97" s="69" t="s">
        <v>408</v>
      </c>
      <c r="O97" s="69" t="s">
        <v>988</v>
      </c>
      <c r="P97" s="69"/>
      <c r="Q97" s="69" t="s">
        <v>409</v>
      </c>
      <c r="R97" s="69" t="s">
        <v>410</v>
      </c>
      <c r="S97" s="69" t="s">
        <v>290</v>
      </c>
      <c r="T97" s="69" t="s">
        <v>411</v>
      </c>
      <c r="U97" s="69" t="s">
        <v>1159</v>
      </c>
      <c r="V97" s="69" t="s">
        <v>412</v>
      </c>
      <c r="W97" s="69">
        <v>88488366000100</v>
      </c>
      <c r="X97" s="69"/>
      <c r="Y97" s="69" t="s">
        <v>802</v>
      </c>
      <c r="Z97" s="69" t="s">
        <v>1306</v>
      </c>
      <c r="AA97" s="69" t="s">
        <v>804</v>
      </c>
      <c r="AB97" s="69" t="s">
        <v>805</v>
      </c>
      <c r="AC97" s="69" t="s">
        <v>1307</v>
      </c>
      <c r="AD97" s="69" t="s">
        <v>1308</v>
      </c>
      <c r="AE97" s="69">
        <v>97010005</v>
      </c>
      <c r="AF97" s="69" t="s">
        <v>801</v>
      </c>
      <c r="AG97" s="69" t="s">
        <v>808</v>
      </c>
      <c r="AH97" s="69">
        <v>2277</v>
      </c>
      <c r="AI97" s="69" t="s">
        <v>573</v>
      </c>
      <c r="AJ97" s="69"/>
      <c r="AK97" s="69" t="s">
        <v>272</v>
      </c>
      <c r="AL97" s="69"/>
      <c r="AM97" s="69"/>
      <c r="AN97" s="69"/>
      <c r="AO97" s="69"/>
      <c r="AP97" s="71">
        <v>41564</v>
      </c>
      <c r="AQ97" s="69"/>
      <c r="AR97" s="69"/>
      <c r="AS97" s="69" t="s">
        <v>988</v>
      </c>
      <c r="AT97" s="69">
        <v>1196771.3899999999</v>
      </c>
      <c r="AU97" s="69"/>
      <c r="AV97" s="69"/>
      <c r="AW97" s="69"/>
      <c r="AX97" s="151">
        <v>261014.06</v>
      </c>
      <c r="AY97" s="72">
        <v>2.1809851176671699E+17</v>
      </c>
      <c r="AZ97" s="69">
        <v>1</v>
      </c>
      <c r="BA97" s="69">
        <v>126</v>
      </c>
      <c r="BB97" s="69">
        <v>586676</v>
      </c>
      <c r="BC97" s="71">
        <v>43251</v>
      </c>
      <c r="BD97" s="69" t="s">
        <v>988</v>
      </c>
      <c r="BE97" s="69" t="s">
        <v>988</v>
      </c>
      <c r="BF97" s="69" t="s">
        <v>1316</v>
      </c>
      <c r="BG97" s="69" t="s">
        <v>988</v>
      </c>
      <c r="BH97" s="73">
        <v>1241440.1399999999</v>
      </c>
    </row>
    <row r="98" spans="1:60">
      <c r="A98" s="68">
        <v>19910</v>
      </c>
      <c r="B98" s="69" t="s">
        <v>280</v>
      </c>
      <c r="C98" s="69" t="s">
        <v>137</v>
      </c>
      <c r="D98" s="79" t="s">
        <v>64</v>
      </c>
      <c r="E98" s="69" t="s">
        <v>272</v>
      </c>
      <c r="F98" s="69" t="s">
        <v>146</v>
      </c>
      <c r="G98" s="69" t="s">
        <v>60</v>
      </c>
      <c r="H98" s="69">
        <v>97040859</v>
      </c>
      <c r="I98" s="69" t="s">
        <v>819</v>
      </c>
      <c r="J98" s="69" t="s">
        <v>1317</v>
      </c>
      <c r="K98" s="69" t="s">
        <v>279</v>
      </c>
      <c r="L98" s="94" t="str">
        <f t="shared" si="1"/>
        <v>2013</v>
      </c>
      <c r="M98" s="70">
        <v>43341</v>
      </c>
      <c r="N98" s="69" t="s">
        <v>408</v>
      </c>
      <c r="O98" s="69" t="s">
        <v>988</v>
      </c>
      <c r="P98" s="69"/>
      <c r="Q98" s="69" t="s">
        <v>409</v>
      </c>
      <c r="R98" s="69" t="s">
        <v>546</v>
      </c>
      <c r="S98" s="69" t="s">
        <v>290</v>
      </c>
      <c r="T98" s="69" t="s">
        <v>411</v>
      </c>
      <c r="U98" s="69" t="s">
        <v>1318</v>
      </c>
      <c r="V98" s="69" t="s">
        <v>412</v>
      </c>
      <c r="W98" s="69">
        <v>88488366000100</v>
      </c>
      <c r="X98" s="69"/>
      <c r="Y98" s="69" t="s">
        <v>802</v>
      </c>
      <c r="Z98" s="69" t="s">
        <v>1306</v>
      </c>
      <c r="AA98" s="69" t="s">
        <v>804</v>
      </c>
      <c r="AB98" s="69" t="s">
        <v>805</v>
      </c>
      <c r="AC98" s="69" t="s">
        <v>1307</v>
      </c>
      <c r="AD98" s="69" t="s">
        <v>1308</v>
      </c>
      <c r="AE98" s="69">
        <v>97010005</v>
      </c>
      <c r="AF98" s="69" t="s">
        <v>801</v>
      </c>
      <c r="AG98" s="69" t="s">
        <v>808</v>
      </c>
      <c r="AH98" s="69">
        <v>2277</v>
      </c>
      <c r="AI98" s="69" t="s">
        <v>573</v>
      </c>
      <c r="AJ98" s="69"/>
      <c r="AK98" s="69" t="s">
        <v>272</v>
      </c>
      <c r="AL98" s="69"/>
      <c r="AM98" s="69"/>
      <c r="AN98" s="69"/>
      <c r="AO98" s="69"/>
      <c r="AP98" s="69"/>
      <c r="AQ98" s="69"/>
      <c r="AR98" s="69"/>
      <c r="AS98" s="69" t="s">
        <v>988</v>
      </c>
      <c r="AT98" s="69">
        <v>1533938.38</v>
      </c>
      <c r="AU98" s="69"/>
      <c r="AV98" s="69"/>
      <c r="AW98" s="69"/>
      <c r="AX98" s="151">
        <v>261014.06</v>
      </c>
      <c r="AY98" s="72">
        <v>2.1809851176671699E+17</v>
      </c>
      <c r="AZ98" s="69">
        <v>1</v>
      </c>
      <c r="BA98" s="69">
        <v>126</v>
      </c>
      <c r="BB98" s="69">
        <v>586676</v>
      </c>
      <c r="BC98" s="71">
        <v>43251</v>
      </c>
      <c r="BD98" s="69" t="s">
        <v>988</v>
      </c>
      <c r="BE98" s="69" t="s">
        <v>988</v>
      </c>
      <c r="BF98" s="69" t="s">
        <v>1316</v>
      </c>
      <c r="BG98" s="69" t="s">
        <v>988</v>
      </c>
      <c r="BH98" s="73">
        <v>1241440.1399999999</v>
      </c>
    </row>
    <row r="99" spans="1:60">
      <c r="A99" s="68">
        <v>19965</v>
      </c>
      <c r="B99" s="69" t="s">
        <v>281</v>
      </c>
      <c r="C99" s="69" t="s">
        <v>58</v>
      </c>
      <c r="D99" s="79" t="s">
        <v>1443</v>
      </c>
      <c r="E99" s="69" t="s">
        <v>272</v>
      </c>
      <c r="F99" s="69" t="s">
        <v>146</v>
      </c>
      <c r="G99" s="69" t="s">
        <v>60</v>
      </c>
      <c r="H99" s="69">
        <v>97065160</v>
      </c>
      <c r="I99" s="69" t="s">
        <v>821</v>
      </c>
      <c r="J99" s="69" t="s">
        <v>1319</v>
      </c>
      <c r="K99" s="69" t="s">
        <v>282</v>
      </c>
      <c r="L99" s="94" t="str">
        <f t="shared" si="1"/>
        <v>2013</v>
      </c>
      <c r="M99" s="70">
        <v>43414</v>
      </c>
      <c r="N99" s="69" t="s">
        <v>408</v>
      </c>
      <c r="O99" s="75" t="s">
        <v>1320</v>
      </c>
      <c r="P99" s="70">
        <v>43823</v>
      </c>
      <c r="Q99" s="69" t="s">
        <v>409</v>
      </c>
      <c r="R99" s="69" t="s">
        <v>1321</v>
      </c>
      <c r="S99" s="69" t="s">
        <v>290</v>
      </c>
      <c r="T99" s="69" t="s">
        <v>411</v>
      </c>
      <c r="U99" s="69" t="s">
        <v>1322</v>
      </c>
      <c r="V99" s="69" t="s">
        <v>412</v>
      </c>
      <c r="W99" s="69">
        <v>88488366000100</v>
      </c>
      <c r="X99" s="69"/>
      <c r="Y99" s="69" t="s">
        <v>802</v>
      </c>
      <c r="Z99" s="69" t="s">
        <v>1306</v>
      </c>
      <c r="AA99" s="69" t="s">
        <v>804</v>
      </c>
      <c r="AB99" s="69" t="s">
        <v>805</v>
      </c>
      <c r="AC99" s="69" t="s">
        <v>1307</v>
      </c>
      <c r="AD99" s="69" t="s">
        <v>1308</v>
      </c>
      <c r="AE99" s="69">
        <v>97010005</v>
      </c>
      <c r="AF99" s="69" t="s">
        <v>801</v>
      </c>
      <c r="AG99" s="69" t="s">
        <v>808</v>
      </c>
      <c r="AH99" s="69">
        <v>2277</v>
      </c>
      <c r="AI99" s="69" t="s">
        <v>573</v>
      </c>
      <c r="AJ99" s="69"/>
      <c r="AK99" s="69" t="s">
        <v>272</v>
      </c>
      <c r="AL99" s="69"/>
      <c r="AM99" s="69"/>
      <c r="AN99" s="71">
        <v>41484</v>
      </c>
      <c r="AO99" s="69"/>
      <c r="AP99" s="71">
        <v>41564</v>
      </c>
      <c r="AQ99" s="69"/>
      <c r="AR99" s="69"/>
      <c r="AS99" s="69" t="s">
        <v>988</v>
      </c>
      <c r="AT99" s="69">
        <v>1512730.42</v>
      </c>
      <c r="AU99" s="71">
        <v>43273</v>
      </c>
      <c r="AV99" s="69" t="s">
        <v>429</v>
      </c>
      <c r="AW99" s="69"/>
      <c r="AX99" s="151">
        <v>755736.57</v>
      </c>
      <c r="AY99" s="72">
        <v>4.9958443444858899E+17</v>
      </c>
      <c r="AZ99" s="69">
        <v>1</v>
      </c>
      <c r="BA99" s="69">
        <v>126</v>
      </c>
      <c r="BB99" s="69">
        <v>635103</v>
      </c>
      <c r="BC99" s="71">
        <v>43251</v>
      </c>
      <c r="BD99" s="69" t="s">
        <v>988</v>
      </c>
      <c r="BE99" s="69" t="s">
        <v>1323</v>
      </c>
      <c r="BF99" s="69" t="s">
        <v>988</v>
      </c>
      <c r="BG99" s="69" t="s">
        <v>988</v>
      </c>
      <c r="BH99" s="73">
        <v>943735.78</v>
      </c>
    </row>
    <row r="100" spans="1:60">
      <c r="A100" s="68">
        <v>20098</v>
      </c>
      <c r="B100" s="69" t="s">
        <v>283</v>
      </c>
      <c r="C100" s="69" t="s">
        <v>137</v>
      </c>
      <c r="D100" s="79" t="s">
        <v>64</v>
      </c>
      <c r="E100" s="69" t="s">
        <v>272</v>
      </c>
      <c r="F100" s="69" t="s">
        <v>146</v>
      </c>
      <c r="G100" s="69" t="s">
        <v>60</v>
      </c>
      <c r="H100" s="69">
        <v>97110140</v>
      </c>
      <c r="I100" s="69" t="s">
        <v>825</v>
      </c>
      <c r="J100" s="69" t="s">
        <v>1324</v>
      </c>
      <c r="K100" s="69" t="s">
        <v>279</v>
      </c>
      <c r="L100" s="94" t="str">
        <f t="shared" si="1"/>
        <v>2013</v>
      </c>
      <c r="M100" s="70">
        <v>43341</v>
      </c>
      <c r="N100" s="69" t="s">
        <v>408</v>
      </c>
      <c r="O100" s="69" t="s">
        <v>988</v>
      </c>
      <c r="P100" s="69"/>
      <c r="Q100" s="69" t="s">
        <v>409</v>
      </c>
      <c r="R100" s="69" t="s">
        <v>546</v>
      </c>
      <c r="S100" s="69" t="s">
        <v>290</v>
      </c>
      <c r="T100" s="69" t="s">
        <v>411</v>
      </c>
      <c r="U100" s="69" t="s">
        <v>1325</v>
      </c>
      <c r="V100" s="69" t="s">
        <v>412</v>
      </c>
      <c r="W100" s="69">
        <v>88488366000100</v>
      </c>
      <c r="X100" s="69"/>
      <c r="Y100" s="69" t="s">
        <v>802</v>
      </c>
      <c r="Z100" s="69" t="s">
        <v>1306</v>
      </c>
      <c r="AA100" s="69" t="s">
        <v>804</v>
      </c>
      <c r="AB100" s="69" t="s">
        <v>805</v>
      </c>
      <c r="AC100" s="69" t="s">
        <v>1307</v>
      </c>
      <c r="AD100" s="69" t="s">
        <v>1308</v>
      </c>
      <c r="AE100" s="69">
        <v>97010005</v>
      </c>
      <c r="AF100" s="69" t="s">
        <v>801</v>
      </c>
      <c r="AG100" s="69" t="s">
        <v>808</v>
      </c>
      <c r="AH100" s="69">
        <v>2277</v>
      </c>
      <c r="AI100" s="69" t="s">
        <v>573</v>
      </c>
      <c r="AJ100" s="69"/>
      <c r="AK100" s="69" t="s">
        <v>272</v>
      </c>
      <c r="AL100" s="69" t="s">
        <v>427</v>
      </c>
      <c r="AM100" s="69"/>
      <c r="AN100" s="69"/>
      <c r="AO100" s="69"/>
      <c r="AP100" s="71">
        <v>41564</v>
      </c>
      <c r="AQ100" s="69"/>
      <c r="AR100" s="69"/>
      <c r="AS100" s="69" t="s">
        <v>988</v>
      </c>
      <c r="AT100" s="69">
        <v>1527584.98</v>
      </c>
      <c r="AU100" s="69"/>
      <c r="AV100" s="69"/>
      <c r="AW100" s="69"/>
      <c r="AX100" s="151">
        <v>261014.06</v>
      </c>
      <c r="AY100" s="72">
        <v>1.7130982639002E+17</v>
      </c>
      <c r="AZ100" s="69">
        <v>1</v>
      </c>
      <c r="BA100" s="69">
        <v>126</v>
      </c>
      <c r="BB100" s="69">
        <v>586676</v>
      </c>
      <c r="BC100" s="71">
        <v>43251</v>
      </c>
      <c r="BD100" s="69" t="s">
        <v>988</v>
      </c>
      <c r="BE100" s="69" t="s">
        <v>988</v>
      </c>
      <c r="BF100" s="69" t="s">
        <v>1316</v>
      </c>
      <c r="BG100" s="69" t="s">
        <v>988</v>
      </c>
      <c r="BH100" s="73">
        <v>1241440.1399999999</v>
      </c>
    </row>
    <row r="101" spans="1:60">
      <c r="A101" s="68">
        <v>24531</v>
      </c>
      <c r="B101" s="69" t="s">
        <v>1293</v>
      </c>
      <c r="C101" s="69" t="s">
        <v>82</v>
      </c>
      <c r="D101" s="79" t="s">
        <v>64</v>
      </c>
      <c r="E101" s="69" t="s">
        <v>272</v>
      </c>
      <c r="F101" s="69" t="s">
        <v>146</v>
      </c>
      <c r="G101" s="69" t="s">
        <v>60</v>
      </c>
      <c r="H101" s="69">
        <v>97090510</v>
      </c>
      <c r="I101" s="69" t="s">
        <v>827</v>
      </c>
      <c r="J101" s="69" t="s">
        <v>828</v>
      </c>
      <c r="K101" s="69" t="s">
        <v>284</v>
      </c>
      <c r="L101" s="94" t="str">
        <f t="shared" si="1"/>
        <v>2014</v>
      </c>
      <c r="M101" s="70">
        <v>43616</v>
      </c>
      <c r="N101" s="69" t="s">
        <v>408</v>
      </c>
      <c r="O101" s="69" t="s">
        <v>988</v>
      </c>
      <c r="P101" s="69"/>
      <c r="Q101" s="69" t="s">
        <v>409</v>
      </c>
      <c r="R101" s="69" t="s">
        <v>583</v>
      </c>
      <c r="S101" s="69" t="s">
        <v>290</v>
      </c>
      <c r="T101" s="69" t="s">
        <v>411</v>
      </c>
      <c r="U101" s="69" t="s">
        <v>1326</v>
      </c>
      <c r="V101" s="69" t="s">
        <v>412</v>
      </c>
      <c r="W101" s="69">
        <v>88488366000100</v>
      </c>
      <c r="X101" s="69"/>
      <c r="Y101" s="69" t="s">
        <v>802</v>
      </c>
      <c r="Z101" s="69" t="s">
        <v>1306</v>
      </c>
      <c r="AA101" s="69" t="s">
        <v>804</v>
      </c>
      <c r="AB101" s="69" t="s">
        <v>805</v>
      </c>
      <c r="AC101" s="69" t="s">
        <v>1307</v>
      </c>
      <c r="AD101" s="69" t="s">
        <v>1308</v>
      </c>
      <c r="AE101" s="69">
        <v>97010005</v>
      </c>
      <c r="AF101" s="69" t="s">
        <v>801</v>
      </c>
      <c r="AG101" s="69" t="s">
        <v>808</v>
      </c>
      <c r="AH101" s="69">
        <v>2277</v>
      </c>
      <c r="AI101" s="69" t="s">
        <v>573</v>
      </c>
      <c r="AJ101" s="69"/>
      <c r="AK101" s="69" t="s">
        <v>272</v>
      </c>
      <c r="AL101" s="69"/>
      <c r="AM101" s="69"/>
      <c r="AN101" s="69"/>
      <c r="AO101" s="69"/>
      <c r="AP101" s="71">
        <v>41564</v>
      </c>
      <c r="AQ101" s="69"/>
      <c r="AR101" s="69"/>
      <c r="AS101" s="69" t="s">
        <v>988</v>
      </c>
      <c r="AT101" s="69">
        <v>811489.49</v>
      </c>
      <c r="AU101" s="69"/>
      <c r="AV101" s="69"/>
      <c r="AW101" s="69"/>
      <c r="AX101" s="151">
        <v>135996.32999999999</v>
      </c>
      <c r="AY101" s="72">
        <v>1.6758852908865101E+17</v>
      </c>
      <c r="AZ101" s="69">
        <v>1</v>
      </c>
      <c r="BA101" s="69">
        <v>126</v>
      </c>
      <c r="BB101" s="69">
        <v>622478</v>
      </c>
      <c r="BC101" s="71">
        <v>43251</v>
      </c>
      <c r="BD101" s="69" t="s">
        <v>988</v>
      </c>
      <c r="BE101" s="69" t="s">
        <v>1327</v>
      </c>
      <c r="BF101" s="69" t="s">
        <v>988</v>
      </c>
      <c r="BG101" s="69" t="s">
        <v>988</v>
      </c>
      <c r="BH101" s="73">
        <v>4173081.65</v>
      </c>
    </row>
    <row r="102" spans="1:60">
      <c r="A102" s="68">
        <v>24532</v>
      </c>
      <c r="B102" s="69" t="s">
        <v>285</v>
      </c>
      <c r="C102" s="69" t="s">
        <v>137</v>
      </c>
      <c r="D102" s="79" t="s">
        <v>67</v>
      </c>
      <c r="E102" s="69" t="s">
        <v>272</v>
      </c>
      <c r="F102" s="69" t="s">
        <v>146</v>
      </c>
      <c r="G102" s="69" t="s">
        <v>60</v>
      </c>
      <c r="H102" s="69">
        <v>97030764</v>
      </c>
      <c r="I102" s="69" t="s">
        <v>830</v>
      </c>
      <c r="J102" s="69" t="s">
        <v>831</v>
      </c>
      <c r="K102" s="69" t="s">
        <v>284</v>
      </c>
      <c r="L102" s="94" t="str">
        <f t="shared" si="1"/>
        <v>2014</v>
      </c>
      <c r="M102" s="70">
        <v>43616</v>
      </c>
      <c r="N102" s="69" t="s">
        <v>408</v>
      </c>
      <c r="O102" s="69" t="s">
        <v>1328</v>
      </c>
      <c r="P102" s="70">
        <v>42453</v>
      </c>
      <c r="Q102" s="69" t="s">
        <v>409</v>
      </c>
      <c r="R102" s="69" t="s">
        <v>546</v>
      </c>
      <c r="S102" s="69" t="s">
        <v>290</v>
      </c>
      <c r="T102" s="69" t="s">
        <v>411</v>
      </c>
      <c r="U102" s="69" t="s">
        <v>1329</v>
      </c>
      <c r="V102" s="69" t="s">
        <v>412</v>
      </c>
      <c r="W102" s="69">
        <v>88488366000100</v>
      </c>
      <c r="X102" s="69"/>
      <c r="Y102" s="69" t="s">
        <v>802</v>
      </c>
      <c r="Z102" s="69" t="s">
        <v>1306</v>
      </c>
      <c r="AA102" s="69" t="s">
        <v>804</v>
      </c>
      <c r="AB102" s="69" t="s">
        <v>805</v>
      </c>
      <c r="AC102" s="69" t="s">
        <v>1307</v>
      </c>
      <c r="AD102" s="69" t="s">
        <v>1308</v>
      </c>
      <c r="AE102" s="69">
        <v>97010005</v>
      </c>
      <c r="AF102" s="69" t="s">
        <v>801</v>
      </c>
      <c r="AG102" s="69" t="s">
        <v>808</v>
      </c>
      <c r="AH102" s="69">
        <v>2277</v>
      </c>
      <c r="AI102" s="69" t="s">
        <v>573</v>
      </c>
      <c r="AJ102" s="69"/>
      <c r="AK102" s="69" t="s">
        <v>272</v>
      </c>
      <c r="AL102" s="69"/>
      <c r="AM102" s="69"/>
      <c r="AN102" s="71">
        <v>41484</v>
      </c>
      <c r="AO102" s="69"/>
      <c r="AP102" s="71">
        <v>41564</v>
      </c>
      <c r="AQ102" s="69"/>
      <c r="AR102" s="69"/>
      <c r="AS102" s="69" t="s">
        <v>988</v>
      </c>
      <c r="AT102" s="69">
        <v>1537625.78</v>
      </c>
      <c r="AU102" s="71">
        <v>42453</v>
      </c>
      <c r="AV102" s="69" t="s">
        <v>429</v>
      </c>
      <c r="AW102" s="69" t="s">
        <v>430</v>
      </c>
      <c r="AX102" s="151">
        <v>769930.21</v>
      </c>
      <c r="AY102" s="72">
        <v>5.00726656168336E+17</v>
      </c>
      <c r="AZ102" s="69">
        <v>1</v>
      </c>
      <c r="BA102" s="69">
        <v>126</v>
      </c>
      <c r="BB102" s="69">
        <v>622478</v>
      </c>
      <c r="BC102" s="71">
        <v>43251</v>
      </c>
      <c r="BD102" s="69" t="s">
        <v>988</v>
      </c>
      <c r="BE102" s="69" t="s">
        <v>1327</v>
      </c>
      <c r="BF102" s="69" t="s">
        <v>988</v>
      </c>
      <c r="BG102" s="69" t="s">
        <v>988</v>
      </c>
      <c r="BH102" s="73">
        <v>4173081.65</v>
      </c>
    </row>
    <row r="103" spans="1:60">
      <c r="A103" s="68">
        <v>24533</v>
      </c>
      <c r="B103" s="69" t="s">
        <v>1330</v>
      </c>
      <c r="C103" s="69" t="s">
        <v>82</v>
      </c>
      <c r="D103" s="79" t="s">
        <v>64</v>
      </c>
      <c r="E103" s="69" t="s">
        <v>272</v>
      </c>
      <c r="F103" s="69" t="s">
        <v>146</v>
      </c>
      <c r="G103" s="69" t="s">
        <v>60</v>
      </c>
      <c r="H103" s="69">
        <v>97060540</v>
      </c>
      <c r="I103" s="69" t="s">
        <v>1331</v>
      </c>
      <c r="J103" s="69" t="s">
        <v>834</v>
      </c>
      <c r="K103" s="69" t="s">
        <v>284</v>
      </c>
      <c r="L103" s="94" t="str">
        <f t="shared" si="1"/>
        <v>2014</v>
      </c>
      <c r="M103" s="70">
        <v>43616</v>
      </c>
      <c r="N103" s="69" t="s">
        <v>408</v>
      </c>
      <c r="O103" s="69" t="s">
        <v>988</v>
      </c>
      <c r="P103" s="69"/>
      <c r="Q103" s="69" t="s">
        <v>409</v>
      </c>
      <c r="R103" s="69" t="s">
        <v>583</v>
      </c>
      <c r="S103" s="69" t="s">
        <v>290</v>
      </c>
      <c r="T103" s="69" t="s">
        <v>411</v>
      </c>
      <c r="U103" s="69" t="s">
        <v>1332</v>
      </c>
      <c r="V103" s="69" t="s">
        <v>412</v>
      </c>
      <c r="W103" s="69">
        <v>88488366000100</v>
      </c>
      <c r="X103" s="69"/>
      <c r="Y103" s="69" t="s">
        <v>802</v>
      </c>
      <c r="Z103" s="69" t="s">
        <v>1306</v>
      </c>
      <c r="AA103" s="69" t="s">
        <v>804</v>
      </c>
      <c r="AB103" s="69" t="s">
        <v>805</v>
      </c>
      <c r="AC103" s="69" t="s">
        <v>1307</v>
      </c>
      <c r="AD103" s="69" t="s">
        <v>1308</v>
      </c>
      <c r="AE103" s="69">
        <v>97010005</v>
      </c>
      <c r="AF103" s="69" t="s">
        <v>801</v>
      </c>
      <c r="AG103" s="69" t="s">
        <v>808</v>
      </c>
      <c r="AH103" s="69">
        <v>2277</v>
      </c>
      <c r="AI103" s="69" t="s">
        <v>573</v>
      </c>
      <c r="AJ103" s="69"/>
      <c r="AK103" s="69" t="s">
        <v>272</v>
      </c>
      <c r="AL103" s="69"/>
      <c r="AM103" s="69"/>
      <c r="AN103" s="69"/>
      <c r="AO103" s="69"/>
      <c r="AP103" s="71">
        <v>41564</v>
      </c>
      <c r="AQ103" s="69"/>
      <c r="AR103" s="69"/>
      <c r="AS103" s="69" t="s">
        <v>988</v>
      </c>
      <c r="AT103" s="69">
        <v>812020.49</v>
      </c>
      <c r="AU103" s="69"/>
      <c r="AV103" s="69"/>
      <c r="AW103" s="69"/>
      <c r="AX103" s="151">
        <v>135740.14000000001</v>
      </c>
      <c r="AY103" s="72">
        <v>1.67163441897876E+17</v>
      </c>
      <c r="AZ103" s="69">
        <v>1</v>
      </c>
      <c r="BA103" s="69">
        <v>126</v>
      </c>
      <c r="BB103" s="69">
        <v>622478</v>
      </c>
      <c r="BC103" s="71">
        <v>43251</v>
      </c>
      <c r="BD103" s="69" t="s">
        <v>988</v>
      </c>
      <c r="BE103" s="69" t="s">
        <v>1327</v>
      </c>
      <c r="BF103" s="69" t="s">
        <v>988</v>
      </c>
      <c r="BG103" s="69" t="s">
        <v>988</v>
      </c>
      <c r="BH103" s="73">
        <v>4173081.65</v>
      </c>
    </row>
    <row r="104" spans="1:60">
      <c r="A104" s="68">
        <v>24534</v>
      </c>
      <c r="B104" s="69" t="s">
        <v>287</v>
      </c>
      <c r="C104" s="69" t="s">
        <v>67</v>
      </c>
      <c r="D104" s="80" t="s">
        <v>67</v>
      </c>
      <c r="E104" s="69" t="s">
        <v>272</v>
      </c>
      <c r="F104" s="69" t="s">
        <v>146</v>
      </c>
      <c r="G104" s="69" t="s">
        <v>60</v>
      </c>
      <c r="H104" s="69">
        <v>97060330</v>
      </c>
      <c r="I104" s="69" t="s">
        <v>835</v>
      </c>
      <c r="J104" s="69" t="s">
        <v>1333</v>
      </c>
      <c r="K104" s="69" t="s">
        <v>284</v>
      </c>
      <c r="L104" s="94" t="str">
        <f t="shared" si="1"/>
        <v>2014</v>
      </c>
      <c r="M104" s="70">
        <v>43616</v>
      </c>
      <c r="N104" s="69" t="s">
        <v>408</v>
      </c>
      <c r="O104" s="75" t="s">
        <v>1334</v>
      </c>
      <c r="P104" s="70">
        <v>43826</v>
      </c>
      <c r="Q104" s="69" t="s">
        <v>409</v>
      </c>
      <c r="R104" s="69" t="s">
        <v>1321</v>
      </c>
      <c r="S104" s="69" t="s">
        <v>290</v>
      </c>
      <c r="T104" s="69" t="s">
        <v>411</v>
      </c>
      <c r="U104" s="69" t="s">
        <v>1335</v>
      </c>
      <c r="V104" s="69" t="s">
        <v>412</v>
      </c>
      <c r="W104" s="69">
        <v>88488366000100</v>
      </c>
      <c r="X104" s="69"/>
      <c r="Y104" s="69" t="s">
        <v>802</v>
      </c>
      <c r="Z104" s="69" t="s">
        <v>1306</v>
      </c>
      <c r="AA104" s="69" t="s">
        <v>804</v>
      </c>
      <c r="AB104" s="69" t="s">
        <v>805</v>
      </c>
      <c r="AC104" s="69" t="s">
        <v>1307</v>
      </c>
      <c r="AD104" s="69" t="s">
        <v>1308</v>
      </c>
      <c r="AE104" s="69">
        <v>97010005</v>
      </c>
      <c r="AF104" s="69" t="s">
        <v>801</v>
      </c>
      <c r="AG104" s="69" t="s">
        <v>808</v>
      </c>
      <c r="AH104" s="69">
        <v>2277</v>
      </c>
      <c r="AI104" s="69" t="s">
        <v>573</v>
      </c>
      <c r="AJ104" s="69"/>
      <c r="AK104" s="69" t="s">
        <v>272</v>
      </c>
      <c r="AL104" s="69"/>
      <c r="AM104" s="69"/>
      <c r="AN104" s="69"/>
      <c r="AO104" s="69"/>
      <c r="AP104" s="69"/>
      <c r="AQ104" s="69"/>
      <c r="AR104" s="69"/>
      <c r="AS104" s="69" t="s">
        <v>988</v>
      </c>
      <c r="AT104" s="69">
        <v>1518709.12</v>
      </c>
      <c r="AU104" s="71">
        <v>43264</v>
      </c>
      <c r="AV104" s="69" t="s">
        <v>429</v>
      </c>
      <c r="AW104" s="69" t="s">
        <v>430</v>
      </c>
      <c r="AX104" s="151">
        <v>765493.72</v>
      </c>
      <c r="AY104" s="72">
        <v>5.0404235317891898E+17</v>
      </c>
      <c r="AZ104" s="69">
        <v>1</v>
      </c>
      <c r="BA104" s="69">
        <v>126</v>
      </c>
      <c r="BB104" s="69">
        <v>622478</v>
      </c>
      <c r="BC104" s="71">
        <v>43251</v>
      </c>
      <c r="BD104" s="69" t="s">
        <v>988</v>
      </c>
      <c r="BE104" s="69" t="s">
        <v>1327</v>
      </c>
      <c r="BF104" s="69" t="s">
        <v>988</v>
      </c>
      <c r="BG104" s="69" t="s">
        <v>988</v>
      </c>
      <c r="BH104" s="73">
        <v>4173081.65</v>
      </c>
    </row>
    <row r="105" spans="1:60">
      <c r="A105" s="68">
        <v>24535</v>
      </c>
      <c r="B105" s="69" t="s">
        <v>288</v>
      </c>
      <c r="C105" s="69" t="s">
        <v>67</v>
      </c>
      <c r="D105" s="80" t="s">
        <v>67</v>
      </c>
      <c r="E105" s="69" t="s">
        <v>272</v>
      </c>
      <c r="F105" s="69" t="s">
        <v>146</v>
      </c>
      <c r="G105" s="69" t="s">
        <v>60</v>
      </c>
      <c r="H105" s="69">
        <v>97037000</v>
      </c>
      <c r="I105" s="69" t="s">
        <v>837</v>
      </c>
      <c r="J105" s="69" t="s">
        <v>1336</v>
      </c>
      <c r="K105" s="69" t="s">
        <v>284</v>
      </c>
      <c r="L105" s="94" t="str">
        <f t="shared" si="1"/>
        <v>2014</v>
      </c>
      <c r="M105" s="70">
        <v>43616</v>
      </c>
      <c r="N105" s="69" t="s">
        <v>408</v>
      </c>
      <c r="O105" s="75" t="s">
        <v>1272</v>
      </c>
      <c r="P105" s="70">
        <v>43273</v>
      </c>
      <c r="Q105" s="69" t="s">
        <v>409</v>
      </c>
      <c r="R105" s="69" t="s">
        <v>1321</v>
      </c>
      <c r="S105" s="69" t="s">
        <v>290</v>
      </c>
      <c r="T105" s="69" t="s">
        <v>411</v>
      </c>
      <c r="U105" s="69" t="s">
        <v>1337</v>
      </c>
      <c r="V105" s="69" t="s">
        <v>412</v>
      </c>
      <c r="W105" s="69">
        <v>88488366000100</v>
      </c>
      <c r="X105" s="69"/>
      <c r="Y105" s="69" t="s">
        <v>802</v>
      </c>
      <c r="Z105" s="69" t="s">
        <v>1306</v>
      </c>
      <c r="AA105" s="69" t="s">
        <v>804</v>
      </c>
      <c r="AB105" s="69" t="s">
        <v>805</v>
      </c>
      <c r="AC105" s="69" t="s">
        <v>1307</v>
      </c>
      <c r="AD105" s="69" t="s">
        <v>1308</v>
      </c>
      <c r="AE105" s="69">
        <v>97010005</v>
      </c>
      <c r="AF105" s="69" t="s">
        <v>801</v>
      </c>
      <c r="AG105" s="69" t="s">
        <v>808</v>
      </c>
      <c r="AH105" s="69">
        <v>2277</v>
      </c>
      <c r="AI105" s="69" t="s">
        <v>573</v>
      </c>
      <c r="AJ105" s="69"/>
      <c r="AK105" s="69" t="s">
        <v>272</v>
      </c>
      <c r="AL105" s="69"/>
      <c r="AM105" s="69"/>
      <c r="AN105" s="71">
        <v>41484</v>
      </c>
      <c r="AO105" s="69"/>
      <c r="AP105" s="71">
        <v>41564</v>
      </c>
      <c r="AQ105" s="69">
        <v>360</v>
      </c>
      <c r="AR105" s="71">
        <v>41924</v>
      </c>
      <c r="AS105" s="69" t="s">
        <v>1338</v>
      </c>
      <c r="AT105" s="69">
        <v>1533985.25</v>
      </c>
      <c r="AU105" s="71">
        <v>43273</v>
      </c>
      <c r="AV105" s="69" t="s">
        <v>429</v>
      </c>
      <c r="AW105" s="69" t="s">
        <v>430</v>
      </c>
      <c r="AX105" s="151">
        <v>765780.1</v>
      </c>
      <c r="AY105" s="72">
        <v>4.9920955947821299E+17</v>
      </c>
      <c r="AZ105" s="69">
        <v>1</v>
      </c>
      <c r="BA105" s="69">
        <v>126</v>
      </c>
      <c r="BB105" s="69">
        <v>622478</v>
      </c>
      <c r="BC105" s="71">
        <v>43251</v>
      </c>
      <c r="BD105" s="69" t="s">
        <v>988</v>
      </c>
      <c r="BE105" s="69" t="s">
        <v>1327</v>
      </c>
      <c r="BF105" s="69" t="s">
        <v>988</v>
      </c>
      <c r="BG105" s="69" t="s">
        <v>988</v>
      </c>
      <c r="BH105" s="73">
        <v>4173081.65</v>
      </c>
    </row>
    <row r="106" spans="1:60">
      <c r="A106" s="68">
        <v>24536</v>
      </c>
      <c r="B106" s="69" t="s">
        <v>1339</v>
      </c>
      <c r="C106" s="69" t="s">
        <v>67</v>
      </c>
      <c r="D106" s="80" t="s">
        <v>67</v>
      </c>
      <c r="E106" s="69" t="s">
        <v>272</v>
      </c>
      <c r="F106" s="69" t="s">
        <v>146</v>
      </c>
      <c r="G106" s="69" t="s">
        <v>60</v>
      </c>
      <c r="H106" s="69">
        <v>97105682</v>
      </c>
      <c r="I106" s="69" t="s">
        <v>1340</v>
      </c>
      <c r="J106" s="69" t="s">
        <v>1341</v>
      </c>
      <c r="K106" s="69" t="s">
        <v>284</v>
      </c>
      <c r="L106" s="94" t="str">
        <f t="shared" si="1"/>
        <v>2014</v>
      </c>
      <c r="M106" s="70">
        <v>43616</v>
      </c>
      <c r="N106" s="69" t="s">
        <v>408</v>
      </c>
      <c r="O106" s="75" t="s">
        <v>1342</v>
      </c>
      <c r="P106" s="70">
        <v>43640</v>
      </c>
      <c r="Q106" s="69" t="s">
        <v>409</v>
      </c>
      <c r="R106" s="69" t="s">
        <v>1321</v>
      </c>
      <c r="S106" s="69" t="s">
        <v>290</v>
      </c>
      <c r="T106" s="69" t="s">
        <v>411</v>
      </c>
      <c r="U106" s="69" t="s">
        <v>1343</v>
      </c>
      <c r="V106" s="69" t="s">
        <v>412</v>
      </c>
      <c r="W106" s="69">
        <v>88488366000100</v>
      </c>
      <c r="X106" s="69"/>
      <c r="Y106" s="69" t="s">
        <v>802</v>
      </c>
      <c r="Z106" s="69" t="s">
        <v>1306</v>
      </c>
      <c r="AA106" s="69" t="s">
        <v>804</v>
      </c>
      <c r="AB106" s="69" t="s">
        <v>805</v>
      </c>
      <c r="AC106" s="69" t="s">
        <v>1307</v>
      </c>
      <c r="AD106" s="69" t="s">
        <v>1308</v>
      </c>
      <c r="AE106" s="69">
        <v>97010005</v>
      </c>
      <c r="AF106" s="69" t="s">
        <v>801</v>
      </c>
      <c r="AG106" s="69" t="s">
        <v>808</v>
      </c>
      <c r="AH106" s="69">
        <v>2277</v>
      </c>
      <c r="AI106" s="69" t="s">
        <v>573</v>
      </c>
      <c r="AJ106" s="69"/>
      <c r="AK106" s="69" t="s">
        <v>272</v>
      </c>
      <c r="AL106" s="69"/>
      <c r="AM106" s="69"/>
      <c r="AN106" s="71">
        <v>41484</v>
      </c>
      <c r="AO106" s="69"/>
      <c r="AP106" s="71">
        <v>41564</v>
      </c>
      <c r="AQ106" s="69">
        <v>365</v>
      </c>
      <c r="AR106" s="71">
        <v>41929</v>
      </c>
      <c r="AS106" s="69" t="s">
        <v>1343</v>
      </c>
      <c r="AT106" s="69">
        <v>1531784.78</v>
      </c>
      <c r="AU106" s="71">
        <v>43263</v>
      </c>
      <c r="AV106" s="69" t="s">
        <v>429</v>
      </c>
      <c r="AW106" s="69" t="s">
        <v>430</v>
      </c>
      <c r="AX106" s="151">
        <v>766345.25</v>
      </c>
      <c r="AY106" s="72">
        <v>5.0029564176093498E+17</v>
      </c>
      <c r="AZ106" s="69">
        <v>1</v>
      </c>
      <c r="BA106" s="69">
        <v>126</v>
      </c>
      <c r="BB106" s="69">
        <v>622478</v>
      </c>
      <c r="BC106" s="71">
        <v>43251</v>
      </c>
      <c r="BD106" s="69" t="s">
        <v>988</v>
      </c>
      <c r="BE106" s="69" t="s">
        <v>1327</v>
      </c>
      <c r="BF106" s="69" t="s">
        <v>988</v>
      </c>
      <c r="BG106" s="69" t="s">
        <v>988</v>
      </c>
      <c r="BH106" s="73">
        <v>4173081.65</v>
      </c>
    </row>
    <row r="107" spans="1:60" s="146" customFormat="1">
      <c r="A107" s="139">
        <v>31256</v>
      </c>
      <c r="B107" s="140" t="s">
        <v>1600</v>
      </c>
      <c r="C107" s="140" t="s">
        <v>89</v>
      </c>
      <c r="D107" s="140" t="s">
        <v>89</v>
      </c>
      <c r="E107" s="140" t="s">
        <v>272</v>
      </c>
      <c r="F107" s="140" t="s">
        <v>146</v>
      </c>
      <c r="G107" s="140" t="s">
        <v>60</v>
      </c>
      <c r="H107" s="140">
        <v>97010005</v>
      </c>
      <c r="I107" s="140" t="s">
        <v>843</v>
      </c>
      <c r="J107" s="140" t="s">
        <v>844</v>
      </c>
      <c r="K107" s="140" t="s">
        <v>291</v>
      </c>
      <c r="L107" s="141" t="str">
        <f t="shared" si="1"/>
        <v>2014</v>
      </c>
      <c r="M107" s="142">
        <v>43311</v>
      </c>
      <c r="N107" s="140" t="s">
        <v>408</v>
      </c>
      <c r="O107" s="140" t="s">
        <v>1063</v>
      </c>
      <c r="P107" s="142">
        <v>43130</v>
      </c>
      <c r="Q107" s="140" t="s">
        <v>409</v>
      </c>
      <c r="R107" s="140" t="s">
        <v>846</v>
      </c>
      <c r="S107" s="140" t="s">
        <v>290</v>
      </c>
      <c r="T107" s="140" t="s">
        <v>411</v>
      </c>
      <c r="U107" s="140" t="s">
        <v>1344</v>
      </c>
      <c r="V107" s="140" t="s">
        <v>412</v>
      </c>
      <c r="W107" s="140">
        <v>88488366000100</v>
      </c>
      <c r="X107" s="140"/>
      <c r="Y107" s="140" t="s">
        <v>802</v>
      </c>
      <c r="Z107" s="140" t="s">
        <v>1306</v>
      </c>
      <c r="AA107" s="140" t="s">
        <v>804</v>
      </c>
      <c r="AB107" s="140" t="s">
        <v>805</v>
      </c>
      <c r="AC107" s="140" t="s">
        <v>1307</v>
      </c>
      <c r="AD107" s="140" t="s">
        <v>1308</v>
      </c>
      <c r="AE107" s="140">
        <v>97010005</v>
      </c>
      <c r="AF107" s="140" t="s">
        <v>801</v>
      </c>
      <c r="AG107" s="140" t="s">
        <v>808</v>
      </c>
      <c r="AH107" s="140">
        <v>2277</v>
      </c>
      <c r="AI107" s="140" t="s">
        <v>573</v>
      </c>
      <c r="AJ107" s="140"/>
      <c r="AK107" s="140" t="s">
        <v>272</v>
      </c>
      <c r="AL107" s="140" t="s">
        <v>494</v>
      </c>
      <c r="AM107" s="140">
        <v>72014</v>
      </c>
      <c r="AN107" s="143">
        <v>41919</v>
      </c>
      <c r="AO107" s="140" t="s">
        <v>847</v>
      </c>
      <c r="AP107" s="143">
        <v>41880</v>
      </c>
      <c r="AQ107" s="140">
        <v>1250</v>
      </c>
      <c r="AR107" s="143">
        <v>43130</v>
      </c>
      <c r="AS107" s="140" t="s">
        <v>1345</v>
      </c>
      <c r="AT107" s="140">
        <v>431837.97</v>
      </c>
      <c r="AU107" s="143">
        <v>43069</v>
      </c>
      <c r="AV107" s="140" t="s">
        <v>1065</v>
      </c>
      <c r="AW107" s="140"/>
      <c r="AX107" s="152">
        <v>246147.64</v>
      </c>
      <c r="AY107" s="144">
        <v>5.6999999328451802E+17</v>
      </c>
      <c r="AZ107" s="140">
        <v>1</v>
      </c>
      <c r="BA107" s="140">
        <v>126</v>
      </c>
      <c r="BB107" s="140">
        <v>648043</v>
      </c>
      <c r="BC107" s="143">
        <v>43251</v>
      </c>
      <c r="BD107" s="140" t="s">
        <v>988</v>
      </c>
      <c r="BE107" s="140" t="s">
        <v>1346</v>
      </c>
      <c r="BF107" s="140" t="s">
        <v>988</v>
      </c>
      <c r="BG107" s="140" t="s">
        <v>988</v>
      </c>
      <c r="BH107" s="145">
        <v>3032.11</v>
      </c>
    </row>
    <row r="108" spans="1:60">
      <c r="A108" s="68">
        <v>25206</v>
      </c>
      <c r="B108" s="69" t="s">
        <v>293</v>
      </c>
      <c r="C108" s="69" t="s">
        <v>22</v>
      </c>
      <c r="D108" s="79" t="s">
        <v>64</v>
      </c>
      <c r="E108" s="69" t="s">
        <v>292</v>
      </c>
      <c r="F108" s="69" t="s">
        <v>86</v>
      </c>
      <c r="G108" s="69" t="s">
        <v>60</v>
      </c>
      <c r="H108" s="69">
        <v>89240000</v>
      </c>
      <c r="I108" s="69" t="s">
        <v>848</v>
      </c>
      <c r="J108" s="69" t="s">
        <v>849</v>
      </c>
      <c r="K108" s="69" t="s">
        <v>294</v>
      </c>
      <c r="L108" s="94" t="str">
        <f t="shared" si="1"/>
        <v>2013</v>
      </c>
      <c r="M108" s="70">
        <v>43496</v>
      </c>
      <c r="N108" s="69" t="s">
        <v>408</v>
      </c>
      <c r="O108" s="69" t="s">
        <v>988</v>
      </c>
      <c r="P108" s="69"/>
      <c r="Q108" s="69" t="s">
        <v>409</v>
      </c>
      <c r="R108" s="69" t="s">
        <v>546</v>
      </c>
      <c r="S108" s="69" t="s">
        <v>290</v>
      </c>
      <c r="T108" s="69" t="s">
        <v>411</v>
      </c>
      <c r="U108" s="69" t="s">
        <v>1347</v>
      </c>
      <c r="V108" s="69" t="s">
        <v>412</v>
      </c>
      <c r="W108" s="69">
        <v>83102269000106</v>
      </c>
      <c r="X108" s="69">
        <v>281350</v>
      </c>
      <c r="Y108" s="69" t="s">
        <v>851</v>
      </c>
      <c r="Z108" s="69" t="s">
        <v>1348</v>
      </c>
      <c r="AA108" s="69" t="s">
        <v>1349</v>
      </c>
      <c r="AB108" s="69" t="s">
        <v>854</v>
      </c>
      <c r="AC108" s="69" t="s">
        <v>1350</v>
      </c>
      <c r="AD108" s="69" t="s">
        <v>1350</v>
      </c>
      <c r="AE108" s="69">
        <v>89240000</v>
      </c>
      <c r="AF108" s="69" t="s">
        <v>1351</v>
      </c>
      <c r="AG108" s="69" t="s">
        <v>857</v>
      </c>
      <c r="AH108" s="69">
        <v>1</v>
      </c>
      <c r="AI108" s="69" t="s">
        <v>421</v>
      </c>
      <c r="AJ108" s="69"/>
      <c r="AK108" s="69" t="s">
        <v>292</v>
      </c>
      <c r="AL108" s="69" t="s">
        <v>427</v>
      </c>
      <c r="AM108" s="69">
        <v>12</v>
      </c>
      <c r="AN108" s="71">
        <v>42430</v>
      </c>
      <c r="AO108" s="69"/>
      <c r="AP108" s="71">
        <v>41779</v>
      </c>
      <c r="AQ108" s="69"/>
      <c r="AR108" s="69"/>
      <c r="AS108" s="69" t="s">
        <v>988</v>
      </c>
      <c r="AT108" s="69">
        <v>1499205.54</v>
      </c>
      <c r="AU108" s="69"/>
      <c r="AV108" s="69"/>
      <c r="AW108" s="69"/>
      <c r="AX108" s="151">
        <v>288886.01</v>
      </c>
      <c r="AY108" s="72">
        <v>1.5300482426912301E+17</v>
      </c>
      <c r="AZ108" s="69">
        <v>1</v>
      </c>
      <c r="BA108" s="69">
        <v>466</v>
      </c>
      <c r="BB108" s="69">
        <v>222208</v>
      </c>
      <c r="BC108" s="71">
        <v>43251</v>
      </c>
      <c r="BD108" s="69" t="s">
        <v>988</v>
      </c>
      <c r="BE108" s="69" t="s">
        <v>1352</v>
      </c>
      <c r="BF108" s="69" t="s">
        <v>988</v>
      </c>
      <c r="BG108" s="69" t="s">
        <v>988</v>
      </c>
      <c r="BH108" s="73">
        <v>25534.39</v>
      </c>
    </row>
    <row r="109" spans="1:60">
      <c r="A109" s="68">
        <v>1014175</v>
      </c>
      <c r="B109" s="69" t="s">
        <v>295</v>
      </c>
      <c r="C109" s="69" t="s">
        <v>58</v>
      </c>
      <c r="D109" s="79" t="s">
        <v>1443</v>
      </c>
      <c r="E109" s="69" t="s">
        <v>292</v>
      </c>
      <c r="F109" s="69" t="s">
        <v>86</v>
      </c>
      <c r="G109" s="69" t="s">
        <v>60</v>
      </c>
      <c r="H109" s="69">
        <v>89240000</v>
      </c>
      <c r="I109" s="69" t="s">
        <v>859</v>
      </c>
      <c r="J109" s="69" t="s">
        <v>1353</v>
      </c>
      <c r="K109" s="69" t="s">
        <v>296</v>
      </c>
      <c r="L109" s="94" t="str">
        <f t="shared" si="1"/>
        <v>2014</v>
      </c>
      <c r="M109" s="70">
        <v>43465</v>
      </c>
      <c r="N109" s="69" t="s">
        <v>408</v>
      </c>
      <c r="O109" s="69" t="s">
        <v>1354</v>
      </c>
      <c r="P109" s="70">
        <v>43353</v>
      </c>
      <c r="Q109" s="69" t="s">
        <v>409</v>
      </c>
      <c r="R109" s="69" t="s">
        <v>443</v>
      </c>
      <c r="S109" s="69" t="s">
        <v>290</v>
      </c>
      <c r="T109" s="69" t="s">
        <v>411</v>
      </c>
      <c r="U109" s="69" t="s">
        <v>1355</v>
      </c>
      <c r="V109" s="69" t="s">
        <v>412</v>
      </c>
      <c r="W109" s="69">
        <v>83102269000106</v>
      </c>
      <c r="X109" s="69">
        <v>281350</v>
      </c>
      <c r="Y109" s="69" t="s">
        <v>851</v>
      </c>
      <c r="Z109" s="69" t="s">
        <v>1348</v>
      </c>
      <c r="AA109" s="69" t="s">
        <v>1349</v>
      </c>
      <c r="AB109" s="69" t="s">
        <v>854</v>
      </c>
      <c r="AC109" s="69" t="s">
        <v>1350</v>
      </c>
      <c r="AD109" s="69" t="s">
        <v>1350</v>
      </c>
      <c r="AE109" s="69">
        <v>89240000</v>
      </c>
      <c r="AF109" s="69" t="s">
        <v>1351</v>
      </c>
      <c r="AG109" s="69" t="s">
        <v>857</v>
      </c>
      <c r="AH109" s="69">
        <v>1</v>
      </c>
      <c r="AI109" s="69" t="s">
        <v>421</v>
      </c>
      <c r="AJ109" s="69"/>
      <c r="AK109" s="69" t="s">
        <v>292</v>
      </c>
      <c r="AL109" s="69" t="s">
        <v>427</v>
      </c>
      <c r="AM109" s="69">
        <v>131</v>
      </c>
      <c r="AN109" s="71">
        <v>42432</v>
      </c>
      <c r="AO109" s="69" t="s">
        <v>862</v>
      </c>
      <c r="AP109" s="71">
        <v>42432</v>
      </c>
      <c r="AQ109" s="69">
        <v>1163</v>
      </c>
      <c r="AR109" s="71">
        <v>43378</v>
      </c>
      <c r="AS109" s="69" t="s">
        <v>1356</v>
      </c>
      <c r="AT109" s="69">
        <v>3554832.03</v>
      </c>
      <c r="AU109" s="71">
        <v>43258</v>
      </c>
      <c r="AV109" s="69" t="s">
        <v>457</v>
      </c>
      <c r="AW109" s="69"/>
      <c r="AX109" s="151">
        <v>1350836.17</v>
      </c>
      <c r="AY109" s="72">
        <v>3.7999999980927302E+17</v>
      </c>
      <c r="AZ109" s="69">
        <v>1</v>
      </c>
      <c r="BA109" s="69">
        <v>466</v>
      </c>
      <c r="BB109" s="69" t="s">
        <v>863</v>
      </c>
      <c r="BC109" s="71">
        <v>43251</v>
      </c>
      <c r="BD109" s="69" t="s">
        <v>988</v>
      </c>
      <c r="BE109" s="69" t="s">
        <v>1357</v>
      </c>
      <c r="BF109" s="69" t="s">
        <v>988</v>
      </c>
      <c r="BG109" s="69" t="s">
        <v>988</v>
      </c>
      <c r="BH109" s="73">
        <v>27467.95</v>
      </c>
    </row>
    <row r="110" spans="1:60">
      <c r="A110" s="68">
        <v>24484</v>
      </c>
      <c r="B110" s="69" t="s">
        <v>1005</v>
      </c>
      <c r="C110" s="69" t="s">
        <v>89</v>
      </c>
      <c r="D110" s="80" t="s">
        <v>89</v>
      </c>
      <c r="E110" s="69" t="s">
        <v>297</v>
      </c>
      <c r="F110" s="69" t="s">
        <v>202</v>
      </c>
      <c r="G110" s="69" t="s">
        <v>60</v>
      </c>
      <c r="H110" s="69">
        <v>12228000</v>
      </c>
      <c r="I110" s="69" t="s">
        <v>864</v>
      </c>
      <c r="J110" s="69" t="s">
        <v>1358</v>
      </c>
      <c r="K110" s="69" t="s">
        <v>298</v>
      </c>
      <c r="L110" s="94" t="str">
        <f t="shared" si="1"/>
        <v>2012</v>
      </c>
      <c r="M110" s="70">
        <v>43378</v>
      </c>
      <c r="N110" s="69" t="s">
        <v>408</v>
      </c>
      <c r="O110" s="69" t="s">
        <v>1359</v>
      </c>
      <c r="P110" s="70">
        <v>43196</v>
      </c>
      <c r="Q110" s="69" t="s">
        <v>409</v>
      </c>
      <c r="R110" s="69" t="s">
        <v>866</v>
      </c>
      <c r="S110" s="69" t="s">
        <v>290</v>
      </c>
      <c r="T110" s="69" t="s">
        <v>411</v>
      </c>
      <c r="U110" s="69" t="s">
        <v>1360</v>
      </c>
      <c r="V110" s="69" t="s">
        <v>412</v>
      </c>
      <c r="W110" s="69">
        <v>46643466000106</v>
      </c>
      <c r="X110" s="69">
        <v>280629</v>
      </c>
      <c r="Y110" s="69" t="s">
        <v>867</v>
      </c>
      <c r="Z110" s="69" t="s">
        <v>1361</v>
      </c>
      <c r="AA110" s="69" t="s">
        <v>869</v>
      </c>
      <c r="AB110" s="69" t="s">
        <v>870</v>
      </c>
      <c r="AC110" s="69" t="s">
        <v>1362</v>
      </c>
      <c r="AD110" s="69" t="s">
        <v>1363</v>
      </c>
      <c r="AE110" s="69">
        <v>12209530</v>
      </c>
      <c r="AF110" s="69" t="s">
        <v>873</v>
      </c>
      <c r="AG110" s="69"/>
      <c r="AH110" s="69">
        <v>123</v>
      </c>
      <c r="AI110" s="69" t="s">
        <v>874</v>
      </c>
      <c r="AJ110" s="69"/>
      <c r="AK110" s="69" t="s">
        <v>297</v>
      </c>
      <c r="AL110" s="69" t="s">
        <v>427</v>
      </c>
      <c r="AM110" s="69">
        <v>1</v>
      </c>
      <c r="AN110" s="71">
        <v>42534</v>
      </c>
      <c r="AO110" s="69" t="s">
        <v>1364</v>
      </c>
      <c r="AP110" s="71">
        <v>42523</v>
      </c>
      <c r="AQ110" s="69">
        <v>365</v>
      </c>
      <c r="AR110" s="71">
        <v>42888</v>
      </c>
      <c r="AS110" s="69" t="s">
        <v>1365</v>
      </c>
      <c r="AT110" s="69">
        <v>8477691.4299999997</v>
      </c>
      <c r="AU110" s="71">
        <v>43196</v>
      </c>
      <c r="AV110" s="69" t="s">
        <v>1065</v>
      </c>
      <c r="AW110" s="69"/>
      <c r="AX110" s="151">
        <v>6841286.29</v>
      </c>
      <c r="AY110" s="72">
        <v>8.0697514724241306E+17</v>
      </c>
      <c r="AZ110" s="69">
        <v>1</v>
      </c>
      <c r="BA110" s="69">
        <v>175</v>
      </c>
      <c r="BB110" s="69">
        <v>821233</v>
      </c>
      <c r="BC110" s="71">
        <v>43251</v>
      </c>
      <c r="BD110" s="69" t="s">
        <v>988</v>
      </c>
      <c r="BE110" s="69" t="s">
        <v>1366</v>
      </c>
      <c r="BF110" s="69" t="s">
        <v>988</v>
      </c>
      <c r="BG110" s="69" t="s">
        <v>988</v>
      </c>
      <c r="BH110" s="73">
        <v>3036738.56</v>
      </c>
    </row>
    <row r="111" spans="1:60">
      <c r="A111" s="68">
        <v>1010716</v>
      </c>
      <c r="B111" s="69" t="s">
        <v>991</v>
      </c>
      <c r="C111" s="69" t="s">
        <v>89</v>
      </c>
      <c r="D111" s="80" t="s">
        <v>89</v>
      </c>
      <c r="E111" s="69" t="s">
        <v>297</v>
      </c>
      <c r="F111" s="69" t="s">
        <v>202</v>
      </c>
      <c r="G111" s="69" t="s">
        <v>60</v>
      </c>
      <c r="H111" s="69">
        <v>12226691</v>
      </c>
      <c r="I111" s="69" t="s">
        <v>876</v>
      </c>
      <c r="J111" s="69" t="s">
        <v>1367</v>
      </c>
      <c r="K111" s="69" t="s">
        <v>299</v>
      </c>
      <c r="L111" s="94" t="str">
        <f t="shared" si="1"/>
        <v>2013</v>
      </c>
      <c r="M111" s="70">
        <v>43225</v>
      </c>
      <c r="N111" s="69" t="s">
        <v>446</v>
      </c>
      <c r="O111" s="69" t="s">
        <v>1063</v>
      </c>
      <c r="P111" s="70">
        <v>42948</v>
      </c>
      <c r="Q111" s="69" t="s">
        <v>409</v>
      </c>
      <c r="R111" s="69" t="s">
        <v>866</v>
      </c>
      <c r="S111" s="69" t="s">
        <v>290</v>
      </c>
      <c r="T111" s="69" t="s">
        <v>411</v>
      </c>
      <c r="U111" s="69" t="s">
        <v>1368</v>
      </c>
      <c r="V111" s="69" t="s">
        <v>412</v>
      </c>
      <c r="W111" s="69">
        <v>46643466000106</v>
      </c>
      <c r="X111" s="69">
        <v>280629</v>
      </c>
      <c r="Y111" s="69" t="s">
        <v>867</v>
      </c>
      <c r="Z111" s="69" t="s">
        <v>1361</v>
      </c>
      <c r="AA111" s="69" t="s">
        <v>869</v>
      </c>
      <c r="AB111" s="69" t="s">
        <v>870</v>
      </c>
      <c r="AC111" s="69" t="s">
        <v>1362</v>
      </c>
      <c r="AD111" s="69" t="s">
        <v>1363</v>
      </c>
      <c r="AE111" s="69">
        <v>12209530</v>
      </c>
      <c r="AF111" s="69" t="s">
        <v>873</v>
      </c>
      <c r="AG111" s="69"/>
      <c r="AH111" s="69">
        <v>123</v>
      </c>
      <c r="AI111" s="69" t="s">
        <v>874</v>
      </c>
      <c r="AJ111" s="69"/>
      <c r="AK111" s="69" t="s">
        <v>297</v>
      </c>
      <c r="AL111" s="69" t="s">
        <v>427</v>
      </c>
      <c r="AM111" s="69">
        <v>3</v>
      </c>
      <c r="AN111" s="71">
        <v>42374</v>
      </c>
      <c r="AO111" s="69" t="s">
        <v>878</v>
      </c>
      <c r="AP111" s="71">
        <v>42395</v>
      </c>
      <c r="AQ111" s="69">
        <v>553</v>
      </c>
      <c r="AR111" s="71">
        <v>42948</v>
      </c>
      <c r="AS111" s="69" t="s">
        <v>1369</v>
      </c>
      <c r="AT111" s="69">
        <v>6100066.4299999997</v>
      </c>
      <c r="AU111" s="71">
        <v>42990</v>
      </c>
      <c r="AV111" s="69" t="s">
        <v>1065</v>
      </c>
      <c r="AW111" s="69"/>
      <c r="AX111" s="151">
        <v>6100066.4299999997</v>
      </c>
      <c r="AY111" s="72">
        <v>1E+18</v>
      </c>
      <c r="AZ111" s="69">
        <v>1</v>
      </c>
      <c r="BA111" s="69">
        <v>175</v>
      </c>
      <c r="BB111" s="69">
        <v>865745</v>
      </c>
      <c r="BC111" s="71">
        <v>43251</v>
      </c>
      <c r="BD111" s="69" t="s">
        <v>988</v>
      </c>
      <c r="BE111" s="69" t="s">
        <v>1370</v>
      </c>
      <c r="BF111" s="69" t="s">
        <v>988</v>
      </c>
      <c r="BG111" s="69" t="s">
        <v>988</v>
      </c>
      <c r="BH111" s="73">
        <v>1444.73</v>
      </c>
    </row>
    <row r="112" spans="1:60">
      <c r="A112" s="68">
        <v>1010717</v>
      </c>
      <c r="B112" s="69" t="s">
        <v>1371</v>
      </c>
      <c r="C112" s="69" t="s">
        <v>89</v>
      </c>
      <c r="D112" s="80" t="s">
        <v>89</v>
      </c>
      <c r="E112" s="69" t="s">
        <v>297</v>
      </c>
      <c r="F112" s="69" t="s">
        <v>202</v>
      </c>
      <c r="G112" s="69" t="s">
        <v>60</v>
      </c>
      <c r="H112" s="69">
        <v>12234844</v>
      </c>
      <c r="I112" s="69" t="s">
        <v>879</v>
      </c>
      <c r="J112" s="69" t="s">
        <v>1372</v>
      </c>
      <c r="K112" s="69" t="s">
        <v>299</v>
      </c>
      <c r="L112" s="94" t="str">
        <f t="shared" si="1"/>
        <v>2013</v>
      </c>
      <c r="M112" s="70">
        <v>43225</v>
      </c>
      <c r="N112" s="69" t="s">
        <v>446</v>
      </c>
      <c r="O112" s="69" t="s">
        <v>1063</v>
      </c>
      <c r="P112" s="70">
        <v>42947</v>
      </c>
      <c r="Q112" s="69" t="s">
        <v>409</v>
      </c>
      <c r="R112" s="69" t="s">
        <v>424</v>
      </c>
      <c r="S112" s="69" t="s">
        <v>290</v>
      </c>
      <c r="T112" s="69" t="s">
        <v>411</v>
      </c>
      <c r="U112" s="69" t="s">
        <v>1197</v>
      </c>
      <c r="V112" s="69" t="s">
        <v>412</v>
      </c>
      <c r="W112" s="69">
        <v>46643466000106</v>
      </c>
      <c r="X112" s="69">
        <v>280629</v>
      </c>
      <c r="Y112" s="69" t="s">
        <v>867</v>
      </c>
      <c r="Z112" s="69" t="s">
        <v>1361</v>
      </c>
      <c r="AA112" s="69" t="s">
        <v>869</v>
      </c>
      <c r="AB112" s="69" t="s">
        <v>870</v>
      </c>
      <c r="AC112" s="69" t="s">
        <v>1362</v>
      </c>
      <c r="AD112" s="69" t="s">
        <v>1363</v>
      </c>
      <c r="AE112" s="69">
        <v>12209530</v>
      </c>
      <c r="AF112" s="69" t="s">
        <v>873</v>
      </c>
      <c r="AG112" s="69"/>
      <c r="AH112" s="69">
        <v>123</v>
      </c>
      <c r="AI112" s="69" t="s">
        <v>874</v>
      </c>
      <c r="AJ112" s="69"/>
      <c r="AK112" s="69" t="s">
        <v>297</v>
      </c>
      <c r="AL112" s="69" t="s">
        <v>427</v>
      </c>
      <c r="AM112" s="69">
        <v>5</v>
      </c>
      <c r="AN112" s="71">
        <v>42557</v>
      </c>
      <c r="AO112" s="69" t="s">
        <v>878</v>
      </c>
      <c r="AP112" s="71">
        <v>42569</v>
      </c>
      <c r="AQ112" s="69">
        <v>450</v>
      </c>
      <c r="AR112" s="71">
        <v>43019</v>
      </c>
      <c r="AS112" s="69" t="s">
        <v>1373</v>
      </c>
      <c r="AT112" s="69">
        <v>1979860.84</v>
      </c>
      <c r="AU112" s="71">
        <v>42991</v>
      </c>
      <c r="AV112" s="69" t="s">
        <v>1065</v>
      </c>
      <c r="AW112" s="69"/>
      <c r="AX112" s="151">
        <v>1979860.84</v>
      </c>
      <c r="AY112" s="72">
        <v>9.9999999989898202E+17</v>
      </c>
      <c r="AZ112" s="69">
        <v>1</v>
      </c>
      <c r="BA112" s="69">
        <v>175</v>
      </c>
      <c r="BB112" s="69">
        <v>865745</v>
      </c>
      <c r="BC112" s="71">
        <v>43251</v>
      </c>
      <c r="BD112" s="69" t="s">
        <v>988</v>
      </c>
      <c r="BE112" s="69" t="s">
        <v>1370</v>
      </c>
      <c r="BF112" s="69" t="s">
        <v>988</v>
      </c>
      <c r="BG112" s="69" t="s">
        <v>988</v>
      </c>
      <c r="BH112" s="73">
        <v>1444.73</v>
      </c>
    </row>
    <row r="113" spans="1:60">
      <c r="A113" s="68">
        <v>1006108</v>
      </c>
      <c r="B113" s="69" t="s">
        <v>1374</v>
      </c>
      <c r="C113" s="69" t="s">
        <v>58</v>
      </c>
      <c r="D113" s="79" t="s">
        <v>1443</v>
      </c>
      <c r="E113" s="69" t="s">
        <v>301</v>
      </c>
      <c r="F113" s="69" t="s">
        <v>202</v>
      </c>
      <c r="G113" s="69" t="s">
        <v>60</v>
      </c>
      <c r="H113" s="69">
        <v>12091550</v>
      </c>
      <c r="I113" s="69" t="s">
        <v>894</v>
      </c>
      <c r="J113" s="69" t="s">
        <v>1375</v>
      </c>
      <c r="K113" s="69" t="s">
        <v>305</v>
      </c>
      <c r="L113" s="94" t="str">
        <f t="shared" si="1"/>
        <v>2013</v>
      </c>
      <c r="M113" s="70">
        <v>43449</v>
      </c>
      <c r="N113" s="69" t="s">
        <v>408</v>
      </c>
      <c r="O113" s="69" t="s">
        <v>1376</v>
      </c>
      <c r="P113" s="70">
        <v>43329</v>
      </c>
      <c r="Q113" s="69" t="s">
        <v>409</v>
      </c>
      <c r="R113" s="69" t="s">
        <v>424</v>
      </c>
      <c r="S113" s="69" t="s">
        <v>290</v>
      </c>
      <c r="T113" s="69" t="s">
        <v>411</v>
      </c>
      <c r="U113" s="69" t="s">
        <v>1197</v>
      </c>
      <c r="V113" s="69" t="s">
        <v>412</v>
      </c>
      <c r="W113" s="69">
        <v>45176005000108</v>
      </c>
      <c r="X113" s="69">
        <v>280672</v>
      </c>
      <c r="Y113" s="69" t="s">
        <v>884</v>
      </c>
      <c r="Z113" s="69" t="s">
        <v>1377</v>
      </c>
      <c r="AA113" s="69" t="s">
        <v>886</v>
      </c>
      <c r="AB113" s="69" t="s">
        <v>887</v>
      </c>
      <c r="AC113" s="69" t="s">
        <v>1378</v>
      </c>
      <c r="AD113" s="69" t="s">
        <v>1379</v>
      </c>
      <c r="AE113" s="69">
        <v>12030180</v>
      </c>
      <c r="AF113" s="69" t="s">
        <v>890</v>
      </c>
      <c r="AG113" s="69"/>
      <c r="AH113" s="69">
        <v>520</v>
      </c>
      <c r="AI113" s="69" t="s">
        <v>421</v>
      </c>
      <c r="AJ113" s="69"/>
      <c r="AK113" s="69" t="s">
        <v>301</v>
      </c>
      <c r="AL113" s="69" t="s">
        <v>427</v>
      </c>
      <c r="AM113" s="69">
        <v>816</v>
      </c>
      <c r="AN113" s="71">
        <v>42564</v>
      </c>
      <c r="AO113" s="69" t="s">
        <v>1380</v>
      </c>
      <c r="AP113" s="71">
        <v>42592</v>
      </c>
      <c r="AQ113" s="69">
        <v>737</v>
      </c>
      <c r="AR113" s="71">
        <v>43329</v>
      </c>
      <c r="AS113" s="69" t="s">
        <v>1381</v>
      </c>
      <c r="AT113" s="69">
        <v>1979860.84</v>
      </c>
      <c r="AU113" s="71">
        <v>43260</v>
      </c>
      <c r="AV113" s="69" t="s">
        <v>457</v>
      </c>
      <c r="AW113" s="69"/>
      <c r="AX113" s="151">
        <v>1385921.67</v>
      </c>
      <c r="AY113" s="72">
        <v>7.0000963798041306E+17</v>
      </c>
      <c r="AZ113" s="69">
        <v>1</v>
      </c>
      <c r="BA113" s="69">
        <v>76</v>
      </c>
      <c r="BB113" s="69">
        <v>763357</v>
      </c>
      <c r="BC113" s="71">
        <v>43251</v>
      </c>
      <c r="BD113" s="69" t="s">
        <v>988</v>
      </c>
      <c r="BE113" s="69" t="s">
        <v>1382</v>
      </c>
      <c r="BF113" s="69" t="s">
        <v>988</v>
      </c>
      <c r="BG113" s="69" t="s">
        <v>988</v>
      </c>
      <c r="BH113" s="73">
        <v>66255.89</v>
      </c>
    </row>
    <row r="114" spans="1:60">
      <c r="A114" s="68">
        <v>1006109</v>
      </c>
      <c r="B114" s="69" t="s">
        <v>306</v>
      </c>
      <c r="C114" s="69" t="s">
        <v>58</v>
      </c>
      <c r="D114" s="79" t="s">
        <v>1443</v>
      </c>
      <c r="E114" s="69" t="s">
        <v>301</v>
      </c>
      <c r="F114" s="69" t="s">
        <v>202</v>
      </c>
      <c r="G114" s="69" t="s">
        <v>60</v>
      </c>
      <c r="H114" s="69">
        <v>12040811</v>
      </c>
      <c r="I114" s="69" t="s">
        <v>897</v>
      </c>
      <c r="J114" s="69" t="s">
        <v>1383</v>
      </c>
      <c r="K114" s="69" t="s">
        <v>307</v>
      </c>
      <c r="L114" s="94" t="str">
        <f t="shared" si="1"/>
        <v>2013</v>
      </c>
      <c r="M114" s="70">
        <v>43452</v>
      </c>
      <c r="N114" s="69" t="s">
        <v>408</v>
      </c>
      <c r="O114" s="69" t="s">
        <v>1384</v>
      </c>
      <c r="P114" s="70">
        <v>43329</v>
      </c>
      <c r="Q114" s="69" t="s">
        <v>409</v>
      </c>
      <c r="R114" s="69" t="s">
        <v>424</v>
      </c>
      <c r="S114" s="69" t="s">
        <v>290</v>
      </c>
      <c r="T114" s="69" t="s">
        <v>411</v>
      </c>
      <c r="U114" s="69" t="s">
        <v>1197</v>
      </c>
      <c r="V114" s="69" t="s">
        <v>412</v>
      </c>
      <c r="W114" s="69">
        <v>45176005000108</v>
      </c>
      <c r="X114" s="69">
        <v>280672</v>
      </c>
      <c r="Y114" s="69" t="s">
        <v>884</v>
      </c>
      <c r="Z114" s="69" t="s">
        <v>1377</v>
      </c>
      <c r="AA114" s="69" t="s">
        <v>886</v>
      </c>
      <c r="AB114" s="69" t="s">
        <v>887</v>
      </c>
      <c r="AC114" s="69" t="s">
        <v>1378</v>
      </c>
      <c r="AD114" s="69" t="s">
        <v>1379</v>
      </c>
      <c r="AE114" s="69">
        <v>12030180</v>
      </c>
      <c r="AF114" s="69" t="s">
        <v>890</v>
      </c>
      <c r="AG114" s="69"/>
      <c r="AH114" s="69">
        <v>520</v>
      </c>
      <c r="AI114" s="69" t="s">
        <v>421</v>
      </c>
      <c r="AJ114" s="69"/>
      <c r="AK114" s="69" t="s">
        <v>301</v>
      </c>
      <c r="AL114" s="69" t="s">
        <v>427</v>
      </c>
      <c r="AM114" s="69">
        <v>916</v>
      </c>
      <c r="AN114" s="71">
        <v>42571</v>
      </c>
      <c r="AO114" s="69" t="s">
        <v>1380</v>
      </c>
      <c r="AP114" s="71">
        <v>42592</v>
      </c>
      <c r="AQ114" s="69">
        <v>737</v>
      </c>
      <c r="AR114" s="71">
        <v>43329</v>
      </c>
      <c r="AS114" s="69" t="s">
        <v>1385</v>
      </c>
      <c r="AT114" s="69">
        <v>1979860.84</v>
      </c>
      <c r="AU114" s="71">
        <v>43260</v>
      </c>
      <c r="AV114" s="69" t="s">
        <v>457</v>
      </c>
      <c r="AW114" s="69"/>
      <c r="AX114" s="151">
        <v>1623526.33</v>
      </c>
      <c r="AY114" s="72">
        <v>8.2002042620126502E+17</v>
      </c>
      <c r="AZ114" s="69">
        <v>1</v>
      </c>
      <c r="BA114" s="69">
        <v>76</v>
      </c>
      <c r="BB114" s="69">
        <v>763144</v>
      </c>
      <c r="BC114" s="71">
        <v>43251</v>
      </c>
      <c r="BD114" s="69" t="s">
        <v>988</v>
      </c>
      <c r="BE114" s="69" t="s">
        <v>1386</v>
      </c>
      <c r="BF114" s="69" t="s">
        <v>988</v>
      </c>
      <c r="BG114" s="69" t="s">
        <v>988</v>
      </c>
      <c r="BH114" s="73">
        <v>82184.84</v>
      </c>
    </row>
    <row r="115" spans="1:60">
      <c r="A115" s="68">
        <v>1006110</v>
      </c>
      <c r="B115" s="69" t="s">
        <v>308</v>
      </c>
      <c r="C115" s="69" t="s">
        <v>58</v>
      </c>
      <c r="D115" s="79" t="s">
        <v>1443</v>
      </c>
      <c r="E115" s="69" t="s">
        <v>301</v>
      </c>
      <c r="F115" s="69" t="s">
        <v>202</v>
      </c>
      <c r="G115" s="69" t="s">
        <v>60</v>
      </c>
      <c r="H115" s="69">
        <v>12081603</v>
      </c>
      <c r="I115" s="69" t="s">
        <v>901</v>
      </c>
      <c r="J115" s="69" t="s">
        <v>1387</v>
      </c>
      <c r="K115" s="69" t="s">
        <v>307</v>
      </c>
      <c r="L115" s="94" t="str">
        <f t="shared" si="1"/>
        <v>2013</v>
      </c>
      <c r="M115" s="70">
        <v>43452</v>
      </c>
      <c r="N115" s="69" t="s">
        <v>408</v>
      </c>
      <c r="O115" s="69" t="s">
        <v>1388</v>
      </c>
      <c r="P115" s="70">
        <v>43302</v>
      </c>
      <c r="Q115" s="69" t="s">
        <v>409</v>
      </c>
      <c r="R115" s="69" t="s">
        <v>424</v>
      </c>
      <c r="S115" s="69" t="s">
        <v>290</v>
      </c>
      <c r="T115" s="69" t="s">
        <v>411</v>
      </c>
      <c r="U115" s="69" t="s">
        <v>1197</v>
      </c>
      <c r="V115" s="69" t="s">
        <v>412</v>
      </c>
      <c r="W115" s="69">
        <v>45176005000108</v>
      </c>
      <c r="X115" s="69">
        <v>280672</v>
      </c>
      <c r="Y115" s="69" t="s">
        <v>884</v>
      </c>
      <c r="Z115" s="69" t="s">
        <v>1377</v>
      </c>
      <c r="AA115" s="69" t="s">
        <v>886</v>
      </c>
      <c r="AB115" s="69" t="s">
        <v>887</v>
      </c>
      <c r="AC115" s="69" t="s">
        <v>1378</v>
      </c>
      <c r="AD115" s="69" t="s">
        <v>1379</v>
      </c>
      <c r="AE115" s="69">
        <v>12030180</v>
      </c>
      <c r="AF115" s="69" t="s">
        <v>890</v>
      </c>
      <c r="AG115" s="69"/>
      <c r="AH115" s="69">
        <v>520</v>
      </c>
      <c r="AI115" s="69" t="s">
        <v>421</v>
      </c>
      <c r="AJ115" s="69"/>
      <c r="AK115" s="69" t="s">
        <v>301</v>
      </c>
      <c r="AL115" s="69" t="s">
        <v>427</v>
      </c>
      <c r="AM115" s="69">
        <v>716</v>
      </c>
      <c r="AN115" s="71">
        <v>42573</v>
      </c>
      <c r="AO115" s="69" t="s">
        <v>1389</v>
      </c>
      <c r="AP115" s="71">
        <v>42592</v>
      </c>
      <c r="AQ115" s="69">
        <v>710</v>
      </c>
      <c r="AR115" s="71">
        <v>43302</v>
      </c>
      <c r="AS115" s="69" t="s">
        <v>1390</v>
      </c>
      <c r="AT115" s="69">
        <v>1979860.84</v>
      </c>
      <c r="AU115" s="71">
        <v>43260</v>
      </c>
      <c r="AV115" s="69" t="s">
        <v>457</v>
      </c>
      <c r="AW115" s="69"/>
      <c r="AX115" s="151">
        <v>1385825.4</v>
      </c>
      <c r="AY115" s="72">
        <v>6.9996101335082099E+17</v>
      </c>
      <c r="AZ115" s="69">
        <v>1</v>
      </c>
      <c r="BA115" s="69">
        <v>76</v>
      </c>
      <c r="BB115" s="69">
        <v>763144</v>
      </c>
      <c r="BC115" s="71">
        <v>43251</v>
      </c>
      <c r="BD115" s="69" t="s">
        <v>988</v>
      </c>
      <c r="BE115" s="69" t="s">
        <v>1386</v>
      </c>
      <c r="BF115" s="69" t="s">
        <v>988</v>
      </c>
      <c r="BG115" s="69" t="s">
        <v>988</v>
      </c>
      <c r="BH115" s="73">
        <v>82184.84</v>
      </c>
    </row>
    <row r="116" spans="1:60">
      <c r="A116" s="68">
        <v>1067788</v>
      </c>
      <c r="B116" s="69" t="s">
        <v>302</v>
      </c>
      <c r="C116" s="69" t="s">
        <v>58</v>
      </c>
      <c r="D116" s="79" t="s">
        <v>1443</v>
      </c>
      <c r="E116" s="69" t="s">
        <v>301</v>
      </c>
      <c r="F116" s="69" t="s">
        <v>202</v>
      </c>
      <c r="G116" s="69" t="s">
        <v>60</v>
      </c>
      <c r="H116" s="69">
        <v>12042210</v>
      </c>
      <c r="I116" s="69" t="s">
        <v>881</v>
      </c>
      <c r="J116" s="69" t="s">
        <v>1391</v>
      </c>
      <c r="K116" s="69" t="s">
        <v>303</v>
      </c>
      <c r="L116" s="94" t="str">
        <f t="shared" si="1"/>
        <v>2013</v>
      </c>
      <c r="M116" s="70">
        <v>43385</v>
      </c>
      <c r="N116" s="69" t="s">
        <v>408</v>
      </c>
      <c r="O116" s="69" t="s">
        <v>1392</v>
      </c>
      <c r="P116" s="70">
        <v>43295</v>
      </c>
      <c r="Q116" s="69" t="s">
        <v>409</v>
      </c>
      <c r="R116" s="69" t="s">
        <v>546</v>
      </c>
      <c r="S116" s="69" t="s">
        <v>290</v>
      </c>
      <c r="T116" s="69" t="s">
        <v>411</v>
      </c>
      <c r="U116" s="69" t="s">
        <v>1393</v>
      </c>
      <c r="V116" s="69" t="s">
        <v>412</v>
      </c>
      <c r="W116" s="69">
        <v>45176005000108</v>
      </c>
      <c r="X116" s="69">
        <v>280672</v>
      </c>
      <c r="Y116" s="69" t="s">
        <v>884</v>
      </c>
      <c r="Z116" s="69" t="s">
        <v>1377</v>
      </c>
      <c r="AA116" s="69" t="s">
        <v>886</v>
      </c>
      <c r="AB116" s="69" t="s">
        <v>887</v>
      </c>
      <c r="AC116" s="69" t="s">
        <v>1378</v>
      </c>
      <c r="AD116" s="69" t="s">
        <v>1379</v>
      </c>
      <c r="AE116" s="69">
        <v>12030180</v>
      </c>
      <c r="AF116" s="69" t="s">
        <v>890</v>
      </c>
      <c r="AG116" s="69"/>
      <c r="AH116" s="69">
        <v>520</v>
      </c>
      <c r="AI116" s="69" t="s">
        <v>421</v>
      </c>
      <c r="AJ116" s="69"/>
      <c r="AK116" s="69" t="s">
        <v>301</v>
      </c>
      <c r="AL116" s="69" t="s">
        <v>494</v>
      </c>
      <c r="AM116" s="69">
        <v>22017</v>
      </c>
      <c r="AN116" s="71">
        <v>43011</v>
      </c>
      <c r="AO116" s="69" t="s">
        <v>878</v>
      </c>
      <c r="AP116" s="71">
        <v>43025</v>
      </c>
      <c r="AQ116" s="69">
        <v>270</v>
      </c>
      <c r="AR116" s="71">
        <v>43295</v>
      </c>
      <c r="AS116" s="69" t="s">
        <v>1394</v>
      </c>
      <c r="AT116" s="69">
        <v>1536621.54</v>
      </c>
      <c r="AU116" s="71">
        <v>43260</v>
      </c>
      <c r="AV116" s="69" t="s">
        <v>457</v>
      </c>
      <c r="AW116" s="69"/>
      <c r="AX116" s="151">
        <v>1306128.32</v>
      </c>
      <c r="AY116" s="72">
        <v>8.5000000715856102E+17</v>
      </c>
      <c r="AZ116" s="69">
        <v>1</v>
      </c>
      <c r="BA116" s="69">
        <v>76</v>
      </c>
      <c r="BB116" s="69">
        <v>837229</v>
      </c>
      <c r="BC116" s="71">
        <v>43251</v>
      </c>
      <c r="BD116" s="69" t="s">
        <v>988</v>
      </c>
      <c r="BE116" s="69" t="s">
        <v>988</v>
      </c>
      <c r="BF116" s="69" t="s">
        <v>988</v>
      </c>
      <c r="BG116" s="69" t="s">
        <v>988</v>
      </c>
      <c r="BH116" s="73">
        <v>0</v>
      </c>
    </row>
    <row r="117" spans="1:60">
      <c r="A117" s="68">
        <v>4443</v>
      </c>
      <c r="B117" s="69" t="s">
        <v>311</v>
      </c>
      <c r="C117" s="69" t="s">
        <v>88</v>
      </c>
      <c r="D117" s="79" t="s">
        <v>67</v>
      </c>
      <c r="E117" s="69" t="s">
        <v>309</v>
      </c>
      <c r="F117" s="69" t="s">
        <v>310</v>
      </c>
      <c r="G117" s="69" t="s">
        <v>60</v>
      </c>
      <c r="H117" s="69">
        <v>38412452</v>
      </c>
      <c r="I117" s="69" t="s">
        <v>904</v>
      </c>
      <c r="J117" s="69" t="s">
        <v>905</v>
      </c>
      <c r="K117" s="69" t="s">
        <v>312</v>
      </c>
      <c r="L117" s="94" t="str">
        <f t="shared" si="1"/>
        <v>2008</v>
      </c>
      <c r="M117" s="69"/>
      <c r="N117" s="69" t="s">
        <v>408</v>
      </c>
      <c r="O117" s="69" t="s">
        <v>1395</v>
      </c>
      <c r="P117" s="70">
        <v>42885</v>
      </c>
      <c r="Q117" s="69" t="s">
        <v>409</v>
      </c>
      <c r="R117" s="69" t="s">
        <v>680</v>
      </c>
      <c r="S117" s="69" t="s">
        <v>290</v>
      </c>
      <c r="T117" s="69" t="s">
        <v>411</v>
      </c>
      <c r="U117" s="69" t="s">
        <v>1396</v>
      </c>
      <c r="V117" s="69" t="s">
        <v>412</v>
      </c>
      <c r="W117" s="69">
        <v>18431312000115</v>
      </c>
      <c r="X117" s="69"/>
      <c r="Y117" s="69" t="s">
        <v>907</v>
      </c>
      <c r="Z117" s="69" t="s">
        <v>1397</v>
      </c>
      <c r="AA117" s="69" t="s">
        <v>909</v>
      </c>
      <c r="AB117" s="69" t="s">
        <v>910</v>
      </c>
      <c r="AC117" s="69" t="s">
        <v>1398</v>
      </c>
      <c r="AD117" s="69" t="s">
        <v>1399</v>
      </c>
      <c r="AE117" s="69">
        <v>38408150</v>
      </c>
      <c r="AF117" s="69" t="s">
        <v>913</v>
      </c>
      <c r="AG117" s="69"/>
      <c r="AH117" s="69">
        <v>600</v>
      </c>
      <c r="AI117" s="69" t="s">
        <v>914</v>
      </c>
      <c r="AJ117" s="69"/>
      <c r="AK117" s="69" t="s">
        <v>309</v>
      </c>
      <c r="AL117" s="69" t="s">
        <v>427</v>
      </c>
      <c r="AM117" s="69">
        <v>241</v>
      </c>
      <c r="AN117" s="71">
        <v>41500</v>
      </c>
      <c r="AO117" s="69" t="s">
        <v>916</v>
      </c>
      <c r="AP117" s="71">
        <v>41513</v>
      </c>
      <c r="AQ117" s="69">
        <v>1007</v>
      </c>
      <c r="AR117" s="71">
        <v>42520</v>
      </c>
      <c r="AS117" s="69" t="s">
        <v>1400</v>
      </c>
      <c r="AT117" s="69">
        <v>620209.84</v>
      </c>
      <c r="AU117" s="71">
        <v>43034</v>
      </c>
      <c r="AV117" s="69" t="s">
        <v>429</v>
      </c>
      <c r="AW117" s="69" t="s">
        <v>430</v>
      </c>
      <c r="AX117" s="151"/>
      <c r="AY117" s="69"/>
      <c r="AZ117" s="69">
        <v>1</v>
      </c>
      <c r="BA117" s="69">
        <v>2591</v>
      </c>
      <c r="BB117" s="69">
        <v>373737</v>
      </c>
      <c r="BC117" s="71">
        <v>43251</v>
      </c>
      <c r="BD117" s="69" t="s">
        <v>988</v>
      </c>
      <c r="BE117" s="69" t="s">
        <v>988</v>
      </c>
      <c r="BF117" s="69" t="s">
        <v>988</v>
      </c>
      <c r="BG117" s="69" t="s">
        <v>988</v>
      </c>
      <c r="BH117" s="73">
        <v>0</v>
      </c>
    </row>
    <row r="118" spans="1:60">
      <c r="A118" s="68">
        <v>7895</v>
      </c>
      <c r="B118" s="69" t="s">
        <v>313</v>
      </c>
      <c r="C118" s="69" t="s">
        <v>82</v>
      </c>
      <c r="D118" s="79" t="s">
        <v>64</v>
      </c>
      <c r="E118" s="69" t="s">
        <v>309</v>
      </c>
      <c r="F118" s="69" t="s">
        <v>310</v>
      </c>
      <c r="G118" s="69" t="s">
        <v>60</v>
      </c>
      <c r="H118" s="69">
        <v>38412870</v>
      </c>
      <c r="I118" s="69" t="s">
        <v>920</v>
      </c>
      <c r="J118" s="69" t="s">
        <v>921</v>
      </c>
      <c r="K118" s="69" t="s">
        <v>314</v>
      </c>
      <c r="L118" s="94" t="str">
        <f t="shared" si="1"/>
        <v>2008</v>
      </c>
      <c r="M118" s="69"/>
      <c r="N118" s="69" t="s">
        <v>408</v>
      </c>
      <c r="O118" s="69" t="s">
        <v>988</v>
      </c>
      <c r="P118" s="69"/>
      <c r="Q118" s="69" t="s">
        <v>409</v>
      </c>
      <c r="R118" s="69" t="s">
        <v>680</v>
      </c>
      <c r="S118" s="69" t="s">
        <v>290</v>
      </c>
      <c r="T118" s="69" t="s">
        <v>411</v>
      </c>
      <c r="U118" s="69" t="s">
        <v>988</v>
      </c>
      <c r="V118" s="69" t="s">
        <v>412</v>
      </c>
      <c r="W118" s="69">
        <v>18431312000115</v>
      </c>
      <c r="X118" s="69"/>
      <c r="Y118" s="69" t="s">
        <v>907</v>
      </c>
      <c r="Z118" s="69" t="s">
        <v>1397</v>
      </c>
      <c r="AA118" s="69" t="s">
        <v>909</v>
      </c>
      <c r="AB118" s="69" t="s">
        <v>910</v>
      </c>
      <c r="AC118" s="69" t="s">
        <v>1398</v>
      </c>
      <c r="AD118" s="69" t="s">
        <v>1399</v>
      </c>
      <c r="AE118" s="69">
        <v>38408150</v>
      </c>
      <c r="AF118" s="69" t="s">
        <v>913</v>
      </c>
      <c r="AG118" s="69"/>
      <c r="AH118" s="69">
        <v>600</v>
      </c>
      <c r="AI118" s="69" t="s">
        <v>914</v>
      </c>
      <c r="AJ118" s="69"/>
      <c r="AK118" s="69" t="s">
        <v>309</v>
      </c>
      <c r="AL118" s="69"/>
      <c r="AM118" s="69"/>
      <c r="AN118" s="69"/>
      <c r="AO118" s="69"/>
      <c r="AP118" s="69"/>
      <c r="AQ118" s="69"/>
      <c r="AR118" s="69"/>
      <c r="AS118" s="69" t="s">
        <v>988</v>
      </c>
      <c r="AT118" s="69">
        <v>0</v>
      </c>
      <c r="AU118" s="69"/>
      <c r="AV118" s="69"/>
      <c r="AW118" s="69"/>
      <c r="AX118" s="151"/>
      <c r="AY118" s="69"/>
      <c r="AZ118" s="69">
        <v>1</v>
      </c>
      <c r="BA118" s="69">
        <v>2591</v>
      </c>
      <c r="BB118" s="69">
        <v>365947</v>
      </c>
      <c r="BC118" s="71">
        <v>42947</v>
      </c>
      <c r="BD118" s="69" t="s">
        <v>988</v>
      </c>
      <c r="BE118" s="69" t="s">
        <v>988</v>
      </c>
      <c r="BF118" s="69" t="s">
        <v>988</v>
      </c>
      <c r="BG118" s="69" t="s">
        <v>988</v>
      </c>
      <c r="BH118" s="73">
        <v>0</v>
      </c>
    </row>
    <row r="119" spans="1:60">
      <c r="A119" s="68">
        <v>8235</v>
      </c>
      <c r="B119" s="69" t="s">
        <v>315</v>
      </c>
      <c r="C119" s="69" t="s">
        <v>82</v>
      </c>
      <c r="D119" s="79" t="s">
        <v>64</v>
      </c>
      <c r="E119" s="69" t="s">
        <v>309</v>
      </c>
      <c r="F119" s="69" t="s">
        <v>310</v>
      </c>
      <c r="G119" s="69" t="s">
        <v>60</v>
      </c>
      <c r="H119" s="69">
        <v>38414530</v>
      </c>
      <c r="I119" s="69" t="s">
        <v>924</v>
      </c>
      <c r="J119" s="69" t="s">
        <v>925</v>
      </c>
      <c r="K119" s="69" t="s">
        <v>314</v>
      </c>
      <c r="L119" s="94" t="str">
        <f t="shared" si="1"/>
        <v>2008</v>
      </c>
      <c r="M119" s="69"/>
      <c r="N119" s="69" t="s">
        <v>408</v>
      </c>
      <c r="O119" s="69" t="s">
        <v>988</v>
      </c>
      <c r="P119" s="69"/>
      <c r="Q119" s="69" t="s">
        <v>409</v>
      </c>
      <c r="R119" s="69" t="s">
        <v>680</v>
      </c>
      <c r="S119" s="69" t="s">
        <v>290</v>
      </c>
      <c r="T119" s="69" t="s">
        <v>411</v>
      </c>
      <c r="U119" s="69" t="s">
        <v>1401</v>
      </c>
      <c r="V119" s="69" t="s">
        <v>412</v>
      </c>
      <c r="W119" s="69">
        <v>18431312000115</v>
      </c>
      <c r="X119" s="69"/>
      <c r="Y119" s="69" t="s">
        <v>907</v>
      </c>
      <c r="Z119" s="69" t="s">
        <v>1397</v>
      </c>
      <c r="AA119" s="69" t="s">
        <v>909</v>
      </c>
      <c r="AB119" s="69" t="s">
        <v>910</v>
      </c>
      <c r="AC119" s="69" t="s">
        <v>1398</v>
      </c>
      <c r="AD119" s="69" t="s">
        <v>1399</v>
      </c>
      <c r="AE119" s="69">
        <v>38408150</v>
      </c>
      <c r="AF119" s="69" t="s">
        <v>913</v>
      </c>
      <c r="AG119" s="69"/>
      <c r="AH119" s="69">
        <v>600</v>
      </c>
      <c r="AI119" s="69" t="s">
        <v>914</v>
      </c>
      <c r="AJ119" s="69"/>
      <c r="AK119" s="69" t="s">
        <v>309</v>
      </c>
      <c r="AL119" s="69"/>
      <c r="AM119" s="69"/>
      <c r="AN119" s="69"/>
      <c r="AO119" s="69"/>
      <c r="AP119" s="69"/>
      <c r="AQ119" s="69"/>
      <c r="AR119" s="69"/>
      <c r="AS119" s="69" t="s">
        <v>988</v>
      </c>
      <c r="AT119" s="69">
        <v>620700.9</v>
      </c>
      <c r="AU119" s="69"/>
      <c r="AV119" s="69"/>
      <c r="AW119" s="69"/>
      <c r="AX119" s="151"/>
      <c r="AY119" s="69"/>
      <c r="AZ119" s="69">
        <v>1</v>
      </c>
      <c r="BA119" s="69">
        <v>2591</v>
      </c>
      <c r="BB119" s="69">
        <v>365947</v>
      </c>
      <c r="BC119" s="71">
        <v>42947</v>
      </c>
      <c r="BD119" s="69" t="s">
        <v>988</v>
      </c>
      <c r="BE119" s="69" t="s">
        <v>988</v>
      </c>
      <c r="BF119" s="69" t="s">
        <v>988</v>
      </c>
      <c r="BG119" s="69" t="s">
        <v>988</v>
      </c>
      <c r="BH119" s="73">
        <v>0</v>
      </c>
    </row>
    <row r="120" spans="1:60">
      <c r="A120" s="68">
        <v>8236</v>
      </c>
      <c r="B120" s="69" t="s">
        <v>316</v>
      </c>
      <c r="C120" s="69" t="s">
        <v>82</v>
      </c>
      <c r="D120" s="79" t="s">
        <v>64</v>
      </c>
      <c r="E120" s="69" t="s">
        <v>309</v>
      </c>
      <c r="F120" s="69" t="s">
        <v>310</v>
      </c>
      <c r="G120" s="69" t="s">
        <v>60</v>
      </c>
      <c r="H120" s="69">
        <v>38414490</v>
      </c>
      <c r="I120" s="69" t="s">
        <v>927</v>
      </c>
      <c r="J120" s="69" t="s">
        <v>928</v>
      </c>
      <c r="K120" s="69" t="s">
        <v>314</v>
      </c>
      <c r="L120" s="94" t="str">
        <f t="shared" si="1"/>
        <v>2008</v>
      </c>
      <c r="M120" s="69"/>
      <c r="N120" s="69" t="s">
        <v>408</v>
      </c>
      <c r="O120" s="69" t="s">
        <v>988</v>
      </c>
      <c r="P120" s="69"/>
      <c r="Q120" s="69" t="s">
        <v>409</v>
      </c>
      <c r="R120" s="69" t="s">
        <v>447</v>
      </c>
      <c r="S120" s="69" t="s">
        <v>290</v>
      </c>
      <c r="T120" s="69" t="s">
        <v>411</v>
      </c>
      <c r="U120" s="69" t="s">
        <v>988</v>
      </c>
      <c r="V120" s="69" t="s">
        <v>412</v>
      </c>
      <c r="W120" s="69">
        <v>18431312000115</v>
      </c>
      <c r="X120" s="69"/>
      <c r="Y120" s="69" t="s">
        <v>907</v>
      </c>
      <c r="Z120" s="69" t="s">
        <v>1397</v>
      </c>
      <c r="AA120" s="69" t="s">
        <v>909</v>
      </c>
      <c r="AB120" s="69" t="s">
        <v>910</v>
      </c>
      <c r="AC120" s="69" t="s">
        <v>1398</v>
      </c>
      <c r="AD120" s="69" t="s">
        <v>1399</v>
      </c>
      <c r="AE120" s="69">
        <v>38408150</v>
      </c>
      <c r="AF120" s="69" t="s">
        <v>913</v>
      </c>
      <c r="AG120" s="69"/>
      <c r="AH120" s="69">
        <v>600</v>
      </c>
      <c r="AI120" s="69" t="s">
        <v>914</v>
      </c>
      <c r="AJ120" s="69"/>
      <c r="AK120" s="69" t="s">
        <v>309</v>
      </c>
      <c r="AL120" s="69"/>
      <c r="AM120" s="69"/>
      <c r="AN120" s="69"/>
      <c r="AO120" s="69"/>
      <c r="AP120" s="69"/>
      <c r="AQ120" s="69"/>
      <c r="AR120" s="69"/>
      <c r="AS120" s="69" t="s">
        <v>988</v>
      </c>
      <c r="AT120" s="69">
        <v>0</v>
      </c>
      <c r="AU120" s="69"/>
      <c r="AV120" s="69"/>
      <c r="AW120" s="69"/>
      <c r="AX120" s="151"/>
      <c r="AY120" s="69"/>
      <c r="AZ120" s="69">
        <v>1</v>
      </c>
      <c r="BA120" s="69">
        <v>2591</v>
      </c>
      <c r="BB120" s="69">
        <v>365947</v>
      </c>
      <c r="BC120" s="71">
        <v>42947</v>
      </c>
      <c r="BD120" s="69" t="s">
        <v>988</v>
      </c>
      <c r="BE120" s="69" t="s">
        <v>988</v>
      </c>
      <c r="BF120" s="69" t="s">
        <v>988</v>
      </c>
      <c r="BG120" s="69" t="s">
        <v>988</v>
      </c>
      <c r="BH120" s="73">
        <v>0</v>
      </c>
    </row>
    <row r="121" spans="1:60">
      <c r="A121" s="68">
        <v>8237</v>
      </c>
      <c r="B121" s="69" t="s">
        <v>317</v>
      </c>
      <c r="C121" s="69" t="s">
        <v>82</v>
      </c>
      <c r="D121" s="79" t="s">
        <v>64</v>
      </c>
      <c r="E121" s="69" t="s">
        <v>309</v>
      </c>
      <c r="F121" s="69" t="s">
        <v>310</v>
      </c>
      <c r="G121" s="69" t="s">
        <v>60</v>
      </c>
      <c r="H121" s="69">
        <v>38410652</v>
      </c>
      <c r="I121" s="69" t="s">
        <v>929</v>
      </c>
      <c r="J121" s="69" t="s">
        <v>930</v>
      </c>
      <c r="K121" s="69" t="s">
        <v>314</v>
      </c>
      <c r="L121" s="94" t="str">
        <f t="shared" si="1"/>
        <v>2008</v>
      </c>
      <c r="M121" s="69"/>
      <c r="N121" s="69" t="s">
        <v>408</v>
      </c>
      <c r="O121" s="69" t="s">
        <v>988</v>
      </c>
      <c r="P121" s="69"/>
      <c r="Q121" s="69" t="s">
        <v>409</v>
      </c>
      <c r="R121" s="69" t="s">
        <v>447</v>
      </c>
      <c r="S121" s="69" t="s">
        <v>290</v>
      </c>
      <c r="T121" s="69" t="s">
        <v>411</v>
      </c>
      <c r="U121" s="69" t="s">
        <v>988</v>
      </c>
      <c r="V121" s="69" t="s">
        <v>412</v>
      </c>
      <c r="W121" s="69">
        <v>18431312000115</v>
      </c>
      <c r="X121" s="69"/>
      <c r="Y121" s="69" t="s">
        <v>907</v>
      </c>
      <c r="Z121" s="69" t="s">
        <v>1397</v>
      </c>
      <c r="AA121" s="69" t="s">
        <v>909</v>
      </c>
      <c r="AB121" s="69" t="s">
        <v>910</v>
      </c>
      <c r="AC121" s="69" t="s">
        <v>1398</v>
      </c>
      <c r="AD121" s="69" t="s">
        <v>1399</v>
      </c>
      <c r="AE121" s="69">
        <v>38408150</v>
      </c>
      <c r="AF121" s="69" t="s">
        <v>913</v>
      </c>
      <c r="AG121" s="69"/>
      <c r="AH121" s="69">
        <v>600</v>
      </c>
      <c r="AI121" s="69" t="s">
        <v>914</v>
      </c>
      <c r="AJ121" s="69"/>
      <c r="AK121" s="69" t="s">
        <v>309</v>
      </c>
      <c r="AL121" s="69"/>
      <c r="AM121" s="69"/>
      <c r="AN121" s="69"/>
      <c r="AO121" s="69"/>
      <c r="AP121" s="69"/>
      <c r="AQ121" s="69"/>
      <c r="AR121" s="69"/>
      <c r="AS121" s="69" t="s">
        <v>988</v>
      </c>
      <c r="AT121" s="69">
        <v>0</v>
      </c>
      <c r="AU121" s="69"/>
      <c r="AV121" s="69"/>
      <c r="AW121" s="69"/>
      <c r="AX121" s="151"/>
      <c r="AY121" s="69"/>
      <c r="AZ121" s="69">
        <v>1</v>
      </c>
      <c r="BA121" s="69">
        <v>2591</v>
      </c>
      <c r="BB121" s="69">
        <v>365947</v>
      </c>
      <c r="BC121" s="71">
        <v>42947</v>
      </c>
      <c r="BD121" s="69" t="s">
        <v>988</v>
      </c>
      <c r="BE121" s="69" t="s">
        <v>988</v>
      </c>
      <c r="BF121" s="69" t="s">
        <v>988</v>
      </c>
      <c r="BG121" s="69" t="s">
        <v>988</v>
      </c>
      <c r="BH121" s="73">
        <v>0</v>
      </c>
    </row>
    <row r="122" spans="1:60">
      <c r="A122" s="68">
        <v>8238</v>
      </c>
      <c r="B122" s="69" t="s">
        <v>318</v>
      </c>
      <c r="C122" s="69" t="s">
        <v>82</v>
      </c>
      <c r="D122" s="79" t="s">
        <v>64</v>
      </c>
      <c r="E122" s="69" t="s">
        <v>309</v>
      </c>
      <c r="F122" s="69" t="s">
        <v>310</v>
      </c>
      <c r="G122" s="69" t="s">
        <v>60</v>
      </c>
      <c r="H122" s="69">
        <v>38401526</v>
      </c>
      <c r="I122" s="69" t="s">
        <v>931</v>
      </c>
      <c r="J122" s="69" t="s">
        <v>932</v>
      </c>
      <c r="K122" s="69" t="s">
        <v>314</v>
      </c>
      <c r="L122" s="94" t="str">
        <f t="shared" si="1"/>
        <v>2008</v>
      </c>
      <c r="M122" s="69"/>
      <c r="N122" s="69" t="s">
        <v>408</v>
      </c>
      <c r="O122" s="69" t="s">
        <v>988</v>
      </c>
      <c r="P122" s="69"/>
      <c r="Q122" s="69" t="s">
        <v>409</v>
      </c>
      <c r="R122" s="69" t="s">
        <v>680</v>
      </c>
      <c r="S122" s="69" t="s">
        <v>290</v>
      </c>
      <c r="T122" s="69" t="s">
        <v>411</v>
      </c>
      <c r="U122" s="69" t="s">
        <v>1402</v>
      </c>
      <c r="V122" s="69" t="s">
        <v>412</v>
      </c>
      <c r="W122" s="69">
        <v>18431312000115</v>
      </c>
      <c r="X122" s="69"/>
      <c r="Y122" s="69" t="s">
        <v>907</v>
      </c>
      <c r="Z122" s="69" t="s">
        <v>1397</v>
      </c>
      <c r="AA122" s="69" t="s">
        <v>909</v>
      </c>
      <c r="AB122" s="69" t="s">
        <v>910</v>
      </c>
      <c r="AC122" s="69" t="s">
        <v>1398</v>
      </c>
      <c r="AD122" s="69" t="s">
        <v>1399</v>
      </c>
      <c r="AE122" s="69">
        <v>38408150</v>
      </c>
      <c r="AF122" s="69" t="s">
        <v>913</v>
      </c>
      <c r="AG122" s="69"/>
      <c r="AH122" s="69">
        <v>600</v>
      </c>
      <c r="AI122" s="69" t="s">
        <v>914</v>
      </c>
      <c r="AJ122" s="69"/>
      <c r="AK122" s="69" t="s">
        <v>309</v>
      </c>
      <c r="AL122" s="69"/>
      <c r="AM122" s="69"/>
      <c r="AN122" s="69"/>
      <c r="AO122" s="69"/>
      <c r="AP122" s="69"/>
      <c r="AQ122" s="69"/>
      <c r="AR122" s="69"/>
      <c r="AS122" s="69" t="s">
        <v>988</v>
      </c>
      <c r="AT122" s="69">
        <v>1332216.81</v>
      </c>
      <c r="AU122" s="69"/>
      <c r="AV122" s="69"/>
      <c r="AW122" s="69"/>
      <c r="AX122" s="151"/>
      <c r="AY122" s="69"/>
      <c r="AZ122" s="69">
        <v>1</v>
      </c>
      <c r="BA122" s="69">
        <v>2591</v>
      </c>
      <c r="BB122" s="69">
        <v>365947</v>
      </c>
      <c r="BC122" s="71">
        <v>42947</v>
      </c>
      <c r="BD122" s="69" t="s">
        <v>988</v>
      </c>
      <c r="BE122" s="69" t="s">
        <v>988</v>
      </c>
      <c r="BF122" s="69" t="s">
        <v>988</v>
      </c>
      <c r="BG122" s="69" t="s">
        <v>988</v>
      </c>
      <c r="BH122" s="73">
        <v>0</v>
      </c>
    </row>
    <row r="123" spans="1:60">
      <c r="A123" s="68">
        <v>8239</v>
      </c>
      <c r="B123" s="69" t="s">
        <v>319</v>
      </c>
      <c r="C123" s="69" t="s">
        <v>82</v>
      </c>
      <c r="D123" s="79" t="s">
        <v>64</v>
      </c>
      <c r="E123" s="69" t="s">
        <v>309</v>
      </c>
      <c r="F123" s="69" t="s">
        <v>310</v>
      </c>
      <c r="G123" s="69" t="s">
        <v>60</v>
      </c>
      <c r="H123" s="69">
        <v>38407624</v>
      </c>
      <c r="I123" s="69" t="s">
        <v>934</v>
      </c>
      <c r="J123" s="69" t="s">
        <v>935</v>
      </c>
      <c r="K123" s="69" t="s">
        <v>314</v>
      </c>
      <c r="L123" s="94" t="str">
        <f t="shared" si="1"/>
        <v>2008</v>
      </c>
      <c r="M123" s="69"/>
      <c r="N123" s="69" t="s">
        <v>408</v>
      </c>
      <c r="O123" s="69" t="s">
        <v>988</v>
      </c>
      <c r="P123" s="69"/>
      <c r="Q123" s="69" t="s">
        <v>409</v>
      </c>
      <c r="R123" s="69" t="s">
        <v>680</v>
      </c>
      <c r="S123" s="69" t="s">
        <v>290</v>
      </c>
      <c r="T123" s="69" t="s">
        <v>411</v>
      </c>
      <c r="U123" s="69" t="s">
        <v>988</v>
      </c>
      <c r="V123" s="69" t="s">
        <v>412</v>
      </c>
      <c r="W123" s="69">
        <v>18431312000115</v>
      </c>
      <c r="X123" s="69"/>
      <c r="Y123" s="69" t="s">
        <v>907</v>
      </c>
      <c r="Z123" s="69" t="s">
        <v>1397</v>
      </c>
      <c r="AA123" s="69" t="s">
        <v>909</v>
      </c>
      <c r="AB123" s="69" t="s">
        <v>910</v>
      </c>
      <c r="AC123" s="69" t="s">
        <v>1398</v>
      </c>
      <c r="AD123" s="69" t="s">
        <v>1399</v>
      </c>
      <c r="AE123" s="69">
        <v>38408150</v>
      </c>
      <c r="AF123" s="69" t="s">
        <v>913</v>
      </c>
      <c r="AG123" s="69"/>
      <c r="AH123" s="69">
        <v>600</v>
      </c>
      <c r="AI123" s="69" t="s">
        <v>914</v>
      </c>
      <c r="AJ123" s="69"/>
      <c r="AK123" s="69" t="s">
        <v>309</v>
      </c>
      <c r="AL123" s="69"/>
      <c r="AM123" s="69"/>
      <c r="AN123" s="69"/>
      <c r="AO123" s="69"/>
      <c r="AP123" s="69"/>
      <c r="AQ123" s="69"/>
      <c r="AR123" s="69"/>
      <c r="AS123" s="69" t="s">
        <v>988</v>
      </c>
      <c r="AT123" s="69">
        <v>0</v>
      </c>
      <c r="AU123" s="69"/>
      <c r="AV123" s="69"/>
      <c r="AW123" s="69"/>
      <c r="AX123" s="151"/>
      <c r="AY123" s="69"/>
      <c r="AZ123" s="69">
        <v>1</v>
      </c>
      <c r="BA123" s="69">
        <v>2591</v>
      </c>
      <c r="BB123" s="69">
        <v>365947</v>
      </c>
      <c r="BC123" s="71">
        <v>42947</v>
      </c>
      <c r="BD123" s="69" t="s">
        <v>988</v>
      </c>
      <c r="BE123" s="69" t="s">
        <v>988</v>
      </c>
      <c r="BF123" s="69" t="s">
        <v>988</v>
      </c>
      <c r="BG123" s="69" t="s">
        <v>988</v>
      </c>
      <c r="BH123" s="73">
        <v>0</v>
      </c>
    </row>
    <row r="124" spans="1:60">
      <c r="A124" s="68">
        <v>8240</v>
      </c>
      <c r="B124" s="69" t="s">
        <v>320</v>
      </c>
      <c r="C124" s="69" t="s">
        <v>82</v>
      </c>
      <c r="D124" s="79" t="s">
        <v>64</v>
      </c>
      <c r="E124" s="69" t="s">
        <v>309</v>
      </c>
      <c r="F124" s="69" t="s">
        <v>310</v>
      </c>
      <c r="G124" s="69" t="s">
        <v>60</v>
      </c>
      <c r="H124" s="69">
        <v>38413153</v>
      </c>
      <c r="I124" s="69" t="s">
        <v>936</v>
      </c>
      <c r="J124" s="69" t="s">
        <v>937</v>
      </c>
      <c r="K124" s="69" t="s">
        <v>314</v>
      </c>
      <c r="L124" s="94" t="str">
        <f t="shared" si="1"/>
        <v>2008</v>
      </c>
      <c r="M124" s="69"/>
      <c r="N124" s="69" t="s">
        <v>408</v>
      </c>
      <c r="O124" s="69" t="s">
        <v>988</v>
      </c>
      <c r="P124" s="69"/>
      <c r="Q124" s="69" t="s">
        <v>409</v>
      </c>
      <c r="R124" s="69" t="s">
        <v>447</v>
      </c>
      <c r="S124" s="69" t="s">
        <v>290</v>
      </c>
      <c r="T124" s="69" t="s">
        <v>411</v>
      </c>
      <c r="U124" s="69" t="s">
        <v>1401</v>
      </c>
      <c r="V124" s="69" t="s">
        <v>412</v>
      </c>
      <c r="W124" s="69">
        <v>18431312000115</v>
      </c>
      <c r="X124" s="69"/>
      <c r="Y124" s="69" t="s">
        <v>907</v>
      </c>
      <c r="Z124" s="69" t="s">
        <v>1397</v>
      </c>
      <c r="AA124" s="69" t="s">
        <v>909</v>
      </c>
      <c r="AB124" s="69" t="s">
        <v>910</v>
      </c>
      <c r="AC124" s="69" t="s">
        <v>1398</v>
      </c>
      <c r="AD124" s="69" t="s">
        <v>1399</v>
      </c>
      <c r="AE124" s="69">
        <v>38408150</v>
      </c>
      <c r="AF124" s="69" t="s">
        <v>913</v>
      </c>
      <c r="AG124" s="69"/>
      <c r="AH124" s="69">
        <v>600</v>
      </c>
      <c r="AI124" s="69" t="s">
        <v>914</v>
      </c>
      <c r="AJ124" s="69"/>
      <c r="AK124" s="69" t="s">
        <v>309</v>
      </c>
      <c r="AL124" s="69"/>
      <c r="AM124" s="69"/>
      <c r="AN124" s="69"/>
      <c r="AO124" s="69"/>
      <c r="AP124" s="69"/>
      <c r="AQ124" s="69"/>
      <c r="AR124" s="69"/>
      <c r="AS124" s="69" t="s">
        <v>988</v>
      </c>
      <c r="AT124" s="69">
        <v>620700.9</v>
      </c>
      <c r="AU124" s="69"/>
      <c r="AV124" s="69"/>
      <c r="AW124" s="69"/>
      <c r="AX124" s="151"/>
      <c r="AY124" s="69"/>
      <c r="AZ124" s="69">
        <v>1</v>
      </c>
      <c r="BA124" s="69">
        <v>2591</v>
      </c>
      <c r="BB124" s="69">
        <v>365947</v>
      </c>
      <c r="BC124" s="71">
        <v>42947</v>
      </c>
      <c r="BD124" s="69" t="s">
        <v>988</v>
      </c>
      <c r="BE124" s="69" t="s">
        <v>988</v>
      </c>
      <c r="BF124" s="69" t="s">
        <v>988</v>
      </c>
      <c r="BG124" s="69" t="s">
        <v>988</v>
      </c>
      <c r="BH124" s="73">
        <v>0</v>
      </c>
    </row>
    <row r="125" spans="1:60">
      <c r="A125" s="68">
        <v>8241</v>
      </c>
      <c r="B125" s="69" t="s">
        <v>321</v>
      </c>
      <c r="C125" s="69" t="s">
        <v>82</v>
      </c>
      <c r="D125" s="79" t="s">
        <v>64</v>
      </c>
      <c r="E125" s="69" t="s">
        <v>309</v>
      </c>
      <c r="F125" s="69" t="s">
        <v>310</v>
      </c>
      <c r="G125" s="69" t="s">
        <v>60</v>
      </c>
      <c r="H125" s="69">
        <v>38407366</v>
      </c>
      <c r="I125" s="69" t="s">
        <v>938</v>
      </c>
      <c r="J125" s="69" t="s">
        <v>939</v>
      </c>
      <c r="K125" s="69" t="s">
        <v>314</v>
      </c>
      <c r="L125" s="94" t="str">
        <f t="shared" si="1"/>
        <v>2008</v>
      </c>
      <c r="M125" s="69"/>
      <c r="N125" s="69" t="s">
        <v>408</v>
      </c>
      <c r="O125" s="69" t="s">
        <v>988</v>
      </c>
      <c r="P125" s="69"/>
      <c r="Q125" s="69" t="s">
        <v>409</v>
      </c>
      <c r="R125" s="69" t="s">
        <v>680</v>
      </c>
      <c r="S125" s="69" t="s">
        <v>290</v>
      </c>
      <c r="T125" s="69" t="s">
        <v>411</v>
      </c>
      <c r="U125" s="69" t="s">
        <v>988</v>
      </c>
      <c r="V125" s="69" t="s">
        <v>412</v>
      </c>
      <c r="W125" s="69">
        <v>18431312000115</v>
      </c>
      <c r="X125" s="69"/>
      <c r="Y125" s="69" t="s">
        <v>907</v>
      </c>
      <c r="Z125" s="69" t="s">
        <v>1397</v>
      </c>
      <c r="AA125" s="69" t="s">
        <v>909</v>
      </c>
      <c r="AB125" s="69" t="s">
        <v>910</v>
      </c>
      <c r="AC125" s="69" t="s">
        <v>1398</v>
      </c>
      <c r="AD125" s="69" t="s">
        <v>1399</v>
      </c>
      <c r="AE125" s="69">
        <v>38408150</v>
      </c>
      <c r="AF125" s="69" t="s">
        <v>913</v>
      </c>
      <c r="AG125" s="69"/>
      <c r="AH125" s="69">
        <v>600</v>
      </c>
      <c r="AI125" s="69" t="s">
        <v>914</v>
      </c>
      <c r="AJ125" s="69"/>
      <c r="AK125" s="69" t="s">
        <v>309</v>
      </c>
      <c r="AL125" s="69"/>
      <c r="AM125" s="69"/>
      <c r="AN125" s="69"/>
      <c r="AO125" s="69"/>
      <c r="AP125" s="69"/>
      <c r="AQ125" s="69"/>
      <c r="AR125" s="69"/>
      <c r="AS125" s="69" t="s">
        <v>988</v>
      </c>
      <c r="AT125" s="69">
        <v>0</v>
      </c>
      <c r="AU125" s="69"/>
      <c r="AV125" s="69"/>
      <c r="AW125" s="69"/>
      <c r="AX125" s="151"/>
      <c r="AY125" s="69"/>
      <c r="AZ125" s="69">
        <v>1</v>
      </c>
      <c r="BA125" s="69">
        <v>2591</v>
      </c>
      <c r="BB125" s="69">
        <v>365947</v>
      </c>
      <c r="BC125" s="71">
        <v>42947</v>
      </c>
      <c r="BD125" s="69" t="s">
        <v>988</v>
      </c>
      <c r="BE125" s="69" t="s">
        <v>988</v>
      </c>
      <c r="BF125" s="69" t="s">
        <v>988</v>
      </c>
      <c r="BG125" s="69" t="s">
        <v>988</v>
      </c>
      <c r="BH125" s="73">
        <v>0</v>
      </c>
    </row>
    <row r="126" spans="1:60">
      <c r="A126" s="68">
        <v>1001247</v>
      </c>
      <c r="B126" s="69" t="s">
        <v>1403</v>
      </c>
      <c r="C126" s="69" t="s">
        <v>137</v>
      </c>
      <c r="D126" s="79" t="s">
        <v>64</v>
      </c>
      <c r="E126" s="69" t="s">
        <v>309</v>
      </c>
      <c r="F126" s="69" t="s">
        <v>310</v>
      </c>
      <c r="G126" s="69" t="s">
        <v>60</v>
      </c>
      <c r="H126" s="69">
        <v>38405210</v>
      </c>
      <c r="I126" s="69" t="s">
        <v>940</v>
      </c>
      <c r="J126" s="69" t="s">
        <v>1404</v>
      </c>
      <c r="K126" s="69" t="s">
        <v>322</v>
      </c>
      <c r="L126" s="94" t="str">
        <f t="shared" si="1"/>
        <v>2013</v>
      </c>
      <c r="M126" s="70">
        <v>43372</v>
      </c>
      <c r="N126" s="69" t="s">
        <v>408</v>
      </c>
      <c r="O126" s="69" t="s">
        <v>988</v>
      </c>
      <c r="P126" s="69"/>
      <c r="Q126" s="69" t="s">
        <v>409</v>
      </c>
      <c r="R126" s="69" t="s">
        <v>546</v>
      </c>
      <c r="S126" s="69" t="s">
        <v>290</v>
      </c>
      <c r="T126" s="69" t="s">
        <v>411</v>
      </c>
      <c r="U126" s="69" t="s">
        <v>1405</v>
      </c>
      <c r="V126" s="69" t="s">
        <v>412</v>
      </c>
      <c r="W126" s="69">
        <v>18431312000115</v>
      </c>
      <c r="X126" s="69"/>
      <c r="Y126" s="69" t="s">
        <v>907</v>
      </c>
      <c r="Z126" s="69" t="s">
        <v>1397</v>
      </c>
      <c r="AA126" s="69" t="s">
        <v>909</v>
      </c>
      <c r="AB126" s="69" t="s">
        <v>910</v>
      </c>
      <c r="AC126" s="69" t="s">
        <v>1398</v>
      </c>
      <c r="AD126" s="69" t="s">
        <v>1399</v>
      </c>
      <c r="AE126" s="69">
        <v>38408150</v>
      </c>
      <c r="AF126" s="69" t="s">
        <v>913</v>
      </c>
      <c r="AG126" s="69"/>
      <c r="AH126" s="69">
        <v>600</v>
      </c>
      <c r="AI126" s="69" t="s">
        <v>914</v>
      </c>
      <c r="AJ126" s="69"/>
      <c r="AK126" s="69" t="s">
        <v>309</v>
      </c>
      <c r="AL126" s="69"/>
      <c r="AM126" s="69"/>
      <c r="AN126" s="69"/>
      <c r="AO126" s="69"/>
      <c r="AP126" s="69"/>
      <c r="AQ126" s="69"/>
      <c r="AR126" s="69"/>
      <c r="AS126" s="69"/>
      <c r="AT126" s="69">
        <v>1574668.54</v>
      </c>
      <c r="AU126" s="69"/>
      <c r="AV126" s="69"/>
      <c r="AW126" s="69"/>
      <c r="AX126" s="151">
        <v>393925.58</v>
      </c>
      <c r="AY126" s="72">
        <v>2.75275708397428E+17</v>
      </c>
      <c r="AZ126" s="69">
        <v>1</v>
      </c>
      <c r="BA126" s="69">
        <v>2918</v>
      </c>
      <c r="BB126" s="69">
        <v>1573748</v>
      </c>
      <c r="BC126" s="71">
        <v>43251</v>
      </c>
      <c r="BD126" s="69" t="s">
        <v>988</v>
      </c>
      <c r="BE126" s="69" t="s">
        <v>988</v>
      </c>
      <c r="BF126" s="69" t="s">
        <v>988</v>
      </c>
      <c r="BG126" s="69" t="s">
        <v>988</v>
      </c>
      <c r="BH126" s="73">
        <v>0</v>
      </c>
    </row>
    <row r="127" spans="1:60">
      <c r="A127" s="68">
        <v>1001248</v>
      </c>
      <c r="B127" s="69" t="s">
        <v>1406</v>
      </c>
      <c r="C127" s="69" t="s">
        <v>137</v>
      </c>
      <c r="D127" s="79" t="s">
        <v>64</v>
      </c>
      <c r="E127" s="69" t="s">
        <v>309</v>
      </c>
      <c r="F127" s="69" t="s">
        <v>310</v>
      </c>
      <c r="G127" s="69" t="s">
        <v>60</v>
      </c>
      <c r="H127" s="69">
        <v>38414058</v>
      </c>
      <c r="I127" s="69" t="s">
        <v>946</v>
      </c>
      <c r="J127" s="69" t="s">
        <v>1407</v>
      </c>
      <c r="K127" s="69" t="s">
        <v>322</v>
      </c>
      <c r="L127" s="94" t="str">
        <f t="shared" si="1"/>
        <v>2013</v>
      </c>
      <c r="M127" s="70">
        <v>43372</v>
      </c>
      <c r="N127" s="69" t="s">
        <v>408</v>
      </c>
      <c r="O127" s="69" t="s">
        <v>988</v>
      </c>
      <c r="P127" s="69"/>
      <c r="Q127" s="69" t="s">
        <v>409</v>
      </c>
      <c r="R127" s="69" t="s">
        <v>546</v>
      </c>
      <c r="S127" s="69" t="s">
        <v>290</v>
      </c>
      <c r="T127" s="69" t="s">
        <v>411</v>
      </c>
      <c r="U127" s="69" t="s">
        <v>1408</v>
      </c>
      <c r="V127" s="69" t="s">
        <v>412</v>
      </c>
      <c r="W127" s="69">
        <v>18431312000115</v>
      </c>
      <c r="X127" s="69"/>
      <c r="Y127" s="69" t="s">
        <v>907</v>
      </c>
      <c r="Z127" s="69" t="s">
        <v>1397</v>
      </c>
      <c r="AA127" s="69" t="s">
        <v>909</v>
      </c>
      <c r="AB127" s="69" t="s">
        <v>910</v>
      </c>
      <c r="AC127" s="69" t="s">
        <v>1398</v>
      </c>
      <c r="AD127" s="69" t="s">
        <v>1399</v>
      </c>
      <c r="AE127" s="69">
        <v>38408150</v>
      </c>
      <c r="AF127" s="69" t="s">
        <v>913</v>
      </c>
      <c r="AG127" s="69"/>
      <c r="AH127" s="69">
        <v>600</v>
      </c>
      <c r="AI127" s="69" t="s">
        <v>914</v>
      </c>
      <c r="AJ127" s="69"/>
      <c r="AK127" s="69" t="s">
        <v>309</v>
      </c>
      <c r="AL127" s="69"/>
      <c r="AM127" s="69"/>
      <c r="AN127" s="69"/>
      <c r="AO127" s="69"/>
      <c r="AP127" s="69"/>
      <c r="AQ127" s="69"/>
      <c r="AR127" s="69"/>
      <c r="AS127" s="69"/>
      <c r="AT127" s="69">
        <v>1576736.04</v>
      </c>
      <c r="AU127" s="69"/>
      <c r="AV127" s="69"/>
      <c r="AW127" s="69"/>
      <c r="AX127" s="151">
        <v>393925.57</v>
      </c>
      <c r="AY127" s="72">
        <v>1.7126524498845798E+17</v>
      </c>
      <c r="AZ127" s="69">
        <v>1</v>
      </c>
      <c r="BA127" s="69">
        <v>2918</v>
      </c>
      <c r="BB127" s="69">
        <v>1573748</v>
      </c>
      <c r="BC127" s="71">
        <v>43251</v>
      </c>
      <c r="BD127" s="69" t="s">
        <v>988</v>
      </c>
      <c r="BE127" s="69" t="s">
        <v>988</v>
      </c>
      <c r="BF127" s="69" t="s">
        <v>988</v>
      </c>
      <c r="BG127" s="69" t="s">
        <v>988</v>
      </c>
      <c r="BH127" s="73">
        <v>0</v>
      </c>
    </row>
    <row r="128" spans="1:60">
      <c r="A128" s="68">
        <v>1002357</v>
      </c>
      <c r="B128" s="69" t="s">
        <v>1409</v>
      </c>
      <c r="C128" s="69" t="s">
        <v>137</v>
      </c>
      <c r="D128" s="79" t="s">
        <v>64</v>
      </c>
      <c r="E128" s="69" t="s">
        <v>309</v>
      </c>
      <c r="F128" s="69" t="s">
        <v>310</v>
      </c>
      <c r="G128" s="69" t="s">
        <v>60</v>
      </c>
      <c r="H128" s="69">
        <v>38414503</v>
      </c>
      <c r="I128" s="69" t="s">
        <v>950</v>
      </c>
      <c r="J128" s="69" t="s">
        <v>1410</v>
      </c>
      <c r="K128" s="69" t="s">
        <v>324</v>
      </c>
      <c r="L128" s="94" t="str">
        <f t="shared" si="1"/>
        <v>2013</v>
      </c>
      <c r="M128" s="70">
        <v>43386</v>
      </c>
      <c r="N128" s="69" t="s">
        <v>408</v>
      </c>
      <c r="O128" s="69" t="s">
        <v>988</v>
      </c>
      <c r="P128" s="69"/>
      <c r="Q128" s="69" t="s">
        <v>409</v>
      </c>
      <c r="R128" s="69" t="s">
        <v>546</v>
      </c>
      <c r="S128" s="69" t="s">
        <v>290</v>
      </c>
      <c r="T128" s="69" t="s">
        <v>411</v>
      </c>
      <c r="U128" s="69" t="s">
        <v>1411</v>
      </c>
      <c r="V128" s="69" t="s">
        <v>412</v>
      </c>
      <c r="W128" s="69">
        <v>18431312000115</v>
      </c>
      <c r="X128" s="69"/>
      <c r="Y128" s="69" t="s">
        <v>907</v>
      </c>
      <c r="Z128" s="69" t="s">
        <v>1397</v>
      </c>
      <c r="AA128" s="69" t="s">
        <v>909</v>
      </c>
      <c r="AB128" s="69" t="s">
        <v>910</v>
      </c>
      <c r="AC128" s="69" t="s">
        <v>1398</v>
      </c>
      <c r="AD128" s="69" t="s">
        <v>1399</v>
      </c>
      <c r="AE128" s="69">
        <v>38408150</v>
      </c>
      <c r="AF128" s="69" t="s">
        <v>913</v>
      </c>
      <c r="AG128" s="69"/>
      <c r="AH128" s="69">
        <v>600</v>
      </c>
      <c r="AI128" s="69" t="s">
        <v>914</v>
      </c>
      <c r="AJ128" s="69"/>
      <c r="AK128" s="69" t="s">
        <v>309</v>
      </c>
      <c r="AL128" s="69"/>
      <c r="AM128" s="69"/>
      <c r="AN128" s="69"/>
      <c r="AO128" s="69"/>
      <c r="AP128" s="69"/>
      <c r="AQ128" s="69"/>
      <c r="AR128" s="69"/>
      <c r="AS128" s="69"/>
      <c r="AT128" s="69">
        <v>1574911.54</v>
      </c>
      <c r="AU128" s="69"/>
      <c r="AV128" s="69"/>
      <c r="AW128" s="69"/>
      <c r="AX128" s="151">
        <v>393727.89</v>
      </c>
      <c r="AY128" s="72">
        <v>1.7117930054563002E+17</v>
      </c>
      <c r="AZ128" s="69">
        <v>1</v>
      </c>
      <c r="BA128" s="69">
        <v>2918</v>
      </c>
      <c r="BB128" s="69">
        <v>1498231</v>
      </c>
      <c r="BC128" s="71">
        <v>43251</v>
      </c>
      <c r="BD128" s="69" t="s">
        <v>988</v>
      </c>
      <c r="BE128" s="69" t="s">
        <v>1412</v>
      </c>
      <c r="BF128" s="69" t="s">
        <v>988</v>
      </c>
      <c r="BG128" s="69" t="s">
        <v>988</v>
      </c>
      <c r="BH128" s="73">
        <v>4850192.7300000004</v>
      </c>
    </row>
    <row r="129" spans="1:60">
      <c r="A129" s="68">
        <v>1002358</v>
      </c>
      <c r="B129" s="69" t="s">
        <v>1413</v>
      </c>
      <c r="C129" s="69" t="s">
        <v>137</v>
      </c>
      <c r="D129" s="79" t="s">
        <v>64</v>
      </c>
      <c r="E129" s="69" t="s">
        <v>309</v>
      </c>
      <c r="F129" s="69" t="s">
        <v>310</v>
      </c>
      <c r="G129" s="69" t="s">
        <v>60</v>
      </c>
      <c r="H129" s="69">
        <v>38415441</v>
      </c>
      <c r="I129" s="69" t="s">
        <v>956</v>
      </c>
      <c r="J129" s="69" t="s">
        <v>1414</v>
      </c>
      <c r="K129" s="69" t="s">
        <v>324</v>
      </c>
      <c r="L129" s="94" t="str">
        <f t="shared" si="1"/>
        <v>2013</v>
      </c>
      <c r="M129" s="70">
        <v>43386</v>
      </c>
      <c r="N129" s="69" t="s">
        <v>408</v>
      </c>
      <c r="O129" s="69" t="s">
        <v>988</v>
      </c>
      <c r="P129" s="69"/>
      <c r="Q129" s="69" t="s">
        <v>409</v>
      </c>
      <c r="R129" s="69" t="s">
        <v>546</v>
      </c>
      <c r="S129" s="69" t="s">
        <v>290</v>
      </c>
      <c r="T129" s="69" t="s">
        <v>411</v>
      </c>
      <c r="U129" s="69" t="s">
        <v>1415</v>
      </c>
      <c r="V129" s="69" t="s">
        <v>412</v>
      </c>
      <c r="W129" s="69">
        <v>18431312000115</v>
      </c>
      <c r="X129" s="69"/>
      <c r="Y129" s="69" t="s">
        <v>907</v>
      </c>
      <c r="Z129" s="69" t="s">
        <v>1397</v>
      </c>
      <c r="AA129" s="69" t="s">
        <v>909</v>
      </c>
      <c r="AB129" s="69" t="s">
        <v>910</v>
      </c>
      <c r="AC129" s="69" t="s">
        <v>1398</v>
      </c>
      <c r="AD129" s="69" t="s">
        <v>1399</v>
      </c>
      <c r="AE129" s="69">
        <v>38408150</v>
      </c>
      <c r="AF129" s="69" t="s">
        <v>913</v>
      </c>
      <c r="AG129" s="69"/>
      <c r="AH129" s="69">
        <v>600</v>
      </c>
      <c r="AI129" s="69" t="s">
        <v>914</v>
      </c>
      <c r="AJ129" s="69"/>
      <c r="AK129" s="69" t="s">
        <v>309</v>
      </c>
      <c r="AL129" s="69"/>
      <c r="AM129" s="69"/>
      <c r="AN129" s="69"/>
      <c r="AO129" s="69"/>
      <c r="AP129" s="69"/>
      <c r="AQ129" s="69"/>
      <c r="AR129" s="69"/>
      <c r="AS129" s="69"/>
      <c r="AT129" s="69">
        <v>1579200.04</v>
      </c>
      <c r="AU129" s="69"/>
      <c r="AV129" s="69"/>
      <c r="AW129" s="69"/>
      <c r="AX129" s="151">
        <v>394800.01</v>
      </c>
      <c r="AY129" s="72">
        <v>2.7588676122038499E+17</v>
      </c>
      <c r="AZ129" s="69">
        <v>1</v>
      </c>
      <c r="BA129" s="69">
        <v>2918</v>
      </c>
      <c r="BB129" s="69">
        <v>1498231</v>
      </c>
      <c r="BC129" s="71">
        <v>43251</v>
      </c>
      <c r="BD129" s="69" t="s">
        <v>988</v>
      </c>
      <c r="BE129" s="69" t="s">
        <v>1412</v>
      </c>
      <c r="BF129" s="69" t="s">
        <v>988</v>
      </c>
      <c r="BG129" s="69" t="s">
        <v>988</v>
      </c>
      <c r="BH129" s="73">
        <v>4850192.7300000004</v>
      </c>
    </row>
    <row r="130" spans="1:60">
      <c r="A130" s="68">
        <v>1002359</v>
      </c>
      <c r="B130" s="69" t="s">
        <v>1416</v>
      </c>
      <c r="C130" s="69" t="s">
        <v>137</v>
      </c>
      <c r="D130" s="79" t="s">
        <v>64</v>
      </c>
      <c r="E130" s="69" t="s">
        <v>309</v>
      </c>
      <c r="F130" s="69" t="s">
        <v>310</v>
      </c>
      <c r="G130" s="69" t="s">
        <v>60</v>
      </c>
      <c r="H130" s="69">
        <v>38411763</v>
      </c>
      <c r="I130" s="69" t="s">
        <v>960</v>
      </c>
      <c r="J130" s="69" t="s">
        <v>1417</v>
      </c>
      <c r="K130" s="69" t="s">
        <v>324</v>
      </c>
      <c r="L130" s="94" t="str">
        <f t="shared" si="1"/>
        <v>2013</v>
      </c>
      <c r="M130" s="70">
        <v>43386</v>
      </c>
      <c r="N130" s="69" t="s">
        <v>408</v>
      </c>
      <c r="O130" s="69" t="s">
        <v>988</v>
      </c>
      <c r="P130" s="69"/>
      <c r="Q130" s="69" t="s">
        <v>409</v>
      </c>
      <c r="R130" s="69" t="s">
        <v>546</v>
      </c>
      <c r="S130" s="69" t="s">
        <v>290</v>
      </c>
      <c r="T130" s="69" t="s">
        <v>411</v>
      </c>
      <c r="U130" s="69" t="s">
        <v>1418</v>
      </c>
      <c r="V130" s="69" t="s">
        <v>412</v>
      </c>
      <c r="W130" s="69">
        <v>18431312000115</v>
      </c>
      <c r="X130" s="69"/>
      <c r="Y130" s="69" t="s">
        <v>907</v>
      </c>
      <c r="Z130" s="69" t="s">
        <v>1397</v>
      </c>
      <c r="AA130" s="69" t="s">
        <v>909</v>
      </c>
      <c r="AB130" s="69" t="s">
        <v>910</v>
      </c>
      <c r="AC130" s="69" t="s">
        <v>1398</v>
      </c>
      <c r="AD130" s="69" t="s">
        <v>1399</v>
      </c>
      <c r="AE130" s="69">
        <v>38408150</v>
      </c>
      <c r="AF130" s="69" t="s">
        <v>913</v>
      </c>
      <c r="AG130" s="69"/>
      <c r="AH130" s="69">
        <v>600</v>
      </c>
      <c r="AI130" s="69" t="s">
        <v>914</v>
      </c>
      <c r="AJ130" s="69"/>
      <c r="AK130" s="69" t="s">
        <v>309</v>
      </c>
      <c r="AL130" s="69"/>
      <c r="AM130" s="69"/>
      <c r="AN130" s="69"/>
      <c r="AO130" s="69"/>
      <c r="AP130" s="69"/>
      <c r="AQ130" s="69"/>
      <c r="AR130" s="69"/>
      <c r="AS130" s="69"/>
      <c r="AT130" s="69">
        <v>1565080.04</v>
      </c>
      <c r="AU130" s="69"/>
      <c r="AV130" s="69"/>
      <c r="AW130" s="69"/>
      <c r="AX130" s="151">
        <v>391270.01</v>
      </c>
      <c r="AY130" s="72">
        <v>1.7011069913356E+17</v>
      </c>
      <c r="AZ130" s="69">
        <v>1</v>
      </c>
      <c r="BA130" s="69">
        <v>2918</v>
      </c>
      <c r="BB130" s="69">
        <v>1498231</v>
      </c>
      <c r="BC130" s="71">
        <v>43251</v>
      </c>
      <c r="BD130" s="69" t="s">
        <v>988</v>
      </c>
      <c r="BE130" s="69" t="s">
        <v>1412</v>
      </c>
      <c r="BF130" s="69" t="s">
        <v>988</v>
      </c>
      <c r="BG130" s="69" t="s">
        <v>988</v>
      </c>
      <c r="BH130" s="73">
        <v>4850192.7300000004</v>
      </c>
    </row>
    <row r="131" spans="1:60">
      <c r="A131" s="68">
        <v>1002360</v>
      </c>
      <c r="B131" s="69" t="s">
        <v>1419</v>
      </c>
      <c r="C131" s="69" t="s">
        <v>137</v>
      </c>
      <c r="D131" s="79" t="s">
        <v>64</v>
      </c>
      <c r="E131" s="69" t="s">
        <v>309</v>
      </c>
      <c r="F131" s="69" t="s">
        <v>310</v>
      </c>
      <c r="G131" s="69" t="s">
        <v>60</v>
      </c>
      <c r="H131" s="69">
        <v>38412712</v>
      </c>
      <c r="I131" s="69" t="s">
        <v>964</v>
      </c>
      <c r="J131" s="69" t="s">
        <v>1420</v>
      </c>
      <c r="K131" s="69" t="s">
        <v>324</v>
      </c>
      <c r="L131" s="94" t="str">
        <f t="shared" ref="L131:L136" si="2">RIGHT(K131,4)</f>
        <v>2013</v>
      </c>
      <c r="M131" s="70">
        <v>43386</v>
      </c>
      <c r="N131" s="69" t="s">
        <v>408</v>
      </c>
      <c r="O131" s="69" t="s">
        <v>988</v>
      </c>
      <c r="P131" s="69"/>
      <c r="Q131" s="69" t="s">
        <v>409</v>
      </c>
      <c r="R131" s="69" t="s">
        <v>546</v>
      </c>
      <c r="S131" s="69" t="s">
        <v>290</v>
      </c>
      <c r="T131" s="69" t="s">
        <v>411</v>
      </c>
      <c r="U131" s="69" t="s">
        <v>1421</v>
      </c>
      <c r="V131" s="69" t="s">
        <v>412</v>
      </c>
      <c r="W131" s="69">
        <v>18431312000115</v>
      </c>
      <c r="X131" s="69"/>
      <c r="Y131" s="69" t="s">
        <v>907</v>
      </c>
      <c r="Z131" s="69" t="s">
        <v>1397</v>
      </c>
      <c r="AA131" s="69" t="s">
        <v>909</v>
      </c>
      <c r="AB131" s="69" t="s">
        <v>910</v>
      </c>
      <c r="AC131" s="69" t="s">
        <v>1398</v>
      </c>
      <c r="AD131" s="69" t="s">
        <v>1399</v>
      </c>
      <c r="AE131" s="69">
        <v>38408150</v>
      </c>
      <c r="AF131" s="69" t="s">
        <v>913</v>
      </c>
      <c r="AG131" s="69"/>
      <c r="AH131" s="69">
        <v>600</v>
      </c>
      <c r="AI131" s="69" t="s">
        <v>914</v>
      </c>
      <c r="AJ131" s="69"/>
      <c r="AK131" s="69" t="s">
        <v>309</v>
      </c>
      <c r="AL131" s="69"/>
      <c r="AM131" s="69"/>
      <c r="AN131" s="69"/>
      <c r="AO131" s="69"/>
      <c r="AP131" s="69"/>
      <c r="AQ131" s="69"/>
      <c r="AR131" s="69"/>
      <c r="AS131" s="69"/>
      <c r="AT131" s="69">
        <v>1591930.04</v>
      </c>
      <c r="AU131" s="69"/>
      <c r="AV131" s="69"/>
      <c r="AW131" s="69"/>
      <c r="AX131" s="151">
        <v>397982.51</v>
      </c>
      <c r="AY131" s="72">
        <v>1.73029062511152E+17</v>
      </c>
      <c r="AZ131" s="69">
        <v>1</v>
      </c>
      <c r="BA131" s="69">
        <v>2918</v>
      </c>
      <c r="BB131" s="69">
        <v>1498231</v>
      </c>
      <c r="BC131" s="71">
        <v>43251</v>
      </c>
      <c r="BD131" s="69" t="s">
        <v>988</v>
      </c>
      <c r="BE131" s="69" t="s">
        <v>1412</v>
      </c>
      <c r="BF131" s="69" t="s">
        <v>988</v>
      </c>
      <c r="BG131" s="69" t="s">
        <v>988</v>
      </c>
      <c r="BH131" s="73">
        <v>4850192.7300000004</v>
      </c>
    </row>
    <row r="132" spans="1:60">
      <c r="A132" s="68">
        <v>1002361</v>
      </c>
      <c r="B132" s="69" t="s">
        <v>1422</v>
      </c>
      <c r="C132" s="69" t="s">
        <v>137</v>
      </c>
      <c r="D132" s="79" t="s">
        <v>64</v>
      </c>
      <c r="E132" s="69" t="s">
        <v>309</v>
      </c>
      <c r="F132" s="69" t="s">
        <v>310</v>
      </c>
      <c r="G132" s="69" t="s">
        <v>60</v>
      </c>
      <c r="H132" s="69">
        <v>38406560</v>
      </c>
      <c r="I132" s="69" t="s">
        <v>968</v>
      </c>
      <c r="J132" s="69" t="s">
        <v>1423</v>
      </c>
      <c r="K132" s="69" t="s">
        <v>324</v>
      </c>
      <c r="L132" s="94" t="str">
        <f t="shared" si="2"/>
        <v>2013</v>
      </c>
      <c r="M132" s="70">
        <v>43386</v>
      </c>
      <c r="N132" s="69" t="s">
        <v>408</v>
      </c>
      <c r="O132" s="69" t="s">
        <v>988</v>
      </c>
      <c r="P132" s="69"/>
      <c r="Q132" s="69" t="s">
        <v>409</v>
      </c>
      <c r="R132" s="69" t="s">
        <v>546</v>
      </c>
      <c r="S132" s="69" t="s">
        <v>290</v>
      </c>
      <c r="T132" s="69" t="s">
        <v>411</v>
      </c>
      <c r="U132" s="69" t="s">
        <v>1424</v>
      </c>
      <c r="V132" s="69" t="s">
        <v>412</v>
      </c>
      <c r="W132" s="69">
        <v>18431312000115</v>
      </c>
      <c r="X132" s="69"/>
      <c r="Y132" s="69" t="s">
        <v>907</v>
      </c>
      <c r="Z132" s="69" t="s">
        <v>1397</v>
      </c>
      <c r="AA132" s="69" t="s">
        <v>909</v>
      </c>
      <c r="AB132" s="69" t="s">
        <v>910</v>
      </c>
      <c r="AC132" s="69" t="s">
        <v>1398</v>
      </c>
      <c r="AD132" s="69" t="s">
        <v>1399</v>
      </c>
      <c r="AE132" s="69">
        <v>38408150</v>
      </c>
      <c r="AF132" s="69" t="s">
        <v>913</v>
      </c>
      <c r="AG132" s="69"/>
      <c r="AH132" s="69">
        <v>600</v>
      </c>
      <c r="AI132" s="69" t="s">
        <v>914</v>
      </c>
      <c r="AJ132" s="69"/>
      <c r="AK132" s="69" t="s">
        <v>309</v>
      </c>
      <c r="AL132" s="69"/>
      <c r="AM132" s="69"/>
      <c r="AN132" s="69"/>
      <c r="AO132" s="69"/>
      <c r="AP132" s="69"/>
      <c r="AQ132" s="69"/>
      <c r="AR132" s="69"/>
      <c r="AS132" s="69"/>
      <c r="AT132" s="69">
        <v>1578826.54</v>
      </c>
      <c r="AU132" s="69"/>
      <c r="AV132" s="69"/>
      <c r="AW132" s="69"/>
      <c r="AX132" s="151">
        <v>394706.64</v>
      </c>
      <c r="AY132" s="72">
        <v>1.7160482727275299E+17</v>
      </c>
      <c r="AZ132" s="69">
        <v>1</v>
      </c>
      <c r="BA132" s="69">
        <v>2918</v>
      </c>
      <c r="BB132" s="69">
        <v>1498231</v>
      </c>
      <c r="BC132" s="71">
        <v>43251</v>
      </c>
      <c r="BD132" s="69" t="s">
        <v>988</v>
      </c>
      <c r="BE132" s="69" t="s">
        <v>1412</v>
      </c>
      <c r="BF132" s="69" t="s">
        <v>988</v>
      </c>
      <c r="BG132" s="69" t="s">
        <v>988</v>
      </c>
      <c r="BH132" s="73">
        <v>4850192.7300000004</v>
      </c>
    </row>
    <row r="133" spans="1:60">
      <c r="A133" s="68">
        <v>1002362</v>
      </c>
      <c r="B133" s="69" t="s">
        <v>1425</v>
      </c>
      <c r="C133" s="69" t="s">
        <v>137</v>
      </c>
      <c r="D133" s="79" t="s">
        <v>64</v>
      </c>
      <c r="E133" s="69" t="s">
        <v>309</v>
      </c>
      <c r="F133" s="69" t="s">
        <v>310</v>
      </c>
      <c r="G133" s="69" t="s">
        <v>60</v>
      </c>
      <c r="H133" s="69">
        <v>38414712</v>
      </c>
      <c r="I133" s="69" t="s">
        <v>972</v>
      </c>
      <c r="J133" s="69" t="s">
        <v>1426</v>
      </c>
      <c r="K133" s="69" t="s">
        <v>324</v>
      </c>
      <c r="L133" s="94" t="str">
        <f t="shared" si="2"/>
        <v>2013</v>
      </c>
      <c r="M133" s="70">
        <v>43386</v>
      </c>
      <c r="N133" s="69" t="s">
        <v>408</v>
      </c>
      <c r="O133" s="69" t="s">
        <v>988</v>
      </c>
      <c r="P133" s="69"/>
      <c r="Q133" s="69" t="s">
        <v>409</v>
      </c>
      <c r="R133" s="69" t="s">
        <v>546</v>
      </c>
      <c r="S133" s="69" t="s">
        <v>290</v>
      </c>
      <c r="T133" s="69" t="s">
        <v>411</v>
      </c>
      <c r="U133" s="69" t="s">
        <v>1427</v>
      </c>
      <c r="V133" s="69" t="s">
        <v>412</v>
      </c>
      <c r="W133" s="69">
        <v>18431312000115</v>
      </c>
      <c r="X133" s="69"/>
      <c r="Y133" s="69" t="s">
        <v>907</v>
      </c>
      <c r="Z133" s="69" t="s">
        <v>1397</v>
      </c>
      <c r="AA133" s="69" t="s">
        <v>909</v>
      </c>
      <c r="AB133" s="69" t="s">
        <v>910</v>
      </c>
      <c r="AC133" s="69" t="s">
        <v>1398</v>
      </c>
      <c r="AD133" s="69" t="s">
        <v>1399</v>
      </c>
      <c r="AE133" s="69">
        <v>38408150</v>
      </c>
      <c r="AF133" s="69" t="s">
        <v>913</v>
      </c>
      <c r="AG133" s="69"/>
      <c r="AH133" s="69">
        <v>600</v>
      </c>
      <c r="AI133" s="69" t="s">
        <v>914</v>
      </c>
      <c r="AJ133" s="69"/>
      <c r="AK133" s="69" t="s">
        <v>309</v>
      </c>
      <c r="AL133" s="69"/>
      <c r="AM133" s="69"/>
      <c r="AN133" s="69"/>
      <c r="AO133" s="69"/>
      <c r="AP133" s="69"/>
      <c r="AQ133" s="69"/>
      <c r="AR133" s="69"/>
      <c r="AS133" s="69"/>
      <c r="AT133" s="69">
        <v>1583065.04</v>
      </c>
      <c r="AU133" s="69"/>
      <c r="AV133" s="69"/>
      <c r="AW133" s="69"/>
      <c r="AX133" s="151">
        <v>395766.26</v>
      </c>
      <c r="AY133" s="72">
        <v>1.7206551348536602E+17</v>
      </c>
      <c r="AZ133" s="69">
        <v>1</v>
      </c>
      <c r="BA133" s="69">
        <v>2918</v>
      </c>
      <c r="BB133" s="69">
        <v>1498231</v>
      </c>
      <c r="BC133" s="71">
        <v>43251</v>
      </c>
      <c r="BD133" s="69" t="s">
        <v>988</v>
      </c>
      <c r="BE133" s="69" t="s">
        <v>1412</v>
      </c>
      <c r="BF133" s="69" t="s">
        <v>988</v>
      </c>
      <c r="BG133" s="69" t="s">
        <v>988</v>
      </c>
      <c r="BH133" s="73">
        <v>4850192.7300000004</v>
      </c>
    </row>
    <row r="134" spans="1:60">
      <c r="A134" s="68">
        <v>1002363</v>
      </c>
      <c r="B134" s="69" t="s">
        <v>1428</v>
      </c>
      <c r="C134" s="69" t="s">
        <v>137</v>
      </c>
      <c r="D134" s="79" t="s">
        <v>64</v>
      </c>
      <c r="E134" s="69" t="s">
        <v>309</v>
      </c>
      <c r="F134" s="69" t="s">
        <v>310</v>
      </c>
      <c r="G134" s="69" t="s">
        <v>60</v>
      </c>
      <c r="H134" s="69">
        <v>38405378</v>
      </c>
      <c r="I134" s="69" t="s">
        <v>976</v>
      </c>
      <c r="J134" s="69" t="s">
        <v>1404</v>
      </c>
      <c r="K134" s="69" t="s">
        <v>324</v>
      </c>
      <c r="L134" s="94" t="str">
        <f t="shared" si="2"/>
        <v>2013</v>
      </c>
      <c r="M134" s="70">
        <v>43386</v>
      </c>
      <c r="N134" s="69" t="s">
        <v>408</v>
      </c>
      <c r="O134" s="69" t="s">
        <v>988</v>
      </c>
      <c r="P134" s="69"/>
      <c r="Q134" s="69" t="s">
        <v>409</v>
      </c>
      <c r="R134" s="69" t="s">
        <v>546</v>
      </c>
      <c r="S134" s="69" t="s">
        <v>290</v>
      </c>
      <c r="T134" s="69" t="s">
        <v>411</v>
      </c>
      <c r="U134" s="69" t="s">
        <v>1429</v>
      </c>
      <c r="V134" s="69" t="s">
        <v>412</v>
      </c>
      <c r="W134" s="69">
        <v>18431312000115</v>
      </c>
      <c r="X134" s="69"/>
      <c r="Y134" s="69" t="s">
        <v>907</v>
      </c>
      <c r="Z134" s="69" t="s">
        <v>1397</v>
      </c>
      <c r="AA134" s="69" t="s">
        <v>909</v>
      </c>
      <c r="AB134" s="69" t="s">
        <v>910</v>
      </c>
      <c r="AC134" s="69" t="s">
        <v>1398</v>
      </c>
      <c r="AD134" s="69" t="s">
        <v>1399</v>
      </c>
      <c r="AE134" s="69">
        <v>38408150</v>
      </c>
      <c r="AF134" s="69" t="s">
        <v>913</v>
      </c>
      <c r="AG134" s="69"/>
      <c r="AH134" s="69">
        <v>600</v>
      </c>
      <c r="AI134" s="69" t="s">
        <v>914</v>
      </c>
      <c r="AJ134" s="69"/>
      <c r="AK134" s="69" t="s">
        <v>309</v>
      </c>
      <c r="AL134" s="69"/>
      <c r="AM134" s="69"/>
      <c r="AN134" s="69"/>
      <c r="AO134" s="69"/>
      <c r="AP134" s="69"/>
      <c r="AQ134" s="69"/>
      <c r="AR134" s="69"/>
      <c r="AS134" s="69"/>
      <c r="AT134" s="69">
        <v>1591580.04</v>
      </c>
      <c r="AU134" s="69"/>
      <c r="AV134" s="69"/>
      <c r="AW134" s="69"/>
      <c r="AX134" s="151">
        <v>397895.01</v>
      </c>
      <c r="AY134" s="72">
        <v>1.7299102053043901E+17</v>
      </c>
      <c r="AZ134" s="69">
        <v>1</v>
      </c>
      <c r="BA134" s="69">
        <v>2918</v>
      </c>
      <c r="BB134" s="69">
        <v>1498231</v>
      </c>
      <c r="BC134" s="71">
        <v>43251</v>
      </c>
      <c r="BD134" s="69" t="s">
        <v>988</v>
      </c>
      <c r="BE134" s="69" t="s">
        <v>1412</v>
      </c>
      <c r="BF134" s="69" t="s">
        <v>988</v>
      </c>
      <c r="BG134" s="69" t="s">
        <v>988</v>
      </c>
      <c r="BH134" s="73">
        <v>4850192.7300000004</v>
      </c>
    </row>
    <row r="135" spans="1:60">
      <c r="A135" s="68">
        <v>1002364</v>
      </c>
      <c r="B135" s="69" t="s">
        <v>1430</v>
      </c>
      <c r="C135" s="69" t="s">
        <v>23</v>
      </c>
      <c r="D135" s="79" t="s">
        <v>64</v>
      </c>
      <c r="E135" s="69" t="s">
        <v>309</v>
      </c>
      <c r="F135" s="69" t="s">
        <v>310</v>
      </c>
      <c r="G135" s="69" t="s">
        <v>60</v>
      </c>
      <c r="H135" s="69">
        <v>38412434</v>
      </c>
      <c r="I135" s="69" t="s">
        <v>979</v>
      </c>
      <c r="J135" s="69" t="s">
        <v>1431</v>
      </c>
      <c r="K135" s="69" t="s">
        <v>324</v>
      </c>
      <c r="L135" s="94" t="str">
        <f t="shared" si="2"/>
        <v>2013</v>
      </c>
      <c r="M135" s="70">
        <v>43386</v>
      </c>
      <c r="N135" s="69" t="s">
        <v>408</v>
      </c>
      <c r="O135" s="69" t="s">
        <v>988</v>
      </c>
      <c r="P135" s="69"/>
      <c r="Q135" s="69" t="s">
        <v>409</v>
      </c>
      <c r="R135" s="69" t="s">
        <v>546</v>
      </c>
      <c r="S135" s="69" t="s">
        <v>290</v>
      </c>
      <c r="T135" s="69" t="s">
        <v>411</v>
      </c>
      <c r="U135" s="69" t="s">
        <v>1432</v>
      </c>
      <c r="V135" s="69" t="s">
        <v>412</v>
      </c>
      <c r="W135" s="69">
        <v>18431312000115</v>
      </c>
      <c r="X135" s="69"/>
      <c r="Y135" s="69" t="s">
        <v>907</v>
      </c>
      <c r="Z135" s="69" t="s">
        <v>1397</v>
      </c>
      <c r="AA135" s="69" t="s">
        <v>909</v>
      </c>
      <c r="AB135" s="69" t="s">
        <v>910</v>
      </c>
      <c r="AC135" s="69" t="s">
        <v>1398</v>
      </c>
      <c r="AD135" s="69" t="s">
        <v>1399</v>
      </c>
      <c r="AE135" s="69">
        <v>38408150</v>
      </c>
      <c r="AF135" s="69" t="s">
        <v>913</v>
      </c>
      <c r="AG135" s="69"/>
      <c r="AH135" s="69">
        <v>600</v>
      </c>
      <c r="AI135" s="69" t="s">
        <v>914</v>
      </c>
      <c r="AJ135" s="69"/>
      <c r="AK135" s="69" t="s">
        <v>309</v>
      </c>
      <c r="AL135" s="69"/>
      <c r="AM135" s="69"/>
      <c r="AN135" s="69"/>
      <c r="AO135" s="69"/>
      <c r="AP135" s="69"/>
      <c r="AQ135" s="69"/>
      <c r="AR135" s="69"/>
      <c r="AS135" s="69"/>
      <c r="AT135" s="69">
        <v>1581735.04</v>
      </c>
      <c r="AU135" s="69"/>
      <c r="AV135" s="69"/>
      <c r="AW135" s="69"/>
      <c r="AX135" s="151">
        <v>395433.76</v>
      </c>
      <c r="AY135" s="72">
        <v>2.5E+17</v>
      </c>
      <c r="AZ135" s="69">
        <v>1</v>
      </c>
      <c r="BA135" s="69">
        <v>2918</v>
      </c>
      <c r="BB135" s="69">
        <v>1498231</v>
      </c>
      <c r="BC135" s="71">
        <v>43251</v>
      </c>
      <c r="BD135" s="69" t="s">
        <v>988</v>
      </c>
      <c r="BE135" s="69" t="s">
        <v>1412</v>
      </c>
      <c r="BF135" s="69" t="s">
        <v>988</v>
      </c>
      <c r="BG135" s="69" t="s">
        <v>988</v>
      </c>
      <c r="BH135" s="73">
        <v>4850192.7300000004</v>
      </c>
    </row>
    <row r="136" spans="1:60">
      <c r="A136" s="68">
        <v>1002365</v>
      </c>
      <c r="B136" s="69" t="s">
        <v>1433</v>
      </c>
      <c r="C136" s="69" t="s">
        <v>137</v>
      </c>
      <c r="D136" s="79" t="s">
        <v>64</v>
      </c>
      <c r="E136" s="69" t="s">
        <v>309</v>
      </c>
      <c r="F136" s="69" t="s">
        <v>310</v>
      </c>
      <c r="G136" s="69" t="s">
        <v>60</v>
      </c>
      <c r="H136" s="69">
        <v>38400356</v>
      </c>
      <c r="I136" s="69" t="s">
        <v>983</v>
      </c>
      <c r="J136" s="69" t="s">
        <v>1434</v>
      </c>
      <c r="K136" s="69" t="s">
        <v>324</v>
      </c>
      <c r="L136" s="94" t="str">
        <f t="shared" si="2"/>
        <v>2013</v>
      </c>
      <c r="M136" s="70">
        <v>43386</v>
      </c>
      <c r="N136" s="69" t="s">
        <v>408</v>
      </c>
      <c r="O136" s="69" t="s">
        <v>988</v>
      </c>
      <c r="P136" s="69"/>
      <c r="Q136" s="69" t="s">
        <v>409</v>
      </c>
      <c r="R136" s="69" t="s">
        <v>546</v>
      </c>
      <c r="S136" s="69" t="s">
        <v>290</v>
      </c>
      <c r="T136" s="69" t="s">
        <v>411</v>
      </c>
      <c r="U136" s="69" t="s">
        <v>1435</v>
      </c>
      <c r="V136" s="69" t="s">
        <v>412</v>
      </c>
      <c r="W136" s="69">
        <v>18431312000115</v>
      </c>
      <c r="X136" s="69"/>
      <c r="Y136" s="69" t="s">
        <v>907</v>
      </c>
      <c r="Z136" s="69" t="s">
        <v>1397</v>
      </c>
      <c r="AA136" s="69" t="s">
        <v>909</v>
      </c>
      <c r="AB136" s="69" t="s">
        <v>910</v>
      </c>
      <c r="AC136" s="69" t="s">
        <v>1398</v>
      </c>
      <c r="AD136" s="69" t="s">
        <v>1399</v>
      </c>
      <c r="AE136" s="69">
        <v>38408150</v>
      </c>
      <c r="AF136" s="69" t="s">
        <v>913</v>
      </c>
      <c r="AG136" s="69"/>
      <c r="AH136" s="69">
        <v>600</v>
      </c>
      <c r="AI136" s="69" t="s">
        <v>914</v>
      </c>
      <c r="AJ136" s="69"/>
      <c r="AK136" s="69" t="s">
        <v>309</v>
      </c>
      <c r="AL136" s="69"/>
      <c r="AM136" s="69"/>
      <c r="AN136" s="69"/>
      <c r="AO136" s="69"/>
      <c r="AP136" s="69"/>
      <c r="AQ136" s="69"/>
      <c r="AR136" s="69"/>
      <c r="AS136" s="69"/>
      <c r="AT136" s="69">
        <v>1578611.54</v>
      </c>
      <c r="AU136" s="69"/>
      <c r="AV136" s="69"/>
      <c r="AW136" s="69"/>
      <c r="AX136" s="151">
        <v>394652.89</v>
      </c>
      <c r="AY136" s="72">
        <v>1.7158145862745798E+17</v>
      </c>
      <c r="AZ136" s="69">
        <v>1</v>
      </c>
      <c r="BA136" s="69">
        <v>2918</v>
      </c>
      <c r="BB136" s="69">
        <v>1498231</v>
      </c>
      <c r="BC136" s="71">
        <v>43251</v>
      </c>
      <c r="BD136" s="69" t="s">
        <v>988</v>
      </c>
      <c r="BE136" s="69" t="s">
        <v>1412</v>
      </c>
      <c r="BF136" s="69" t="s">
        <v>988</v>
      </c>
      <c r="BG136" s="69" t="s">
        <v>988</v>
      </c>
      <c r="BH136" s="73">
        <v>4850192.7300000004</v>
      </c>
    </row>
    <row r="137" spans="1:60">
      <c r="A137" s="68">
        <v>1004081</v>
      </c>
      <c r="B137" s="69" t="s">
        <v>1436</v>
      </c>
      <c r="C137" s="69" t="s">
        <v>82</v>
      </c>
      <c r="D137" s="79" t="s">
        <v>64</v>
      </c>
      <c r="E137" s="69" t="s">
        <v>309</v>
      </c>
      <c r="F137" s="69" t="s">
        <v>310</v>
      </c>
      <c r="G137" s="69" t="s">
        <v>60</v>
      </c>
      <c r="H137" s="69">
        <v>38408150</v>
      </c>
      <c r="I137" s="69" t="s">
        <v>913</v>
      </c>
      <c r="J137" s="69" t="s">
        <v>1437</v>
      </c>
      <c r="K137" s="69"/>
      <c r="L137" s="95" t="s">
        <v>59</v>
      </c>
      <c r="M137" s="69"/>
      <c r="N137" s="69" t="s">
        <v>408</v>
      </c>
      <c r="O137" s="69" t="s">
        <v>988</v>
      </c>
      <c r="P137" s="69"/>
      <c r="Q137" s="69" t="s">
        <v>409</v>
      </c>
      <c r="R137" s="69" t="s">
        <v>846</v>
      </c>
      <c r="S137" s="69" t="s">
        <v>290</v>
      </c>
      <c r="T137" s="69" t="s">
        <v>411</v>
      </c>
      <c r="U137" s="69" t="s">
        <v>1438</v>
      </c>
      <c r="V137" s="69" t="s">
        <v>412</v>
      </c>
      <c r="W137" s="69">
        <v>18431312000115</v>
      </c>
      <c r="X137" s="69"/>
      <c r="Y137" s="69" t="s">
        <v>907</v>
      </c>
      <c r="Z137" s="69" t="s">
        <v>1397</v>
      </c>
      <c r="AA137" s="69" t="s">
        <v>909</v>
      </c>
      <c r="AB137" s="69" t="s">
        <v>910</v>
      </c>
      <c r="AC137" s="69" t="s">
        <v>1398</v>
      </c>
      <c r="AD137" s="69" t="s">
        <v>1399</v>
      </c>
      <c r="AE137" s="69">
        <v>38408150</v>
      </c>
      <c r="AF137" s="69" t="s">
        <v>913</v>
      </c>
      <c r="AG137" s="69"/>
      <c r="AH137" s="69">
        <v>600</v>
      </c>
      <c r="AI137" s="69" t="s">
        <v>914</v>
      </c>
      <c r="AJ137" s="69"/>
      <c r="AK137" s="69" t="s">
        <v>309</v>
      </c>
      <c r="AL137" s="69"/>
      <c r="AM137" s="69"/>
      <c r="AN137" s="69"/>
      <c r="AO137" s="69"/>
      <c r="AP137" s="69"/>
      <c r="AQ137" s="69"/>
      <c r="AR137" s="69"/>
      <c r="AS137" s="69"/>
      <c r="AT137" s="69">
        <v>5000000</v>
      </c>
      <c r="AU137" s="69"/>
      <c r="AV137" s="69"/>
      <c r="AW137" s="69"/>
      <c r="AX137" s="151"/>
      <c r="AY137" s="69"/>
      <c r="AZ137" s="69"/>
      <c r="BA137" s="69"/>
      <c r="BB137" s="69"/>
      <c r="BC137" s="69"/>
      <c r="BD137" s="69"/>
      <c r="BE137" s="69"/>
      <c r="BF137" s="69"/>
      <c r="BG137" s="69"/>
      <c r="BH137" s="73"/>
    </row>
    <row r="139" spans="1:60">
      <c r="AT139" s="154">
        <f>SUM(AT2:AT138)</f>
        <v>206506677.13999996</v>
      </c>
      <c r="AX139" s="151">
        <f>SUM(AX2:AX138)</f>
        <v>75493068.490000054</v>
      </c>
      <c r="BH139" s="151"/>
    </row>
    <row r="140" spans="1:60">
      <c r="AT140" s="155">
        <v>206506677.13999996</v>
      </c>
      <c r="AX140" s="155">
        <v>75493068.490000099</v>
      </c>
    </row>
  </sheetData>
  <autoFilter ref="A1:BH137"/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79"/>
  <sheetViews>
    <sheetView workbookViewId="0">
      <selection activeCell="D75" sqref="D75"/>
    </sheetView>
  </sheetViews>
  <sheetFormatPr baseColWidth="10" defaultRowHeight="14.5"/>
  <cols>
    <col min="1" max="1" width="20.7265625" bestFit="1" customWidth="1"/>
    <col min="2" max="2" width="24.08984375" bestFit="1" customWidth="1"/>
    <col min="3" max="3" width="4.81640625" bestFit="1" customWidth="1"/>
    <col min="4" max="4" width="5.7265625" bestFit="1" customWidth="1"/>
    <col min="5" max="9" width="4.81640625" bestFit="1" customWidth="1"/>
    <col min="10" max="10" width="5.6328125" bestFit="1" customWidth="1"/>
    <col min="11" max="11" width="14.36328125" bestFit="1" customWidth="1"/>
  </cols>
  <sheetData>
    <row r="3" spans="1:4">
      <c r="A3" s="33" t="s">
        <v>1666</v>
      </c>
      <c r="B3" t="s">
        <v>1742</v>
      </c>
    </row>
    <row r="4" spans="1:4">
      <c r="A4" s="53" t="s">
        <v>1629</v>
      </c>
      <c r="B4" s="34"/>
    </row>
    <row r="5" spans="1:4">
      <c r="A5" s="209" t="s">
        <v>1629</v>
      </c>
      <c r="B5" s="34"/>
    </row>
    <row r="6" spans="1:4">
      <c r="A6" s="53" t="s">
        <v>332</v>
      </c>
      <c r="B6" s="34">
        <v>38</v>
      </c>
      <c r="D6" s="210">
        <f>GETPIVOTDATA("Termo convênio",$A$3,"Ano convênio","2014")/135</f>
        <v>0.2814814814814815</v>
      </c>
    </row>
    <row r="7" spans="1:4">
      <c r="A7" s="209" t="s">
        <v>206</v>
      </c>
      <c r="B7" s="34">
        <v>1</v>
      </c>
      <c r="D7" s="210"/>
    </row>
    <row r="8" spans="1:4">
      <c r="A8" s="209" t="s">
        <v>238</v>
      </c>
      <c r="B8" s="34">
        <v>1</v>
      </c>
      <c r="D8" s="210"/>
    </row>
    <row r="9" spans="1:4">
      <c r="A9" s="209" t="s">
        <v>229</v>
      </c>
      <c r="B9" s="34">
        <v>5</v>
      </c>
      <c r="D9" s="210"/>
    </row>
    <row r="10" spans="1:4">
      <c r="A10" s="209" t="s">
        <v>265</v>
      </c>
      <c r="B10" s="34">
        <v>3</v>
      </c>
      <c r="D10" s="210"/>
    </row>
    <row r="11" spans="1:4">
      <c r="A11" s="209" t="s">
        <v>269</v>
      </c>
      <c r="B11" s="34">
        <v>3</v>
      </c>
      <c r="D11" s="210"/>
    </row>
    <row r="12" spans="1:4">
      <c r="A12" s="209" t="s">
        <v>284</v>
      </c>
      <c r="B12" s="34">
        <v>6</v>
      </c>
      <c r="D12" s="210"/>
    </row>
    <row r="13" spans="1:4">
      <c r="A13" s="209" t="s">
        <v>164</v>
      </c>
      <c r="B13" s="34">
        <v>3</v>
      </c>
      <c r="D13" s="210"/>
    </row>
    <row r="14" spans="1:4">
      <c r="A14" s="209" t="s">
        <v>132</v>
      </c>
      <c r="B14" s="34">
        <v>1</v>
      </c>
      <c r="D14" s="210"/>
    </row>
    <row r="15" spans="1:4">
      <c r="A15" s="209" t="s">
        <v>257</v>
      </c>
      <c r="B15" s="34">
        <v>2</v>
      </c>
      <c r="D15" s="210"/>
    </row>
    <row r="16" spans="1:4">
      <c r="A16" s="209" t="s">
        <v>110</v>
      </c>
      <c r="B16" s="34">
        <v>1</v>
      </c>
      <c r="D16" s="210"/>
    </row>
    <row r="17" spans="1:4">
      <c r="A17" s="209" t="s">
        <v>106</v>
      </c>
      <c r="B17" s="34">
        <v>1</v>
      </c>
      <c r="D17" s="210"/>
    </row>
    <row r="18" spans="1:4">
      <c r="A18" s="209" t="s">
        <v>144</v>
      </c>
      <c r="B18" s="34">
        <v>1</v>
      </c>
      <c r="D18" s="210"/>
    </row>
    <row r="19" spans="1:4">
      <c r="A19" s="209" t="s">
        <v>84</v>
      </c>
      <c r="B19" s="34">
        <v>1</v>
      </c>
      <c r="D19" s="210"/>
    </row>
    <row r="20" spans="1:4">
      <c r="A20" s="209" t="s">
        <v>296</v>
      </c>
      <c r="B20" s="34">
        <v>1</v>
      </c>
      <c r="D20" s="210"/>
    </row>
    <row r="21" spans="1:4">
      <c r="A21" s="209" t="s">
        <v>117</v>
      </c>
      <c r="B21" s="34">
        <v>1</v>
      </c>
      <c r="D21" s="210"/>
    </row>
    <row r="22" spans="1:4">
      <c r="A22" s="209" t="s">
        <v>200</v>
      </c>
      <c r="B22" s="34">
        <v>1</v>
      </c>
      <c r="D22" s="210"/>
    </row>
    <row r="23" spans="1:4">
      <c r="A23" s="209" t="s">
        <v>79</v>
      </c>
      <c r="B23" s="34">
        <v>1</v>
      </c>
      <c r="D23" s="210"/>
    </row>
    <row r="24" spans="1:4">
      <c r="A24" s="209" t="s">
        <v>134</v>
      </c>
      <c r="B24" s="34">
        <v>3</v>
      </c>
      <c r="D24" s="210"/>
    </row>
    <row r="25" spans="1:4">
      <c r="A25" s="209" t="s">
        <v>175</v>
      </c>
      <c r="B25" s="34">
        <v>2</v>
      </c>
      <c r="D25" s="210"/>
    </row>
    <row r="26" spans="1:4">
      <c r="A26" s="53" t="s">
        <v>331</v>
      </c>
      <c r="B26" s="34">
        <v>67</v>
      </c>
      <c r="D26" s="210">
        <f>69/135</f>
        <v>0.51111111111111107</v>
      </c>
    </row>
    <row r="27" spans="1:4">
      <c r="A27" s="209" t="s">
        <v>203</v>
      </c>
      <c r="B27" s="34">
        <v>4</v>
      </c>
      <c r="D27" s="210"/>
    </row>
    <row r="28" spans="1:4">
      <c r="A28" s="209" t="s">
        <v>61</v>
      </c>
      <c r="B28" s="34">
        <v>1</v>
      </c>
      <c r="D28" s="210"/>
    </row>
    <row r="29" spans="1:4">
      <c r="A29" s="209" t="s">
        <v>151</v>
      </c>
      <c r="B29" s="34">
        <v>1</v>
      </c>
      <c r="D29" s="210"/>
    </row>
    <row r="30" spans="1:4">
      <c r="A30" s="209" t="s">
        <v>155</v>
      </c>
      <c r="B30" s="34">
        <v>1</v>
      </c>
      <c r="D30" s="210"/>
    </row>
    <row r="31" spans="1:4">
      <c r="A31" s="209" t="s">
        <v>294</v>
      </c>
      <c r="B31" s="34">
        <v>1</v>
      </c>
      <c r="D31" s="210"/>
    </row>
    <row r="32" spans="1:4">
      <c r="A32" s="209" t="s">
        <v>242</v>
      </c>
      <c r="B32" s="34">
        <v>7</v>
      </c>
      <c r="D32" s="210"/>
    </row>
    <row r="33" spans="1:4">
      <c r="A33" s="209" t="s">
        <v>251</v>
      </c>
      <c r="B33" s="34">
        <v>5</v>
      </c>
      <c r="D33" s="210"/>
    </row>
    <row r="34" spans="1:4">
      <c r="A34" s="209" t="s">
        <v>282</v>
      </c>
      <c r="B34" s="34">
        <v>1</v>
      </c>
      <c r="D34" s="210"/>
    </row>
    <row r="35" spans="1:4">
      <c r="A35" s="209" t="s">
        <v>279</v>
      </c>
      <c r="B35" s="34">
        <v>3</v>
      </c>
      <c r="D35" s="210"/>
    </row>
    <row r="36" spans="1:4">
      <c r="A36" s="209" t="s">
        <v>70</v>
      </c>
      <c r="B36" s="34">
        <v>2</v>
      </c>
      <c r="D36" s="210"/>
    </row>
    <row r="37" spans="1:4">
      <c r="A37" s="209" t="s">
        <v>322</v>
      </c>
      <c r="B37" s="34">
        <v>2</v>
      </c>
      <c r="D37" s="210"/>
    </row>
    <row r="38" spans="1:4">
      <c r="A38" s="209" t="s">
        <v>198</v>
      </c>
      <c r="B38" s="34">
        <v>1</v>
      </c>
      <c r="D38" s="210"/>
    </row>
    <row r="39" spans="1:4">
      <c r="A39" s="209" t="s">
        <v>157</v>
      </c>
      <c r="B39" s="34">
        <v>5</v>
      </c>
      <c r="D39" s="210"/>
    </row>
    <row r="40" spans="1:4">
      <c r="A40" s="209" t="s">
        <v>324</v>
      </c>
      <c r="B40" s="34">
        <v>9</v>
      </c>
      <c r="D40" s="210"/>
    </row>
    <row r="41" spans="1:4">
      <c r="A41" s="209" t="s">
        <v>75</v>
      </c>
      <c r="B41" s="34">
        <v>1</v>
      </c>
      <c r="D41" s="210"/>
    </row>
    <row r="42" spans="1:4">
      <c r="A42" s="209" t="s">
        <v>100</v>
      </c>
      <c r="B42" s="34">
        <v>2</v>
      </c>
      <c r="D42" s="210"/>
    </row>
    <row r="43" spans="1:4">
      <c r="A43" s="209" t="s">
        <v>303</v>
      </c>
      <c r="B43" s="34">
        <v>1</v>
      </c>
      <c r="D43" s="210"/>
    </row>
    <row r="44" spans="1:4">
      <c r="A44" s="209" t="s">
        <v>189</v>
      </c>
      <c r="B44" s="34">
        <v>1</v>
      </c>
      <c r="D44" s="210"/>
    </row>
    <row r="45" spans="1:4">
      <c r="A45" s="209" t="s">
        <v>112</v>
      </c>
      <c r="B45" s="34">
        <v>1</v>
      </c>
      <c r="D45" s="210"/>
    </row>
    <row r="46" spans="1:4">
      <c r="A46" s="209" t="s">
        <v>236</v>
      </c>
      <c r="B46" s="34">
        <v>1</v>
      </c>
      <c r="D46" s="210"/>
    </row>
    <row r="47" spans="1:4">
      <c r="A47" s="209" t="s">
        <v>307</v>
      </c>
      <c r="B47" s="34">
        <v>2</v>
      </c>
      <c r="D47" s="210"/>
    </row>
    <row r="48" spans="1:4">
      <c r="A48" s="209" t="s">
        <v>97</v>
      </c>
      <c r="B48" s="34">
        <v>1</v>
      </c>
      <c r="D48" s="210"/>
    </row>
    <row r="49" spans="1:4">
      <c r="A49" s="209" t="s">
        <v>122</v>
      </c>
      <c r="B49" s="34">
        <v>1</v>
      </c>
      <c r="D49" s="210"/>
    </row>
    <row r="50" spans="1:4">
      <c r="A50" s="209" t="s">
        <v>305</v>
      </c>
      <c r="B50" s="34">
        <v>1</v>
      </c>
      <c r="D50" s="210"/>
    </row>
    <row r="51" spans="1:4">
      <c r="A51" s="209" t="s">
        <v>141</v>
      </c>
      <c r="B51" s="34">
        <v>1</v>
      </c>
      <c r="D51" s="210"/>
    </row>
    <row r="52" spans="1:4">
      <c r="A52" s="209" t="s">
        <v>114</v>
      </c>
      <c r="B52" s="34">
        <v>1</v>
      </c>
      <c r="D52" s="210"/>
    </row>
    <row r="53" spans="1:4">
      <c r="A53" s="209" t="s">
        <v>194</v>
      </c>
      <c r="B53" s="34">
        <v>1</v>
      </c>
      <c r="D53" s="210"/>
    </row>
    <row r="54" spans="1:4">
      <c r="A54" s="209" t="s">
        <v>220</v>
      </c>
      <c r="B54" s="34">
        <v>1</v>
      </c>
      <c r="D54" s="210"/>
    </row>
    <row r="55" spans="1:4">
      <c r="A55" s="209" t="s">
        <v>127</v>
      </c>
      <c r="B55" s="34">
        <v>4</v>
      </c>
      <c r="D55" s="210"/>
    </row>
    <row r="56" spans="1:4">
      <c r="A56" s="209" t="s">
        <v>171</v>
      </c>
      <c r="B56" s="34">
        <v>2</v>
      </c>
      <c r="D56" s="210"/>
    </row>
    <row r="57" spans="1:4">
      <c r="A57" s="209" t="s">
        <v>299</v>
      </c>
      <c r="B57" s="34">
        <v>2</v>
      </c>
      <c r="D57" s="210"/>
    </row>
    <row r="58" spans="1:4">
      <c r="A58" s="53" t="s">
        <v>334</v>
      </c>
      <c r="B58" s="34">
        <v>9</v>
      </c>
      <c r="D58" s="210">
        <f>GETPIVOTDATA("Termo convênio",$A$3,"Ano convênio","2012")/135</f>
        <v>6.6666666666666666E-2</v>
      </c>
    </row>
    <row r="59" spans="1:4">
      <c r="A59" s="209" t="s">
        <v>180</v>
      </c>
      <c r="B59" s="34">
        <v>2</v>
      </c>
      <c r="D59" s="210"/>
    </row>
    <row r="60" spans="1:4">
      <c r="A60" s="209" t="s">
        <v>94</v>
      </c>
      <c r="B60" s="34">
        <v>1</v>
      </c>
      <c r="D60" s="210"/>
    </row>
    <row r="61" spans="1:4">
      <c r="A61" s="209" t="s">
        <v>192</v>
      </c>
      <c r="B61" s="34">
        <v>1</v>
      </c>
      <c r="D61" s="210"/>
    </row>
    <row r="62" spans="1:4">
      <c r="A62" s="209" t="s">
        <v>214</v>
      </c>
      <c r="B62" s="34">
        <v>4</v>
      </c>
      <c r="D62" s="210"/>
    </row>
    <row r="63" spans="1:4">
      <c r="A63" s="209" t="s">
        <v>298</v>
      </c>
      <c r="B63" s="34">
        <v>1</v>
      </c>
      <c r="D63" s="210"/>
    </row>
    <row r="64" spans="1:4">
      <c r="A64" s="53" t="s">
        <v>333</v>
      </c>
      <c r="B64" s="34">
        <v>6</v>
      </c>
      <c r="D64" s="210">
        <f>GETPIVOTDATA("Termo convênio",$A$3,"Ano convênio","2011")/135</f>
        <v>4.4444444444444446E-2</v>
      </c>
    </row>
    <row r="65" spans="1:4">
      <c r="A65" s="209" t="s">
        <v>224</v>
      </c>
      <c r="B65" s="34">
        <v>1</v>
      </c>
      <c r="D65" s="210"/>
    </row>
    <row r="66" spans="1:4">
      <c r="A66" s="209" t="s">
        <v>90</v>
      </c>
      <c r="B66" s="34">
        <v>1</v>
      </c>
      <c r="D66" s="210"/>
    </row>
    <row r="67" spans="1:4">
      <c r="A67" s="209" t="s">
        <v>210</v>
      </c>
      <c r="B67" s="34">
        <v>1</v>
      </c>
      <c r="D67" s="210"/>
    </row>
    <row r="68" spans="1:4">
      <c r="A68" s="209" t="s">
        <v>261</v>
      </c>
      <c r="B68" s="34">
        <v>3</v>
      </c>
      <c r="D68" s="210"/>
    </row>
    <row r="69" spans="1:4">
      <c r="A69" s="53" t="s">
        <v>335</v>
      </c>
      <c r="B69" s="34">
        <v>2</v>
      </c>
      <c r="D69" s="210">
        <f>GETPIVOTDATA("Termo convênio",$A$3,"Ano convênio","2010")/135</f>
        <v>1.4814814814814815E-2</v>
      </c>
    </row>
    <row r="70" spans="1:4">
      <c r="A70" s="209" t="s">
        <v>148</v>
      </c>
      <c r="B70" s="34">
        <v>1</v>
      </c>
      <c r="D70" s="210"/>
    </row>
    <row r="71" spans="1:4">
      <c r="A71" s="209" t="s">
        <v>276</v>
      </c>
      <c r="B71" s="34">
        <v>1</v>
      </c>
      <c r="D71" s="210"/>
    </row>
    <row r="72" spans="1:4">
      <c r="A72" s="53" t="s">
        <v>1446</v>
      </c>
      <c r="B72" s="34">
        <v>1</v>
      </c>
      <c r="D72" s="210">
        <f>GETPIVOTDATA("Termo convênio",$A$3,"Ano convênio","2009")/135</f>
        <v>7.4074074074074077E-3</v>
      </c>
    </row>
    <row r="73" spans="1:4">
      <c r="A73" s="209" t="s">
        <v>274</v>
      </c>
      <c r="B73" s="34">
        <v>1</v>
      </c>
      <c r="D73" s="210"/>
    </row>
    <row r="74" spans="1:4">
      <c r="A74" s="53" t="s">
        <v>1447</v>
      </c>
      <c r="B74" s="34">
        <v>9</v>
      </c>
      <c r="D74" s="210">
        <f>GETPIVOTDATA("Termo convênio",$A$3,"Ano convênio","2008")/135</f>
        <v>6.6666666666666666E-2</v>
      </c>
    </row>
    <row r="75" spans="1:4">
      <c r="A75" s="209" t="s">
        <v>312</v>
      </c>
      <c r="B75" s="34">
        <v>1</v>
      </c>
      <c r="D75" s="210"/>
    </row>
    <row r="76" spans="1:4">
      <c r="A76" s="209" t="s">
        <v>314</v>
      </c>
      <c r="B76" s="34">
        <v>8</v>
      </c>
      <c r="D76" s="210"/>
    </row>
    <row r="77" spans="1:4">
      <c r="A77" s="53">
        <v>2013</v>
      </c>
      <c r="B77" s="34">
        <v>2</v>
      </c>
      <c r="D77" s="210"/>
    </row>
    <row r="78" spans="1:4">
      <c r="A78" s="209" t="s">
        <v>61</v>
      </c>
      <c r="B78" s="34">
        <v>2</v>
      </c>
      <c r="D78" s="210"/>
    </row>
    <row r="79" spans="1:4">
      <c r="A79" s="53" t="s">
        <v>336</v>
      </c>
      <c r="B79" s="34">
        <v>134</v>
      </c>
      <c r="D79" s="2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G145"/>
  <sheetViews>
    <sheetView tabSelected="1" zoomScale="80" zoomScaleNormal="80" workbookViewId="0">
      <pane xSplit="6" ySplit="2" topLeftCell="AC135" activePane="bottomRight" state="frozen"/>
      <selection pane="topRight" activeCell="F1" sqref="F1"/>
      <selection pane="bottomLeft" activeCell="A3" sqref="A3"/>
      <selection pane="bottomRight" activeCell="AG141" sqref="AG141"/>
    </sheetView>
  </sheetViews>
  <sheetFormatPr baseColWidth="10" defaultColWidth="8.7265625" defaultRowHeight="14.5"/>
  <cols>
    <col min="1" max="1" width="11.453125" style="31" customWidth="1"/>
    <col min="2" max="3" width="5.08984375" style="31" customWidth="1"/>
    <col min="4" max="4" width="9.7265625" style="31" customWidth="1"/>
    <col min="5" max="6" width="21.81640625" style="31" customWidth="1"/>
    <col min="7" max="7" width="10.36328125" style="24" customWidth="1"/>
    <col min="8" max="20" width="13.453125" style="31" customWidth="1"/>
    <col min="21" max="21" width="13.453125" style="77" customWidth="1"/>
    <col min="22" max="33" width="13.453125" style="31" customWidth="1"/>
    <col min="34" max="34" width="21.90625" style="31" bestFit="1" customWidth="1"/>
    <col min="35" max="35" width="35.08984375" style="31" customWidth="1"/>
    <col min="36" max="36" width="53.1796875" style="31" customWidth="1"/>
    <col min="37" max="38" width="21.08984375" style="24" customWidth="1"/>
    <col min="39" max="41" width="17.6328125" style="31" customWidth="1"/>
    <col min="42" max="42" width="9.453125" style="31" bestFit="1" customWidth="1"/>
    <col min="43" max="43" width="9.453125" style="31" customWidth="1"/>
    <col min="44" max="44" width="16.90625" style="31" bestFit="1" customWidth="1"/>
    <col min="45" max="46" width="16.90625" style="31" customWidth="1"/>
    <col min="47" max="47" width="16.81640625" style="31" customWidth="1"/>
    <col min="48" max="48" width="15.1796875" style="31" customWidth="1"/>
    <col min="49" max="49" width="21" style="31" customWidth="1"/>
    <col min="50" max="52" width="17.26953125" style="31" customWidth="1"/>
    <col min="53" max="53" width="24.6328125" style="31" customWidth="1"/>
    <col min="54" max="54" width="21.7265625" style="53" customWidth="1"/>
    <col min="55" max="55" width="13.7265625" style="31" customWidth="1"/>
    <col min="56" max="56" width="15.36328125" style="31" customWidth="1"/>
    <col min="57" max="57" width="14.1796875" style="31" customWidth="1"/>
    <col min="58" max="58" width="17.26953125" style="31" customWidth="1"/>
    <col min="59" max="59" width="14.1796875" style="31" customWidth="1"/>
    <col min="60" max="60" width="12.7265625" style="31" customWidth="1"/>
    <col min="61" max="61" width="11.81640625" style="31" bestFit="1" customWidth="1"/>
    <col min="62" max="62" width="22" style="31" customWidth="1"/>
    <col min="63" max="63" width="10.7265625" style="31" customWidth="1"/>
    <col min="64" max="64" width="17.36328125" style="31" customWidth="1"/>
    <col min="65" max="65" width="16.26953125" style="31" customWidth="1"/>
    <col min="66" max="66" width="19.36328125" style="31" customWidth="1"/>
    <col min="67" max="67" width="16.26953125" style="31" customWidth="1"/>
    <col min="68" max="68" width="14.81640625" style="31" customWidth="1"/>
    <col min="69" max="69" width="13.6328125" style="31" customWidth="1"/>
    <col min="70" max="70" width="22" style="31" customWidth="1"/>
    <col min="71" max="73" width="15.81640625" style="31" customWidth="1"/>
    <col min="74" max="74" width="19.36328125" style="31" customWidth="1"/>
    <col min="75" max="75" width="16.26953125" style="31" customWidth="1"/>
    <col min="76" max="76" width="14.81640625" style="31" customWidth="1"/>
    <col min="77" max="77" width="13.6328125" style="31" customWidth="1"/>
    <col min="78" max="16384" width="8.7265625" style="31"/>
  </cols>
  <sheetData>
    <row r="1" spans="1:85">
      <c r="A1" s="26" t="s">
        <v>1597</v>
      </c>
      <c r="B1" s="26"/>
      <c r="C1" s="26"/>
      <c r="D1" s="26"/>
      <c r="E1" s="26"/>
      <c r="F1" s="26"/>
      <c r="G1" s="2"/>
      <c r="H1" s="1" t="s">
        <v>989</v>
      </c>
      <c r="I1" s="26"/>
      <c r="J1" s="26"/>
      <c r="K1" s="1" t="s">
        <v>0</v>
      </c>
      <c r="L1" s="2"/>
      <c r="M1" s="3"/>
      <c r="N1" s="4"/>
      <c r="O1" s="4"/>
      <c r="P1" s="5" t="s">
        <v>1439</v>
      </c>
      <c r="Q1" s="2"/>
      <c r="R1" s="2"/>
      <c r="S1" s="4"/>
      <c r="T1" s="4"/>
      <c r="U1" s="5" t="s">
        <v>1442</v>
      </c>
      <c r="V1" s="4"/>
      <c r="W1" s="4"/>
      <c r="X1" s="4"/>
      <c r="Y1" s="4"/>
      <c r="Z1" s="4"/>
      <c r="AA1" s="5" t="s">
        <v>1684</v>
      </c>
      <c r="AB1" s="4"/>
      <c r="AC1" s="4"/>
      <c r="AD1" s="4"/>
      <c r="AE1" s="5" t="s">
        <v>1743</v>
      </c>
      <c r="AF1" s="4"/>
      <c r="AG1" s="4"/>
      <c r="AH1" s="4"/>
      <c r="AI1" s="1"/>
      <c r="AJ1" s="26"/>
      <c r="AK1" s="2"/>
      <c r="AL1" s="2"/>
      <c r="AM1" s="160"/>
      <c r="AN1" s="158">
        <f>SUMIF($AP$2:$AP$138,1,$AO$2:$AO$138)</f>
        <v>40105610.99000001</v>
      </c>
      <c r="AO1" s="158">
        <f>SUMPRODUCT(AO2:AO138,AP2:AP138)</f>
        <v>40105610.99000001</v>
      </c>
      <c r="AP1" s="159">
        <f>SUBTOTAL(9,Tabela232[[#Headers],[#Data],[formel]])</f>
        <v>53</v>
      </c>
      <c r="AQ1" s="161"/>
      <c r="AR1" s="26"/>
      <c r="AS1" s="26"/>
      <c r="AT1" s="26"/>
      <c r="AU1" s="26"/>
      <c r="AV1" s="26"/>
      <c r="AW1" s="27"/>
      <c r="AX1" s="27"/>
      <c r="AY1" s="27"/>
      <c r="AZ1" s="27"/>
      <c r="BA1" s="27"/>
      <c r="BC1" s="26" t="s">
        <v>1</v>
      </c>
      <c r="BD1" s="27"/>
      <c r="BE1" s="28" t="s">
        <v>2</v>
      </c>
      <c r="BF1" s="27"/>
      <c r="BG1" s="27"/>
      <c r="BH1" s="27"/>
      <c r="BI1" s="27"/>
      <c r="BJ1" s="26" t="s">
        <v>3</v>
      </c>
      <c r="BK1" s="27"/>
      <c r="BL1" s="27"/>
      <c r="BM1" s="27"/>
      <c r="BN1" s="27"/>
      <c r="BO1" s="27"/>
      <c r="BP1" s="27"/>
      <c r="BQ1" s="27"/>
      <c r="BR1" s="26" t="s">
        <v>4</v>
      </c>
      <c r="BS1" s="27"/>
      <c r="BT1" s="27"/>
      <c r="BU1" s="27"/>
      <c r="BV1" s="27"/>
      <c r="BW1" s="27"/>
      <c r="BX1" s="27"/>
      <c r="BY1" s="27"/>
    </row>
    <row r="2" spans="1:85" ht="15" thickBot="1">
      <c r="A2" s="6" t="s">
        <v>5</v>
      </c>
      <c r="B2" s="6" t="s">
        <v>6</v>
      </c>
      <c r="C2" s="6" t="s">
        <v>347</v>
      </c>
      <c r="D2" s="7" t="s">
        <v>7</v>
      </c>
      <c r="E2" s="6" t="s">
        <v>8</v>
      </c>
      <c r="F2" s="6" t="s">
        <v>9</v>
      </c>
      <c r="G2" s="9" t="s">
        <v>1445</v>
      </c>
      <c r="H2" s="8" t="s">
        <v>10</v>
      </c>
      <c r="I2" s="9" t="s">
        <v>11</v>
      </c>
      <c r="J2" s="9" t="s">
        <v>12</v>
      </c>
      <c r="K2" s="8" t="s">
        <v>13</v>
      </c>
      <c r="L2" s="9" t="s">
        <v>14</v>
      </c>
      <c r="M2" s="10" t="s">
        <v>15</v>
      </c>
      <c r="N2" s="9" t="s">
        <v>16</v>
      </c>
      <c r="O2" s="9" t="s">
        <v>353</v>
      </c>
      <c r="P2" s="11" t="s">
        <v>1683</v>
      </c>
      <c r="Q2" s="9" t="s">
        <v>18</v>
      </c>
      <c r="R2" s="9" t="s">
        <v>19</v>
      </c>
      <c r="S2" s="10" t="s">
        <v>20</v>
      </c>
      <c r="T2" s="9" t="s">
        <v>1448</v>
      </c>
      <c r="U2" s="11" t="s">
        <v>1716</v>
      </c>
      <c r="V2" s="9" t="s">
        <v>1440</v>
      </c>
      <c r="W2" s="9" t="s">
        <v>1441</v>
      </c>
      <c r="X2" s="9" t="s">
        <v>1617</v>
      </c>
      <c r="Y2" s="9" t="s">
        <v>1621</v>
      </c>
      <c r="Z2" s="7" t="s">
        <v>1622</v>
      </c>
      <c r="AA2" s="11" t="s">
        <v>1717</v>
      </c>
      <c r="AB2" s="9" t="s">
        <v>1681</v>
      </c>
      <c r="AC2" s="9" t="s">
        <v>1682</v>
      </c>
      <c r="AD2" s="9" t="s">
        <v>1711</v>
      </c>
      <c r="AE2" s="9" t="s">
        <v>1786</v>
      </c>
      <c r="AF2" s="9" t="s">
        <v>1744</v>
      </c>
      <c r="AG2" s="9" t="s">
        <v>1745</v>
      </c>
      <c r="AH2" s="7" t="s">
        <v>1626</v>
      </c>
      <c r="AI2" s="9" t="s">
        <v>21</v>
      </c>
      <c r="AJ2" s="9" t="s">
        <v>24</v>
      </c>
      <c r="AK2" s="121" t="s">
        <v>1561</v>
      </c>
      <c r="AL2" s="121" t="s">
        <v>1549</v>
      </c>
      <c r="AM2" s="29" t="s">
        <v>25</v>
      </c>
      <c r="AN2" s="29" t="s">
        <v>1620</v>
      </c>
      <c r="AO2" s="29" t="s">
        <v>1556</v>
      </c>
      <c r="AP2" s="29" t="s">
        <v>1630</v>
      </c>
      <c r="AQ2" s="29" t="s">
        <v>1634</v>
      </c>
      <c r="AR2" s="29" t="s">
        <v>1635</v>
      </c>
      <c r="AS2" s="29" t="s">
        <v>1674</v>
      </c>
      <c r="AT2" s="29" t="s">
        <v>1675</v>
      </c>
      <c r="AU2" s="29" t="s">
        <v>26</v>
      </c>
      <c r="AV2" s="29" t="s">
        <v>27</v>
      </c>
      <c r="AW2" s="12" t="s">
        <v>28</v>
      </c>
      <c r="AX2" s="112" t="s">
        <v>29</v>
      </c>
      <c r="AY2" s="112" t="s">
        <v>1613</v>
      </c>
      <c r="AZ2" s="112" t="s">
        <v>1614</v>
      </c>
      <c r="BA2" s="13" t="s">
        <v>1618</v>
      </c>
      <c r="BB2" s="13" t="s">
        <v>30</v>
      </c>
      <c r="BC2" s="13" t="s">
        <v>31</v>
      </c>
      <c r="BD2" s="13" t="s">
        <v>32</v>
      </c>
      <c r="BE2" s="13" t="s">
        <v>33</v>
      </c>
      <c r="BF2" s="13" t="s">
        <v>34</v>
      </c>
      <c r="BG2" s="13" t="s">
        <v>35</v>
      </c>
      <c r="BH2" s="13" t="s">
        <v>36</v>
      </c>
      <c r="BI2" s="13" t="s">
        <v>37</v>
      </c>
      <c r="BJ2" s="13" t="s">
        <v>38</v>
      </c>
      <c r="BK2" s="13" t="s">
        <v>39</v>
      </c>
      <c r="BL2" s="13" t="s">
        <v>40</v>
      </c>
      <c r="BM2" s="13" t="s">
        <v>41</v>
      </c>
      <c r="BN2" s="13" t="s">
        <v>42</v>
      </c>
      <c r="BO2" s="13" t="s">
        <v>43</v>
      </c>
      <c r="BP2" s="13" t="s">
        <v>44</v>
      </c>
      <c r="BQ2" s="13" t="s">
        <v>45</v>
      </c>
      <c r="BR2" s="13" t="s">
        <v>46</v>
      </c>
      <c r="BS2" s="13" t="s">
        <v>47</v>
      </c>
      <c r="BT2" s="13" t="s">
        <v>48</v>
      </c>
      <c r="BU2" s="13" t="s">
        <v>49</v>
      </c>
      <c r="BV2" s="13" t="s">
        <v>50</v>
      </c>
      <c r="BW2" s="13" t="s">
        <v>51</v>
      </c>
      <c r="BX2" s="13" t="s">
        <v>52</v>
      </c>
      <c r="BY2" s="13" t="s">
        <v>53</v>
      </c>
      <c r="BZ2" s="135" t="s">
        <v>1563</v>
      </c>
      <c r="CA2" s="135" t="s">
        <v>1564</v>
      </c>
      <c r="CB2" s="135" t="s">
        <v>1565</v>
      </c>
      <c r="CC2" s="135" t="s">
        <v>1566</v>
      </c>
      <c r="CD2" s="135" t="s">
        <v>1567</v>
      </c>
      <c r="CE2" s="135" t="s">
        <v>1568</v>
      </c>
      <c r="CF2" s="135" t="s">
        <v>1569</v>
      </c>
      <c r="CG2" s="135" t="s">
        <v>1570</v>
      </c>
    </row>
    <row r="3" spans="1:85">
      <c r="A3" s="14" t="s">
        <v>54</v>
      </c>
      <c r="B3" s="14" t="s">
        <v>55</v>
      </c>
      <c r="C3" s="14" t="s">
        <v>60</v>
      </c>
      <c r="D3" s="15">
        <v>25351</v>
      </c>
      <c r="E3" s="14" t="s">
        <v>56</v>
      </c>
      <c r="F3" s="14" t="s">
        <v>57</v>
      </c>
      <c r="G3" s="15" t="s">
        <v>331</v>
      </c>
      <c r="H3" s="16" t="s">
        <v>64</v>
      </c>
      <c r="I3" s="18">
        <v>0</v>
      </c>
      <c r="J3" s="18" t="s">
        <v>59</v>
      </c>
      <c r="K3" s="58" t="s">
        <v>1443</v>
      </c>
      <c r="L3" s="60">
        <v>15</v>
      </c>
      <c r="M3" s="63">
        <v>43072</v>
      </c>
      <c r="N3" s="82">
        <v>0</v>
      </c>
      <c r="O3" s="82">
        <f>IF(Tabela232[[#This Row],[Situação2]]=Tabela232[[#This Row],[Situação]],0,1)</f>
        <v>1</v>
      </c>
      <c r="P3" s="81" t="s">
        <v>1443</v>
      </c>
      <c r="Q3" s="85">
        <v>0.35060000000000002</v>
      </c>
      <c r="R3" s="86">
        <v>43283</v>
      </c>
      <c r="S3" s="83">
        <v>0</v>
      </c>
      <c r="T3" s="82"/>
      <c r="U3" s="76" t="s">
        <v>64</v>
      </c>
      <c r="V3" s="76" t="s">
        <v>988</v>
      </c>
      <c r="W3" s="76" t="s">
        <v>59</v>
      </c>
      <c r="X3" s="82">
        <f>IF(Tabela232[[#This Row],[Situação3]]=Tabela232[[#This Row],[Situação4]],0,1)</f>
        <v>1</v>
      </c>
      <c r="Y3" s="82"/>
      <c r="Z3" s="82">
        <v>1</v>
      </c>
      <c r="AA3" s="82" t="s">
        <v>204</v>
      </c>
      <c r="AB3" s="82" t="s">
        <v>988</v>
      </c>
      <c r="AC3" s="82">
        <v>0</v>
      </c>
      <c r="AD3" s="82" t="s">
        <v>67</v>
      </c>
      <c r="AE3" s="82" t="s">
        <v>67</v>
      </c>
      <c r="AF3" s="82" t="s">
        <v>1746</v>
      </c>
      <c r="AG3" s="189">
        <v>43891</v>
      </c>
      <c r="AH3" s="82" t="s">
        <v>1623</v>
      </c>
      <c r="AI3" s="59" t="s">
        <v>1582</v>
      </c>
      <c r="AJ3" s="14" t="s">
        <v>1583</v>
      </c>
      <c r="AK3" s="15" t="s">
        <v>60</v>
      </c>
      <c r="AL3" s="15" t="s">
        <v>60</v>
      </c>
      <c r="AM3" s="32" t="s">
        <v>60</v>
      </c>
      <c r="AN3" s="153">
        <f>INDEX('Simec OT - 020718'!$AX$1:$AX$137,MATCH(Tabela232[[#This Row],[ID obra]],'Simec OT - 020718'!$A$1:$A$137,0))</f>
        <v>133353.57999999999</v>
      </c>
      <c r="AO3" s="129">
        <v>576713.35</v>
      </c>
      <c r="AP3" s="156">
        <f>IF(COUNTIF(AO$2:AO3,AO3)=1,1,0)</f>
        <v>1</v>
      </c>
      <c r="AQ3" s="156">
        <f>COUNTIF($AO$2:$AO$137,AO3)</f>
        <v>3</v>
      </c>
      <c r="AR3" s="129">
        <f>Tabela232[[#This Row],[Saldo da conta 07/2018]]/Tabela232[[#This Row],[formel2]]</f>
        <v>192237.78333333333</v>
      </c>
      <c r="AS3" s="129">
        <f>INDEX('[1]Total repassado por obra'!$D$2:$D$127,MATCH(Tabela232[[#This Row],[ID obra]],'[1]Total repassado por obra'!$B$2:$B$127,0))</f>
        <v>181924</v>
      </c>
      <c r="AT3" s="129">
        <v>181924</v>
      </c>
      <c r="AU3" s="32" t="s">
        <v>61</v>
      </c>
      <c r="AV3" s="30">
        <v>2013</v>
      </c>
      <c r="AW3" s="32">
        <v>2017</v>
      </c>
      <c r="AX3" s="32" t="s">
        <v>59</v>
      </c>
      <c r="AY3" s="32"/>
      <c r="AZ3" s="32">
        <f>Tabela232[[#This Row],[Duração final]]-Tabela232[[#This Row],[Duração prevista]]</f>
        <v>0</v>
      </c>
      <c r="BA3" s="32" t="s">
        <v>60</v>
      </c>
      <c r="BB3" s="115" t="s">
        <v>671</v>
      </c>
      <c r="BC3" s="110">
        <v>41744</v>
      </c>
      <c r="BD3" s="110">
        <v>42109</v>
      </c>
      <c r="BE3" s="110">
        <v>42109</v>
      </c>
      <c r="BF3" s="114">
        <v>365</v>
      </c>
      <c r="BG3" s="114">
        <v>365</v>
      </c>
      <c r="BH3" s="109">
        <v>822235.28</v>
      </c>
      <c r="BI3" s="109">
        <v>822235.28</v>
      </c>
      <c r="BJ3" s="115" t="s">
        <v>1522</v>
      </c>
      <c r="BK3" s="110">
        <v>42755</v>
      </c>
      <c r="BL3" s="110">
        <v>43063</v>
      </c>
      <c r="BM3" s="110">
        <v>43428</v>
      </c>
      <c r="BN3" s="114">
        <v>300</v>
      </c>
      <c r="BO3" s="114">
        <f>Tabela232[[#This Row],[Término final]]-Tabela232[[#This Row],[Início]]</f>
        <v>365</v>
      </c>
      <c r="BP3" s="109">
        <v>1362576.72</v>
      </c>
      <c r="BQ3" s="109">
        <v>1410215.18</v>
      </c>
      <c r="BR3" s="21"/>
      <c r="BS3" s="21"/>
      <c r="BT3" s="21"/>
      <c r="BU3" s="21"/>
      <c r="BV3" s="21"/>
      <c r="BW3" s="21"/>
      <c r="BX3" s="21"/>
      <c r="BY3" s="21"/>
      <c r="BZ3" s="27"/>
      <c r="CA3" s="27"/>
      <c r="CB3" s="27"/>
      <c r="CC3" s="27"/>
      <c r="CD3" s="27"/>
      <c r="CE3" s="27"/>
      <c r="CF3" s="27"/>
      <c r="CG3" s="27"/>
    </row>
    <row r="4" spans="1:85">
      <c r="A4" s="14" t="s">
        <v>54</v>
      </c>
      <c r="B4" s="14" t="s">
        <v>55</v>
      </c>
      <c r="C4" s="14" t="s">
        <v>60</v>
      </c>
      <c r="D4" s="15">
        <v>25352</v>
      </c>
      <c r="E4" s="14" t="s">
        <v>62</v>
      </c>
      <c r="F4" s="14" t="s">
        <v>1524</v>
      </c>
      <c r="G4" s="15" t="s">
        <v>331</v>
      </c>
      <c r="H4" s="16" t="s">
        <v>64</v>
      </c>
      <c r="I4" s="18">
        <v>0</v>
      </c>
      <c r="J4" s="48" t="s">
        <v>59</v>
      </c>
      <c r="K4" s="58" t="s">
        <v>64</v>
      </c>
      <c r="L4" s="60"/>
      <c r="M4" s="61"/>
      <c r="N4" s="81">
        <v>1</v>
      </c>
      <c r="O4" s="149">
        <f>IF(Tabela232[[#This Row],[Situação2]]=Tabela232[[#This Row],[Situação]],0,1)</f>
        <v>0</v>
      </c>
      <c r="P4" s="81" t="s">
        <v>64</v>
      </c>
      <c r="Q4" s="60">
        <v>0</v>
      </c>
      <c r="R4" s="60"/>
      <c r="S4" s="61">
        <v>1</v>
      </c>
      <c r="T4" s="96">
        <f>2018-Tabela232[[#This Row],[Ano do convênio]]</f>
        <v>5</v>
      </c>
      <c r="U4" s="76" t="s">
        <v>64</v>
      </c>
      <c r="V4" s="76" t="s">
        <v>988</v>
      </c>
      <c r="W4" s="76" t="s">
        <v>59</v>
      </c>
      <c r="X4" s="82">
        <f>IF(Tabela232[[#This Row],[Situação3]]=Tabela232[[#This Row],[Situação4]],0,1)</f>
        <v>0</v>
      </c>
      <c r="Y4" s="82">
        <v>1</v>
      </c>
      <c r="Z4" s="82">
        <v>1</v>
      </c>
      <c r="AA4" s="82" t="s">
        <v>204</v>
      </c>
      <c r="AB4" s="82" t="s">
        <v>988</v>
      </c>
      <c r="AC4" s="82">
        <v>0</v>
      </c>
      <c r="AD4" s="82" t="str">
        <f>Tabela232[[#This Row],[Situação3]]</f>
        <v>Não iniciada</v>
      </c>
      <c r="AE4" s="82" t="s">
        <v>204</v>
      </c>
      <c r="AF4" s="82" t="s">
        <v>988</v>
      </c>
      <c r="AG4" s="82">
        <v>0</v>
      </c>
      <c r="AH4" s="82" t="s">
        <v>1623</v>
      </c>
      <c r="AI4" s="59" t="s">
        <v>1579</v>
      </c>
      <c r="AJ4" s="14" t="s">
        <v>1578</v>
      </c>
      <c r="AK4" s="15" t="s">
        <v>60</v>
      </c>
      <c r="AL4" s="15" t="s">
        <v>60</v>
      </c>
      <c r="AM4" s="32" t="s">
        <v>60</v>
      </c>
      <c r="AN4" s="153">
        <f>INDEX('Simec OT - 020718'!$AX$1:$AX$137,MATCH(Tabela232[[#This Row],[ID obra]],'Simec OT - 020718'!$A$1:$A$137,0))</f>
        <v>289979.11</v>
      </c>
      <c r="AO4" s="129">
        <v>576713.35</v>
      </c>
      <c r="AP4" s="156">
        <f>IF(COUNTIF(AO$2:AO4,AO4)=1,1,0)</f>
        <v>0</v>
      </c>
      <c r="AQ4" s="156">
        <f>COUNTIF($AO$2:$AO$137,AO4)</f>
        <v>3</v>
      </c>
      <c r="AR4" s="129">
        <f>Tabela232[[#This Row],[Saldo da conta 07/2018]]/Tabela232[[#This Row],[formel2]]</f>
        <v>192237.78333333333</v>
      </c>
      <c r="AS4" s="129">
        <f>INDEX('[1]Total repassado por obra'!$D$2:$D$127,MATCH(Tabela232[[#This Row],[ID obra]],'[1]Total repassado por obra'!$B$2:$B$127,0))</f>
        <v>395596</v>
      </c>
      <c r="AT4" s="129">
        <v>395596</v>
      </c>
      <c r="AU4" s="32" t="s">
        <v>61</v>
      </c>
      <c r="AV4" s="30">
        <v>2013</v>
      </c>
      <c r="AW4" s="32" t="s">
        <v>59</v>
      </c>
      <c r="AX4" s="32" t="s">
        <v>59</v>
      </c>
      <c r="AY4" s="32"/>
      <c r="AZ4" s="32">
        <f>Tabela232[[#This Row],[Duração final]]-Tabela232[[#This Row],[Duração prevista]]</f>
        <v>0</v>
      </c>
      <c r="BA4" s="32" t="s">
        <v>60</v>
      </c>
      <c r="BB4" s="115" t="s">
        <v>671</v>
      </c>
      <c r="BC4" s="110">
        <v>41744</v>
      </c>
      <c r="BD4" s="110">
        <v>42109</v>
      </c>
      <c r="BE4" s="110">
        <v>42109</v>
      </c>
      <c r="BF4" s="114">
        <v>365</v>
      </c>
      <c r="BG4" s="114">
        <v>365</v>
      </c>
      <c r="BH4" s="109">
        <v>1482198.54</v>
      </c>
      <c r="BI4" s="109">
        <v>1482198.54</v>
      </c>
      <c r="BJ4" s="115" t="s">
        <v>1522</v>
      </c>
      <c r="BK4" s="110">
        <v>42759</v>
      </c>
      <c r="BL4" s="110">
        <v>43124</v>
      </c>
      <c r="BM4" s="110">
        <v>43489</v>
      </c>
      <c r="BN4" s="114">
        <v>360</v>
      </c>
      <c r="BO4" s="114">
        <v>665</v>
      </c>
      <c r="BP4" s="109">
        <v>1865631.56</v>
      </c>
      <c r="BQ4" s="109">
        <v>1865631.56</v>
      </c>
      <c r="BR4" s="21"/>
      <c r="BS4" s="21"/>
      <c r="BT4" s="21"/>
      <c r="BU4" s="21"/>
      <c r="BV4" s="21"/>
      <c r="BW4" s="21"/>
      <c r="BX4" s="21"/>
      <c r="BY4" s="21"/>
      <c r="BZ4" s="27"/>
      <c r="CA4" s="27"/>
      <c r="CB4" s="27"/>
      <c r="CC4" s="27"/>
      <c r="CD4" s="27"/>
      <c r="CE4" s="27"/>
      <c r="CF4" s="27"/>
      <c r="CG4" s="27"/>
    </row>
    <row r="5" spans="1:85">
      <c r="A5" s="14" t="s">
        <v>54</v>
      </c>
      <c r="B5" s="14" t="s">
        <v>55</v>
      </c>
      <c r="C5" s="14" t="s">
        <v>60</v>
      </c>
      <c r="D5" s="15">
        <v>25353</v>
      </c>
      <c r="E5" s="14" t="s">
        <v>65</v>
      </c>
      <c r="F5" s="14" t="s">
        <v>66</v>
      </c>
      <c r="G5" s="15" t="s">
        <v>331</v>
      </c>
      <c r="H5" s="16" t="s">
        <v>67</v>
      </c>
      <c r="I5" s="18">
        <v>2.0299999999999998</v>
      </c>
      <c r="J5" s="48">
        <v>42313</v>
      </c>
      <c r="K5" s="58" t="s">
        <v>67</v>
      </c>
      <c r="L5" s="60">
        <v>10</v>
      </c>
      <c r="M5" s="63">
        <v>42993</v>
      </c>
      <c r="N5" s="82">
        <v>0</v>
      </c>
      <c r="O5" s="82">
        <f>IF(Tabela232[[#This Row],[Situação2]]=Tabela232[[#This Row],[Situação]],0,1)</f>
        <v>0</v>
      </c>
      <c r="P5" s="81" t="s">
        <v>67</v>
      </c>
      <c r="Q5" s="85">
        <v>0.1555</v>
      </c>
      <c r="R5" s="86"/>
      <c r="S5" s="84">
        <v>0</v>
      </c>
      <c r="T5" s="82"/>
      <c r="U5" s="76" t="s">
        <v>67</v>
      </c>
      <c r="V5" s="76" t="s">
        <v>1004</v>
      </c>
      <c r="W5" s="76">
        <v>42135</v>
      </c>
      <c r="X5" s="82">
        <f>IF(Tabela232[[#This Row],[Situação3]]=Tabela232[[#This Row],[Situação4]],0,1)</f>
        <v>0</v>
      </c>
      <c r="Y5" s="82"/>
      <c r="Z5" s="82">
        <v>1</v>
      </c>
      <c r="AA5" s="82" t="s">
        <v>67</v>
      </c>
      <c r="AB5" s="76" t="s">
        <v>1004</v>
      </c>
      <c r="AC5" s="189">
        <v>42135</v>
      </c>
      <c r="AD5" s="189" t="s">
        <v>67</v>
      </c>
      <c r="AE5" s="82" t="s">
        <v>1443</v>
      </c>
      <c r="AF5" s="189" t="s">
        <v>988</v>
      </c>
      <c r="AG5" s="189">
        <v>43891</v>
      </c>
      <c r="AH5" s="82" t="s">
        <v>1623</v>
      </c>
      <c r="AI5" s="59" t="s">
        <v>1581</v>
      </c>
      <c r="AJ5" s="14" t="s">
        <v>1580</v>
      </c>
      <c r="AK5" s="15" t="s">
        <v>60</v>
      </c>
      <c r="AL5" s="15" t="s">
        <v>60</v>
      </c>
      <c r="AM5" s="32" t="s">
        <v>60</v>
      </c>
      <c r="AN5" s="153">
        <f>INDEX('Simec OT - 020718'!$AX$1:$AX$137,MATCH(Tabela232[[#This Row],[ID obra]],'Simec OT - 020718'!$A$1:$A$137,0))</f>
        <v>289979.11</v>
      </c>
      <c r="AO5" s="129">
        <v>576713.35</v>
      </c>
      <c r="AP5" s="156">
        <f>IF(COUNTIF(AO$2:AO5,AO5)=1,1,0)</f>
        <v>0</v>
      </c>
      <c r="AQ5" s="156">
        <f>COUNTIF($AO$2:$AO$137,AO5)</f>
        <v>3</v>
      </c>
      <c r="AR5" s="129">
        <f>Tabela232[[#This Row],[Saldo da conta 07/2018]]/Tabela232[[#This Row],[formel2]]</f>
        <v>192237.78333333333</v>
      </c>
      <c r="AS5" s="129">
        <f>INDEX('[1]Total repassado por obra'!$D$2:$D$127,MATCH(Tabela232[[#This Row],[ID obra]],'[1]Total repassado por obra'!$B$2:$B$127,0))</f>
        <v>395596</v>
      </c>
      <c r="AT5" s="129">
        <v>395596</v>
      </c>
      <c r="AU5" s="32" t="s">
        <v>61</v>
      </c>
      <c r="AV5" s="32" t="s">
        <v>331</v>
      </c>
      <c r="AW5" s="32">
        <v>2015</v>
      </c>
      <c r="AX5" s="32" t="s">
        <v>59</v>
      </c>
      <c r="AY5" s="32"/>
      <c r="AZ5" s="32">
        <f>Tabela232[[#This Row],[Duração final]]-Tabela232[[#This Row],[Duração prevista]]</f>
        <v>0</v>
      </c>
      <c r="BA5" s="32" t="s">
        <v>60</v>
      </c>
      <c r="BB5" s="115" t="s">
        <v>671</v>
      </c>
      <c r="BC5" s="110">
        <v>41744</v>
      </c>
      <c r="BD5" s="110">
        <v>42109</v>
      </c>
      <c r="BE5" s="110">
        <v>42109</v>
      </c>
      <c r="BF5" s="114">
        <v>365</v>
      </c>
      <c r="BG5" s="114">
        <v>365</v>
      </c>
      <c r="BH5" s="109">
        <v>1483626.54</v>
      </c>
      <c r="BI5" s="109">
        <v>1483626.54</v>
      </c>
      <c r="BJ5" s="115" t="s">
        <v>1523</v>
      </c>
      <c r="BK5" s="110">
        <v>42566</v>
      </c>
      <c r="BL5" s="110">
        <v>43023</v>
      </c>
      <c r="BM5" s="110">
        <v>43023</v>
      </c>
      <c r="BN5" s="114">
        <v>450</v>
      </c>
      <c r="BO5" s="114">
        <v>450</v>
      </c>
      <c r="BP5" s="109">
        <v>1975000</v>
      </c>
      <c r="BQ5" s="109">
        <v>1975000</v>
      </c>
      <c r="BR5" s="116" t="s">
        <v>1526</v>
      </c>
      <c r="BS5" s="110">
        <v>43207</v>
      </c>
      <c r="BT5" s="110">
        <v>43601</v>
      </c>
      <c r="BU5" s="110">
        <v>43601</v>
      </c>
      <c r="BV5" s="114">
        <f>Tabela232[[#This Row],[Término final15]]-Tabela232[[#This Row],[Início13]]</f>
        <v>457</v>
      </c>
      <c r="BW5" s="114">
        <f>Tabela232[[#This Row],[Término final15]]-Tabela232[[#This Row],[Início13]]</f>
        <v>457</v>
      </c>
      <c r="BX5" s="109">
        <v>2217599.42</v>
      </c>
      <c r="BY5" s="109">
        <v>2217599.42</v>
      </c>
      <c r="BZ5" s="27"/>
      <c r="CA5" s="27"/>
      <c r="CB5" s="27"/>
      <c r="CC5" s="27"/>
      <c r="CD5" s="27"/>
      <c r="CE5" s="27"/>
      <c r="CF5" s="27"/>
      <c r="CG5" s="27"/>
    </row>
    <row r="6" spans="1:85">
      <c r="A6" s="14" t="s">
        <v>54</v>
      </c>
      <c r="B6" s="14" t="s">
        <v>55</v>
      </c>
      <c r="C6" s="14" t="s">
        <v>60</v>
      </c>
      <c r="D6" s="15">
        <v>33214</v>
      </c>
      <c r="E6" s="14" t="s">
        <v>68</v>
      </c>
      <c r="F6" s="14" t="s">
        <v>69</v>
      </c>
      <c r="G6" s="15" t="s">
        <v>331</v>
      </c>
      <c r="H6" s="16" t="s">
        <v>64</v>
      </c>
      <c r="I6" s="18">
        <v>0</v>
      </c>
      <c r="J6" s="48" t="s">
        <v>59</v>
      </c>
      <c r="K6" s="58" t="s">
        <v>64</v>
      </c>
      <c r="L6" s="60"/>
      <c r="M6" s="61"/>
      <c r="N6" s="81">
        <v>1</v>
      </c>
      <c r="O6" s="149">
        <f>IF(Tabela232[[#This Row],[Situação2]]=Tabela232[[#This Row],[Situação]],0,1)</f>
        <v>0</v>
      </c>
      <c r="P6" s="81" t="s">
        <v>64</v>
      </c>
      <c r="Q6" s="60">
        <v>0</v>
      </c>
      <c r="R6" s="60"/>
      <c r="S6" s="61">
        <v>1</v>
      </c>
      <c r="T6" s="96">
        <f>2018-Tabela232[[#This Row],[Ano do convênio]]</f>
        <v>5</v>
      </c>
      <c r="U6" s="76" t="s">
        <v>64</v>
      </c>
      <c r="V6" s="76" t="s">
        <v>988</v>
      </c>
      <c r="W6" s="76" t="s">
        <v>59</v>
      </c>
      <c r="X6" s="82">
        <f>IF(Tabela232[[#This Row],[Situação3]]=Tabela232[[#This Row],[Situação4]],0,1)</f>
        <v>0</v>
      </c>
      <c r="Y6" s="82"/>
      <c r="Z6" s="82">
        <v>1</v>
      </c>
      <c r="AA6" s="82" t="s">
        <v>204</v>
      </c>
      <c r="AB6" s="82" t="s">
        <v>988</v>
      </c>
      <c r="AC6" s="82">
        <v>0</v>
      </c>
      <c r="AD6" s="189" t="s">
        <v>1719</v>
      </c>
      <c r="AE6" s="82" t="s">
        <v>1443</v>
      </c>
      <c r="AF6" s="189" t="s">
        <v>988</v>
      </c>
      <c r="AG6" s="189">
        <v>43891</v>
      </c>
      <c r="AH6" s="82" t="s">
        <v>1623</v>
      </c>
      <c r="AI6" s="59" t="s">
        <v>1576</v>
      </c>
      <c r="AJ6" s="14" t="s">
        <v>1577</v>
      </c>
      <c r="AK6" s="15" t="s">
        <v>78</v>
      </c>
      <c r="AL6" s="15" t="s">
        <v>60</v>
      </c>
      <c r="AM6" s="32" t="s">
        <v>60</v>
      </c>
      <c r="AN6" s="153">
        <f>INDEX('Simec OT - 020718'!$AX$1:$AX$137,MATCH(Tabela232[[#This Row],[ID obra]],'Simec OT - 020718'!$A$1:$A$137,0))</f>
        <v>374180.39</v>
      </c>
      <c r="AO6" s="129">
        <v>0</v>
      </c>
      <c r="AP6" s="156">
        <f>IF(COUNTIF(AO$2:AO6,AO6)=1,1,0)</f>
        <v>1</v>
      </c>
      <c r="AQ6" s="156">
        <f t="shared" ref="AQ6:AQ69" si="0">COUNTIF($AO$2:$AO$137,AO6)</f>
        <v>25</v>
      </c>
      <c r="AR6" s="129">
        <f>Tabela232[[#This Row],[Saldo da conta 07/2018]]/Tabela232[[#This Row],[formel2]]</f>
        <v>0</v>
      </c>
      <c r="AS6" s="129">
        <f>INDEX('[1]Total repassado por obra'!$D$2:$D$127,MATCH(Tabela232[[#This Row],[ID obra]],'[1]Total repassado por obra'!$B$2:$B$127,0))</f>
        <v>466078</v>
      </c>
      <c r="AT6" s="129">
        <v>466078</v>
      </c>
      <c r="AU6" s="32" t="s">
        <v>70</v>
      </c>
      <c r="AV6" s="32" t="s">
        <v>331</v>
      </c>
      <c r="AW6" s="32" t="s">
        <v>59</v>
      </c>
      <c r="AX6" s="32" t="s">
        <v>59</v>
      </c>
      <c r="AY6" s="32"/>
      <c r="AZ6" s="32">
        <f>Tabela232[[#This Row],[Duração final]]-Tabela232[[#This Row],[Duração prevista]]</f>
        <v>0</v>
      </c>
      <c r="BA6" s="32" t="s">
        <v>60</v>
      </c>
      <c r="BB6" s="115" t="s">
        <v>671</v>
      </c>
      <c r="BC6" s="110">
        <v>41815</v>
      </c>
      <c r="BD6" s="110">
        <v>42180</v>
      </c>
      <c r="BE6" s="110">
        <v>42180</v>
      </c>
      <c r="BF6" s="114">
        <v>365</v>
      </c>
      <c r="BG6" s="114">
        <v>365</v>
      </c>
      <c r="BH6" s="109">
        <v>1493778.54</v>
      </c>
      <c r="BI6" s="109">
        <v>1493778.54</v>
      </c>
      <c r="BJ6" s="115" t="s">
        <v>1527</v>
      </c>
      <c r="BK6" s="110">
        <v>42570</v>
      </c>
      <c r="BL6" s="110">
        <v>43026</v>
      </c>
      <c r="BM6" s="110">
        <v>43026</v>
      </c>
      <c r="BN6" s="114">
        <f>Tabela232[[#This Row],[Término final]]-Tabela232[[#This Row],[Início]]</f>
        <v>365</v>
      </c>
      <c r="BO6" s="114">
        <f>Tabela232[[#This Row],[Término final]]-Tabela232[[#This Row],[Início]]</f>
        <v>365</v>
      </c>
      <c r="BP6" s="109">
        <v>2031250</v>
      </c>
      <c r="BQ6" s="109">
        <v>2031250</v>
      </c>
      <c r="BR6" s="116" t="s">
        <v>1526</v>
      </c>
      <c r="BS6" s="110">
        <v>43207</v>
      </c>
      <c r="BT6" s="110">
        <v>43601</v>
      </c>
      <c r="BU6" s="110">
        <v>43601</v>
      </c>
      <c r="BV6" s="114">
        <f>Tabela232[[#This Row],[Término final15]]-Tabela232[[#This Row],[Início13]]</f>
        <v>456</v>
      </c>
      <c r="BW6" s="114">
        <f>Tabela232[[#This Row],[Término final15]]-Tabela232[[#This Row],[Início13]]</f>
        <v>456</v>
      </c>
      <c r="BX6" s="109">
        <v>2859382.62</v>
      </c>
      <c r="BY6" s="109">
        <v>2859382.62</v>
      </c>
      <c r="BZ6" s="27"/>
      <c r="CA6" s="27"/>
      <c r="CB6" s="27"/>
      <c r="CC6" s="27"/>
      <c r="CD6" s="27"/>
      <c r="CE6" s="27"/>
      <c r="CF6" s="27"/>
      <c r="CG6" s="27"/>
    </row>
    <row r="7" spans="1:85">
      <c r="A7" s="14" t="s">
        <v>54</v>
      </c>
      <c r="B7" s="14" t="s">
        <v>55</v>
      </c>
      <c r="C7" s="14" t="s">
        <v>60</v>
      </c>
      <c r="D7" s="15">
        <v>33215</v>
      </c>
      <c r="E7" s="14" t="s">
        <v>71</v>
      </c>
      <c r="F7" s="14" t="s">
        <v>72</v>
      </c>
      <c r="G7" s="15" t="s">
        <v>331</v>
      </c>
      <c r="H7" s="16" t="s">
        <v>64</v>
      </c>
      <c r="I7" s="18">
        <v>0</v>
      </c>
      <c r="J7" s="48" t="s">
        <v>59</v>
      </c>
      <c r="K7" s="58" t="s">
        <v>64</v>
      </c>
      <c r="L7" s="60"/>
      <c r="M7" s="61"/>
      <c r="N7" s="81">
        <v>1</v>
      </c>
      <c r="O7" s="149">
        <f>IF(Tabela232[[#This Row],[Situação2]]=Tabela232[[#This Row],[Situação]],0,1)</f>
        <v>0</v>
      </c>
      <c r="P7" s="81" t="s">
        <v>64</v>
      </c>
      <c r="Q7" s="60">
        <v>0</v>
      </c>
      <c r="R7" s="60"/>
      <c r="S7" s="61">
        <v>1</v>
      </c>
      <c r="T7" s="96">
        <f>2018-Tabela232[[#This Row],[Ano do convênio]]</f>
        <v>5</v>
      </c>
      <c r="U7" s="76" t="s">
        <v>64</v>
      </c>
      <c r="V7" s="76" t="s">
        <v>988</v>
      </c>
      <c r="W7" s="76" t="s">
        <v>59</v>
      </c>
      <c r="X7" s="82">
        <f>IF(Tabela232[[#This Row],[Situação3]]=Tabela232[[#This Row],[Situação4]],0,1)</f>
        <v>0</v>
      </c>
      <c r="Y7" s="82"/>
      <c r="Z7" s="82">
        <v>1</v>
      </c>
      <c r="AA7" s="82" t="s">
        <v>204</v>
      </c>
      <c r="AB7" s="82" t="s">
        <v>988</v>
      </c>
      <c r="AC7" s="82">
        <v>0</v>
      </c>
      <c r="AD7" s="189" t="s">
        <v>1719</v>
      </c>
      <c r="AE7" s="82" t="s">
        <v>1443</v>
      </c>
      <c r="AF7" s="189" t="s">
        <v>988</v>
      </c>
      <c r="AG7" s="189">
        <v>43891</v>
      </c>
      <c r="AH7" s="82" t="s">
        <v>1623</v>
      </c>
      <c r="AI7" s="59" t="s">
        <v>1574</v>
      </c>
      <c r="AJ7" s="14" t="s">
        <v>1571</v>
      </c>
      <c r="AK7" s="15" t="s">
        <v>78</v>
      </c>
      <c r="AL7" s="15" t="s">
        <v>60</v>
      </c>
      <c r="AM7" s="32" t="s">
        <v>60</v>
      </c>
      <c r="AN7" s="153">
        <f>INDEX('Simec OT - 020718'!$AX$1:$AX$137,MATCH(Tabela232[[#This Row],[ID obra]],'Simec OT - 020718'!$A$1:$A$137,0))</f>
        <v>373444.64</v>
      </c>
      <c r="AO7" s="129">
        <v>0</v>
      </c>
      <c r="AP7" s="156">
        <f>IF(COUNTIF(AO$2:AO7,AO7)=1,1,0)</f>
        <v>0</v>
      </c>
      <c r="AQ7" s="156">
        <f t="shared" si="0"/>
        <v>25</v>
      </c>
      <c r="AR7" s="129">
        <f>Tabela232[[#This Row],[Saldo da conta 07/2018]]/Tabela232[[#This Row],[formel2]]</f>
        <v>0</v>
      </c>
      <c r="AS7" s="129">
        <f>INDEX('[1]Total repassado por obra'!$D$2:$D$127,MATCH(Tabela232[[#This Row],[ID obra]],'[1]Total repassado por obra'!$B$2:$B$127,0))</f>
        <v>465162</v>
      </c>
      <c r="AT7" s="129">
        <v>465162</v>
      </c>
      <c r="AU7" s="32" t="s">
        <v>70</v>
      </c>
      <c r="AV7" s="32" t="s">
        <v>331</v>
      </c>
      <c r="AW7" s="32" t="s">
        <v>59</v>
      </c>
      <c r="AX7" s="32" t="s">
        <v>59</v>
      </c>
      <c r="AY7" s="32"/>
      <c r="AZ7" s="32">
        <f>Tabela232[[#This Row],[Duração final]]-Tabela232[[#This Row],[Duração prevista]]</f>
        <v>0</v>
      </c>
      <c r="BA7" s="32" t="s">
        <v>60</v>
      </c>
      <c r="BB7" s="115" t="s">
        <v>671</v>
      </c>
      <c r="BC7" s="110">
        <v>41815</v>
      </c>
      <c r="BD7" s="110">
        <v>42180</v>
      </c>
      <c r="BE7" s="110">
        <v>42180</v>
      </c>
      <c r="BF7" s="114">
        <v>365</v>
      </c>
      <c r="BG7" s="114">
        <v>365</v>
      </c>
      <c r="BH7" s="109">
        <v>1496721.54</v>
      </c>
      <c r="BI7" s="109">
        <v>1496721.54</v>
      </c>
      <c r="BJ7" s="115" t="s">
        <v>1527</v>
      </c>
      <c r="BK7" s="110">
        <v>42570</v>
      </c>
      <c r="BL7" s="110">
        <v>43026</v>
      </c>
      <c r="BM7" s="110">
        <v>43026</v>
      </c>
      <c r="BN7" s="114">
        <f>Tabela232[[#This Row],[Término final]]-Tabela232[[#This Row],[Início]]</f>
        <v>365</v>
      </c>
      <c r="BO7" s="114">
        <f>Tabela232[[#This Row],[Término final]]-Tabela232[[#This Row],[Início]]</f>
        <v>365</v>
      </c>
      <c r="BP7" s="109">
        <v>2090326.08</v>
      </c>
      <c r="BQ7" s="109">
        <v>2090326.08</v>
      </c>
      <c r="BR7" s="116" t="s">
        <v>1526</v>
      </c>
      <c r="BS7" s="110">
        <v>43207</v>
      </c>
      <c r="BT7" s="110">
        <v>43601</v>
      </c>
      <c r="BU7" s="110">
        <v>43601</v>
      </c>
      <c r="BV7" s="114">
        <f>Tabela232[[#This Row],[Término final15]]-Tabela232[[#This Row],[Início13]]</f>
        <v>456</v>
      </c>
      <c r="BW7" s="114">
        <f>Tabela232[[#This Row],[Término final15]]-Tabela232[[#This Row],[Início13]]</f>
        <v>456</v>
      </c>
      <c r="BX7" s="109">
        <v>2711420.74</v>
      </c>
      <c r="BY7" s="109">
        <v>2711420.74</v>
      </c>
      <c r="BZ7" s="27"/>
      <c r="CA7" s="27"/>
      <c r="CB7" s="27"/>
      <c r="CC7" s="27"/>
      <c r="CD7" s="27"/>
      <c r="CE7" s="27"/>
      <c r="CF7" s="27"/>
      <c r="CG7" s="27"/>
    </row>
    <row r="8" spans="1:85">
      <c r="A8" s="14" t="s">
        <v>54</v>
      </c>
      <c r="B8" s="14" t="s">
        <v>55</v>
      </c>
      <c r="C8" s="14" t="s">
        <v>60</v>
      </c>
      <c r="D8" s="15">
        <v>1003823</v>
      </c>
      <c r="E8" s="14" t="s">
        <v>73</v>
      </c>
      <c r="F8" s="14" t="s">
        <v>74</v>
      </c>
      <c r="G8" s="15" t="s">
        <v>331</v>
      </c>
      <c r="H8" s="16" t="s">
        <v>64</v>
      </c>
      <c r="I8" s="18">
        <v>0</v>
      </c>
      <c r="J8" s="48" t="s">
        <v>59</v>
      </c>
      <c r="K8" s="58" t="s">
        <v>1443</v>
      </c>
      <c r="L8" s="60">
        <v>60</v>
      </c>
      <c r="M8" s="63">
        <v>42997</v>
      </c>
      <c r="N8" s="82">
        <v>0</v>
      </c>
      <c r="O8" s="82">
        <f>IF(Tabela232[[#This Row],[Situação2]]=Tabela232[[#This Row],[Situação]],0,1)</f>
        <v>1</v>
      </c>
      <c r="P8" s="81" t="s">
        <v>1443</v>
      </c>
      <c r="Q8" s="85">
        <v>0.32429999999999998</v>
      </c>
      <c r="R8" s="86">
        <v>43241</v>
      </c>
      <c r="S8" s="84">
        <v>0</v>
      </c>
      <c r="T8" s="82"/>
      <c r="U8" s="76" t="s">
        <v>64</v>
      </c>
      <c r="V8" s="76" t="s">
        <v>988</v>
      </c>
      <c r="W8" s="76" t="s">
        <v>59</v>
      </c>
      <c r="X8" s="82">
        <f>IF(Tabela232[[#This Row],[Situação3]]=Tabela232[[#This Row],[Situação4]],0,1)</f>
        <v>1</v>
      </c>
      <c r="Y8" s="82"/>
      <c r="Z8" s="82">
        <v>1</v>
      </c>
      <c r="AA8" s="82" t="s">
        <v>204</v>
      </c>
      <c r="AB8" s="82" t="s">
        <v>988</v>
      </c>
      <c r="AC8" s="82">
        <v>0</v>
      </c>
      <c r="AD8" s="82" t="s">
        <v>67</v>
      </c>
      <c r="AE8" s="82" t="s">
        <v>1443</v>
      </c>
      <c r="AF8" s="82" t="s">
        <v>1747</v>
      </c>
      <c r="AG8" s="189">
        <v>43983</v>
      </c>
      <c r="AH8" s="82" t="s">
        <v>1623</v>
      </c>
      <c r="AI8" s="59" t="s">
        <v>1575</v>
      </c>
      <c r="AJ8" s="14" t="s">
        <v>1572</v>
      </c>
      <c r="AK8" s="15" t="s">
        <v>60</v>
      </c>
      <c r="AL8" s="15" t="s">
        <v>60</v>
      </c>
      <c r="AM8" s="32" t="s">
        <v>60</v>
      </c>
      <c r="AN8" s="153">
        <f>INDEX('Simec OT - 020718'!$AX$1:$AX$137,MATCH(Tabela232[[#This Row],[ID obra]],'Simec OT - 020718'!$A$1:$A$137,0))</f>
        <v>374180.39</v>
      </c>
      <c r="AO8" s="129">
        <v>7753.68</v>
      </c>
      <c r="AP8" s="156">
        <f>IF(COUNTIF(AO$2:AO8,AO8)=1,1,0)</f>
        <v>1</v>
      </c>
      <c r="AQ8" s="156">
        <f t="shared" si="0"/>
        <v>1</v>
      </c>
      <c r="AR8" s="129">
        <f>Tabela232[[#This Row],[Saldo da conta 07/2018]]/Tabela232[[#This Row],[formel2]]</f>
        <v>7753.68</v>
      </c>
      <c r="AS8" s="129">
        <f>INDEX('[1]Total repassado por obra'!$D$2:$D$127,MATCH(Tabela232[[#This Row],[ID obra]],'[1]Total repassado por obra'!$B$2:$B$127,0))</f>
        <v>466078</v>
      </c>
      <c r="AT8" s="129">
        <v>466078</v>
      </c>
      <c r="AU8" s="32" t="s">
        <v>75</v>
      </c>
      <c r="AV8" s="32" t="s">
        <v>331</v>
      </c>
      <c r="AW8" s="32">
        <v>2016</v>
      </c>
      <c r="AX8" s="32" t="s">
        <v>59</v>
      </c>
      <c r="AY8" s="32"/>
      <c r="AZ8" s="32">
        <f>Tabela232[[#This Row],[Duração final]]-Tabela232[[#This Row],[Duração prevista]]</f>
        <v>0</v>
      </c>
      <c r="BA8" s="32" t="s">
        <v>60</v>
      </c>
      <c r="BB8" s="115" t="s">
        <v>671</v>
      </c>
      <c r="BC8" s="110">
        <v>41815</v>
      </c>
      <c r="BD8" s="110">
        <v>42180</v>
      </c>
      <c r="BE8" s="110">
        <v>42180</v>
      </c>
      <c r="BF8" s="114">
        <v>365</v>
      </c>
      <c r="BG8" s="114">
        <v>365</v>
      </c>
      <c r="BH8" s="109">
        <v>1496721.54</v>
      </c>
      <c r="BI8" s="109">
        <v>1496721.54</v>
      </c>
      <c r="BJ8" s="115" t="s">
        <v>1522</v>
      </c>
      <c r="BK8" s="110">
        <v>42566</v>
      </c>
      <c r="BL8" s="110">
        <v>43026</v>
      </c>
      <c r="BM8" s="110">
        <f>Tabela232[[#This Row],[Término inicial]]+390</f>
        <v>42570</v>
      </c>
      <c r="BN8" s="114">
        <v>450</v>
      </c>
      <c r="BO8" s="114">
        <f>Tabela232[[#This Row],[Duração prevista]]+390</f>
        <v>755</v>
      </c>
      <c r="BP8" s="109">
        <v>2086754.45</v>
      </c>
      <c r="BQ8" s="109">
        <v>2218334.0099999998</v>
      </c>
      <c r="BR8" s="21"/>
      <c r="BS8" s="21"/>
      <c r="BT8" s="21"/>
      <c r="BU8" s="21"/>
      <c r="BV8" s="21"/>
      <c r="BW8" s="21"/>
      <c r="BX8" s="21"/>
      <c r="BY8" s="21"/>
      <c r="BZ8" s="27"/>
      <c r="CA8" s="27"/>
      <c r="CB8" s="27"/>
      <c r="CC8" s="27"/>
      <c r="CD8" s="27"/>
      <c r="CE8" s="27"/>
      <c r="CF8" s="27"/>
      <c r="CG8" s="27"/>
    </row>
    <row r="9" spans="1:85">
      <c r="A9" s="14" t="s">
        <v>54</v>
      </c>
      <c r="B9" s="14" t="s">
        <v>55</v>
      </c>
      <c r="C9" s="14" t="s">
        <v>60</v>
      </c>
      <c r="D9" s="15">
        <v>1012813</v>
      </c>
      <c r="E9" s="14" t="s">
        <v>76</v>
      </c>
      <c r="F9" s="14" t="s">
        <v>77</v>
      </c>
      <c r="G9" s="15" t="s">
        <v>332</v>
      </c>
      <c r="H9" s="16" t="s">
        <v>64</v>
      </c>
      <c r="I9" s="18">
        <v>0</v>
      </c>
      <c r="J9" s="48" t="s">
        <v>59</v>
      </c>
      <c r="K9" s="58" t="s">
        <v>64</v>
      </c>
      <c r="L9" s="60"/>
      <c r="M9" s="17"/>
      <c r="N9" s="81">
        <v>1</v>
      </c>
      <c r="O9" s="149">
        <f>IF(Tabela232[[#This Row],[Situação2]]=Tabela232[[#This Row],[Situação]],0,1)</f>
        <v>0</v>
      </c>
      <c r="P9" s="81" t="s">
        <v>1443</v>
      </c>
      <c r="Q9" s="85">
        <v>0.15</v>
      </c>
      <c r="R9" s="86">
        <v>43158</v>
      </c>
      <c r="S9" s="84">
        <v>0</v>
      </c>
      <c r="T9" s="82"/>
      <c r="U9" s="76" t="s">
        <v>64</v>
      </c>
      <c r="V9" s="76" t="s">
        <v>988</v>
      </c>
      <c r="W9" s="76" t="s">
        <v>59</v>
      </c>
      <c r="X9" s="82">
        <f>IF(Tabela232[[#This Row],[Situação3]]=Tabela232[[#This Row],[Situação4]],0,1)</f>
        <v>1</v>
      </c>
      <c r="Y9" s="82"/>
      <c r="Z9" s="82"/>
      <c r="AA9" s="82" t="s">
        <v>204</v>
      </c>
      <c r="AB9" s="82" t="s">
        <v>988</v>
      </c>
      <c r="AC9" s="82">
        <v>0</v>
      </c>
      <c r="AD9" s="82" t="s">
        <v>67</v>
      </c>
      <c r="AE9" s="82" t="s">
        <v>67</v>
      </c>
      <c r="AF9" s="82" t="s">
        <v>1748</v>
      </c>
      <c r="AG9" s="82" t="s">
        <v>1749</v>
      </c>
      <c r="AH9" s="82" t="s">
        <v>1623</v>
      </c>
      <c r="AI9" s="59" t="s">
        <v>1573</v>
      </c>
      <c r="AJ9" s="14" t="s">
        <v>1525</v>
      </c>
      <c r="AK9" s="15" t="s">
        <v>60</v>
      </c>
      <c r="AL9" s="15" t="s">
        <v>60</v>
      </c>
      <c r="AM9" s="32" t="s">
        <v>78</v>
      </c>
      <c r="AN9" s="153">
        <f>INDEX('Simec OT - 020718'!$AX$1:$AX$137,MATCH(Tabela232[[#This Row],[ID obra]],'Simec OT - 020718'!$A$1:$A$137,0))</f>
        <v>0</v>
      </c>
      <c r="AO9" s="129">
        <v>0</v>
      </c>
      <c r="AP9" s="156">
        <f>IF(COUNTIF(AO$2:AO9,AO9)=1,1,0)</f>
        <v>0</v>
      </c>
      <c r="AQ9" s="156">
        <f t="shared" si="0"/>
        <v>25</v>
      </c>
      <c r="AR9" s="129">
        <f>Tabela232[[#This Row],[Saldo da conta 07/2018]]/Tabela232[[#This Row],[formel2]]</f>
        <v>0</v>
      </c>
      <c r="AS9" s="126" t="s">
        <v>59</v>
      </c>
      <c r="AT9" s="129" t="s">
        <v>59</v>
      </c>
      <c r="AU9" s="32" t="s">
        <v>79</v>
      </c>
      <c r="AV9" s="32" t="s">
        <v>332</v>
      </c>
      <c r="AW9" s="32">
        <v>2018</v>
      </c>
      <c r="AX9" s="32" t="s">
        <v>59</v>
      </c>
      <c r="AY9" s="32"/>
      <c r="AZ9" s="32">
        <f>Tabela232[[#This Row],[Duração final]]-Tabela232[[#This Row],[Duração prevista]]</f>
        <v>305</v>
      </c>
      <c r="BA9" s="32" t="s">
        <v>60</v>
      </c>
      <c r="BB9" s="115" t="s">
        <v>1522</v>
      </c>
      <c r="BC9" s="110">
        <v>42759</v>
      </c>
      <c r="BD9" s="110">
        <v>43124</v>
      </c>
      <c r="BE9" s="110">
        <v>43489</v>
      </c>
      <c r="BF9" s="114">
        <v>360</v>
      </c>
      <c r="BG9" s="114">
        <v>665</v>
      </c>
      <c r="BH9" s="109">
        <v>1979345.99</v>
      </c>
      <c r="BI9" s="109">
        <v>2069127.7</v>
      </c>
      <c r="BJ9" s="21"/>
      <c r="BK9" s="21"/>
      <c r="BL9" s="21"/>
      <c r="BM9" s="21"/>
      <c r="BN9" s="21"/>
      <c r="BO9" s="21"/>
      <c r="BP9" s="21"/>
      <c r="BQ9" s="21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</row>
    <row r="10" spans="1:85">
      <c r="A10" s="14" t="s">
        <v>54</v>
      </c>
      <c r="B10" s="14" t="s">
        <v>55</v>
      </c>
      <c r="C10" s="14" t="s">
        <v>60</v>
      </c>
      <c r="D10" s="15">
        <v>1017726</v>
      </c>
      <c r="E10" s="14" t="s">
        <v>80</v>
      </c>
      <c r="F10" s="14" t="s">
        <v>81</v>
      </c>
      <c r="G10" s="15" t="s">
        <v>332</v>
      </c>
      <c r="H10" s="16" t="s">
        <v>64</v>
      </c>
      <c r="I10" s="18">
        <v>0</v>
      </c>
      <c r="J10" s="48" t="s">
        <v>59</v>
      </c>
      <c r="K10" s="58" t="s">
        <v>64</v>
      </c>
      <c r="L10" s="60"/>
      <c r="M10" s="17"/>
      <c r="N10" s="81">
        <v>1</v>
      </c>
      <c r="O10" s="149">
        <f>IF(Tabela232[[#This Row],[Situação2]]=Tabela232[[#This Row],[Situação]],0,1)</f>
        <v>0</v>
      </c>
      <c r="P10" s="81" t="s">
        <v>64</v>
      </c>
      <c r="Q10" s="60">
        <v>0</v>
      </c>
      <c r="R10" s="60"/>
      <c r="S10" s="61">
        <v>1</v>
      </c>
      <c r="T10" s="96">
        <f>2018-Tabela232[[#This Row],[Ano do convênio]]</f>
        <v>4</v>
      </c>
      <c r="U10" s="76" t="s">
        <v>64</v>
      </c>
      <c r="V10" s="76" t="s">
        <v>988</v>
      </c>
      <c r="W10" s="76" t="s">
        <v>59</v>
      </c>
      <c r="X10" s="82">
        <f>IF(Tabela232[[#This Row],[Situação3]]=Tabela232[[#This Row],[Situação4]],0,1)</f>
        <v>0</v>
      </c>
      <c r="Y10" s="82">
        <v>1</v>
      </c>
      <c r="Z10" s="82"/>
      <c r="AA10" s="82" t="s">
        <v>64</v>
      </c>
      <c r="AB10" s="82" t="s">
        <v>988</v>
      </c>
      <c r="AC10" s="82">
        <v>0</v>
      </c>
      <c r="AD10" s="82" t="str">
        <f>Tabela232[[#This Row],[Situação3]]</f>
        <v>Não iniciada</v>
      </c>
      <c r="AE10" s="82" t="s">
        <v>1443</v>
      </c>
      <c r="AF10" s="82" t="s">
        <v>1750</v>
      </c>
      <c r="AG10" s="189">
        <v>43739</v>
      </c>
      <c r="AH10" s="82" t="s">
        <v>1623</v>
      </c>
      <c r="AI10" s="14" t="s">
        <v>59</v>
      </c>
      <c r="AJ10" s="14" t="s">
        <v>83</v>
      </c>
      <c r="AK10" s="15" t="s">
        <v>78</v>
      </c>
      <c r="AL10" s="15" t="s">
        <v>78</v>
      </c>
      <c r="AM10" s="32" t="s">
        <v>60</v>
      </c>
      <c r="AN10" s="153">
        <f>INDEX('Simec OT - 020718'!$AX$1:$AX$137,MATCH(Tabela232[[#This Row],[ID obra]],'Simec OT - 020718'!$A$1:$A$137,0))</f>
        <v>710508.76</v>
      </c>
      <c r="AO10" s="129">
        <v>932385.96</v>
      </c>
      <c r="AP10" s="156">
        <f>IF(COUNTIF(AO$2:AO10,AO10)=1,1,0)</f>
        <v>1</v>
      </c>
      <c r="AQ10" s="156">
        <f t="shared" si="0"/>
        <v>1</v>
      </c>
      <c r="AR10" s="129">
        <f>Tabela232[[#This Row],[Saldo da conta 07/2018]]/Tabela232[[#This Row],[formel2]]</f>
        <v>932385.96</v>
      </c>
      <c r="AS10" s="129">
        <f>INDEX('[1]Total repassado por obra'!$D$2:$D$127,MATCH(Tabela232[[#This Row],[ID obra]],'[1]Total repassado por obra'!$B$2:$B$127,0))</f>
        <v>846775</v>
      </c>
      <c r="AT10" s="129">
        <v>846775</v>
      </c>
      <c r="AU10" s="32" t="s">
        <v>84</v>
      </c>
      <c r="AV10" s="32" t="s">
        <v>332</v>
      </c>
      <c r="AW10" s="32" t="s">
        <v>59</v>
      </c>
      <c r="AX10" s="32" t="s">
        <v>59</v>
      </c>
      <c r="AY10" s="32"/>
      <c r="AZ10" s="32"/>
      <c r="BA10" s="32" t="s">
        <v>78</v>
      </c>
      <c r="BB10" s="106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</row>
    <row r="11" spans="1:85">
      <c r="A11" s="14" t="s">
        <v>85</v>
      </c>
      <c r="B11" s="14" t="s">
        <v>86</v>
      </c>
      <c r="C11" s="14" t="s">
        <v>60</v>
      </c>
      <c r="D11" s="15">
        <v>19887</v>
      </c>
      <c r="E11" s="14" t="s">
        <v>87</v>
      </c>
      <c r="F11" s="14"/>
      <c r="G11" s="15" t="s">
        <v>333</v>
      </c>
      <c r="H11" s="16" t="s">
        <v>67</v>
      </c>
      <c r="I11" s="18">
        <v>76.12</v>
      </c>
      <c r="J11" s="48">
        <v>42667</v>
      </c>
      <c r="K11" s="58" t="s">
        <v>89</v>
      </c>
      <c r="L11" s="60"/>
      <c r="M11" s="17"/>
      <c r="N11" s="82">
        <v>0</v>
      </c>
      <c r="O11" s="82">
        <f>IF(Tabela232[[#This Row],[Situação2]]=Tabela232[[#This Row],[Situação]],0,1)</f>
        <v>1</v>
      </c>
      <c r="P11" s="89" t="s">
        <v>89</v>
      </c>
      <c r="Q11" s="60"/>
      <c r="R11" s="60"/>
      <c r="S11" s="84">
        <v>0</v>
      </c>
      <c r="T11" s="82"/>
      <c r="U11" s="76" t="s">
        <v>67</v>
      </c>
      <c r="V11" s="76" t="s">
        <v>1015</v>
      </c>
      <c r="W11" s="76">
        <v>42667</v>
      </c>
      <c r="X11" s="82">
        <f>IF(Tabela232[[#This Row],[Situação3]]=Tabela232[[#This Row],[Situação4]],0,1)</f>
        <v>1</v>
      </c>
      <c r="Y11" s="82"/>
      <c r="Z11" s="82">
        <v>0</v>
      </c>
      <c r="AA11" s="82" t="s">
        <v>89</v>
      </c>
      <c r="AB11" s="82" t="s">
        <v>1703</v>
      </c>
      <c r="AC11" s="189">
        <v>43263</v>
      </c>
      <c r="AD11" s="189" t="str">
        <f>Tabela232[[#This Row],[Situação3]]</f>
        <v>Concluída</v>
      </c>
      <c r="AE11" s="82" t="s">
        <v>89</v>
      </c>
      <c r="AF11" s="189" t="s">
        <v>1063</v>
      </c>
      <c r="AG11" s="189">
        <v>43440</v>
      </c>
      <c r="AH11" s="82"/>
      <c r="AI11" s="59" t="s">
        <v>1520</v>
      </c>
      <c r="AJ11" s="14" t="s">
        <v>1521</v>
      </c>
      <c r="AK11" s="15" t="s">
        <v>78</v>
      </c>
      <c r="AL11" s="15" t="s">
        <v>60</v>
      </c>
      <c r="AM11" s="32" t="s">
        <v>60</v>
      </c>
      <c r="AN11" s="153">
        <f>INDEX('Simec OT - 020718'!$AX$1:$AX$137,MATCH(Tabela232[[#This Row],[ID obra]],'Simec OT - 020718'!$A$1:$A$137,0))</f>
        <v>1134108.97</v>
      </c>
      <c r="AO11" s="129">
        <v>112305.58</v>
      </c>
      <c r="AP11" s="156">
        <f>IF(COUNTIF(AO$2:AO11,AO11)=1,1,0)</f>
        <v>1</v>
      </c>
      <c r="AQ11" s="156">
        <f t="shared" si="0"/>
        <v>1</v>
      </c>
      <c r="AR11" s="129">
        <f>Tabela232[[#This Row],[Saldo da conta 07/2018]]/Tabela232[[#This Row],[formel2]]</f>
        <v>112305.58</v>
      </c>
      <c r="AS11" s="129">
        <f>INDEX('[1]Total repassado por obra'!$D$2:$D$127,MATCH(Tabela232[[#This Row],[ID obra]],'[1]Total repassado por obra'!$B$2:$B$127,0))</f>
        <v>1498023</v>
      </c>
      <c r="AT11" s="129">
        <v>1498023</v>
      </c>
      <c r="AU11" s="32" t="s">
        <v>90</v>
      </c>
      <c r="AV11" s="32" t="s">
        <v>333</v>
      </c>
      <c r="AW11" s="32">
        <v>2012</v>
      </c>
      <c r="AX11" s="32">
        <v>2017</v>
      </c>
      <c r="AY11" s="32">
        <f>Tabela232[[#This Row],[Ano de entrega]]-Tabela232[[#This Row],[Ano de início da obra]]</f>
        <v>5</v>
      </c>
      <c r="AZ11" s="32"/>
      <c r="BA11" s="32" t="s">
        <v>60</v>
      </c>
      <c r="BB11" s="106" t="s">
        <v>91</v>
      </c>
      <c r="BC11" s="32" t="s">
        <v>59</v>
      </c>
      <c r="BD11" s="32" t="s">
        <v>59</v>
      </c>
      <c r="BE11" s="32" t="s">
        <v>59</v>
      </c>
      <c r="BF11" s="32" t="s">
        <v>59</v>
      </c>
      <c r="BG11" s="32" t="s">
        <v>59</v>
      </c>
      <c r="BH11" s="109">
        <v>1381840</v>
      </c>
      <c r="BI11" s="32" t="s">
        <v>59</v>
      </c>
      <c r="BJ11" s="120" t="s">
        <v>92</v>
      </c>
      <c r="BK11" s="21">
        <v>42208</v>
      </c>
      <c r="BL11" s="21">
        <v>42448</v>
      </c>
      <c r="BM11" s="21">
        <v>42545</v>
      </c>
      <c r="BN11" s="30">
        <v>240</v>
      </c>
      <c r="BO11" s="30">
        <v>337</v>
      </c>
      <c r="BP11" s="19">
        <v>848488.79</v>
      </c>
      <c r="BQ11" s="19">
        <v>848488.79</v>
      </c>
      <c r="BR11" s="116" t="s">
        <v>1025</v>
      </c>
      <c r="BS11" s="107"/>
      <c r="BT11" s="107"/>
      <c r="BU11" s="107"/>
      <c r="BV11" s="107"/>
      <c r="BW11" s="107"/>
      <c r="BX11" s="109">
        <v>124657.25</v>
      </c>
      <c r="BY11" s="107"/>
      <c r="BZ11" s="27"/>
      <c r="CA11" s="27"/>
      <c r="CB11" s="27"/>
      <c r="CC11" s="27"/>
      <c r="CD11" s="27"/>
      <c r="CE11" s="27"/>
      <c r="CF11" s="27"/>
      <c r="CG11" s="27"/>
    </row>
    <row r="12" spans="1:85">
      <c r="A12" s="14" t="s">
        <v>85</v>
      </c>
      <c r="B12" s="14" t="s">
        <v>86</v>
      </c>
      <c r="C12" s="14" t="s">
        <v>60</v>
      </c>
      <c r="D12" s="15">
        <v>25121</v>
      </c>
      <c r="E12" s="14" t="s">
        <v>93</v>
      </c>
      <c r="F12" s="14"/>
      <c r="G12" s="15" t="s">
        <v>334</v>
      </c>
      <c r="H12" s="16" t="s">
        <v>1443</v>
      </c>
      <c r="I12" s="18">
        <v>89.29</v>
      </c>
      <c r="J12" s="48">
        <v>42642</v>
      </c>
      <c r="K12" s="58" t="s">
        <v>67</v>
      </c>
      <c r="L12" s="60"/>
      <c r="M12" s="17"/>
      <c r="N12" s="82">
        <v>0</v>
      </c>
      <c r="O12" s="82">
        <f>IF(Tabela232[[#This Row],[Situação2]]=Tabela232[[#This Row],[Situação]],0,1)</f>
        <v>1</v>
      </c>
      <c r="P12" s="89" t="s">
        <v>1443</v>
      </c>
      <c r="Q12" s="60"/>
      <c r="R12" s="60"/>
      <c r="S12" s="84">
        <v>0</v>
      </c>
      <c r="T12" s="82"/>
      <c r="U12" s="76" t="s">
        <v>1443</v>
      </c>
      <c r="V12" s="76" t="s">
        <v>1023</v>
      </c>
      <c r="W12" s="76">
        <v>43221</v>
      </c>
      <c r="X12" s="82">
        <f>IF(Tabela232[[#This Row],[Situação3]]=Tabela232[[#This Row],[Situação4]],0,1)</f>
        <v>0</v>
      </c>
      <c r="Y12" s="82"/>
      <c r="Z12" s="82">
        <v>0</v>
      </c>
      <c r="AA12" s="82" t="s">
        <v>89</v>
      </c>
      <c r="AB12" s="82" t="s">
        <v>1686</v>
      </c>
      <c r="AC12" s="189">
        <v>43367</v>
      </c>
      <c r="AD12" s="189" t="s">
        <v>89</v>
      </c>
      <c r="AE12" s="82" t="s">
        <v>89</v>
      </c>
      <c r="AF12" s="189" t="s">
        <v>1063</v>
      </c>
      <c r="AG12" s="189" t="s">
        <v>1751</v>
      </c>
      <c r="AH12" s="82"/>
      <c r="AI12" s="59" t="s">
        <v>1518</v>
      </c>
      <c r="AJ12" s="14" t="s">
        <v>1519</v>
      </c>
      <c r="AK12" s="15" t="s">
        <v>60</v>
      </c>
      <c r="AL12" s="15" t="s">
        <v>60</v>
      </c>
      <c r="AM12" s="32" t="s">
        <v>60</v>
      </c>
      <c r="AN12" s="153">
        <f>INDEX('Simec OT - 020718'!$AX$1:$AX$137,MATCH(Tabela232[[#This Row],[ID obra]],'Simec OT - 020718'!$A$1:$A$137,0))</f>
        <v>1395835.54</v>
      </c>
      <c r="AO12" s="129">
        <v>46313.43</v>
      </c>
      <c r="AP12" s="156">
        <f>IF(COUNTIF(AO$2:AO12,AO12)=1,1,0)</f>
        <v>1</v>
      </c>
      <c r="AQ12" s="156">
        <f t="shared" si="0"/>
        <v>1</v>
      </c>
      <c r="AR12" s="129">
        <f>Tabela232[[#This Row],[Saldo da conta 07/2018]]/Tabela232[[#This Row],[formel2]]</f>
        <v>46313.43</v>
      </c>
      <c r="AS12" s="129">
        <f>INDEX('[1]Total repassado por obra'!$D$2:$D$127,MATCH(Tabela232[[#This Row],[ID obra]],'[1]Total repassado por obra'!$B$2:$B$127,0))</f>
        <v>1659473</v>
      </c>
      <c r="AT12" s="129">
        <v>1659473</v>
      </c>
      <c r="AU12" s="32" t="s">
        <v>94</v>
      </c>
      <c r="AV12" s="32" t="s">
        <v>334</v>
      </c>
      <c r="AW12" s="32">
        <v>2012</v>
      </c>
      <c r="AX12" s="32">
        <v>2018</v>
      </c>
      <c r="AY12" s="32">
        <f>Tabela232[[#This Row],[Ano de entrega]]-Tabela232[[#This Row],[Ano de início da obra]]</f>
        <v>6</v>
      </c>
      <c r="AZ12" s="32">
        <f>Tabela232[[#This Row],[Duração final]]-Tabela232[[#This Row],[Duração prevista]]</f>
        <v>1160</v>
      </c>
      <c r="BA12" s="32" t="s">
        <v>60</v>
      </c>
      <c r="BB12" s="106" t="s">
        <v>95</v>
      </c>
      <c r="BC12" s="21">
        <v>41212</v>
      </c>
      <c r="BD12" s="21">
        <v>41482</v>
      </c>
      <c r="BE12" s="21">
        <v>42642</v>
      </c>
      <c r="BF12" s="30">
        <v>270</v>
      </c>
      <c r="BG12" s="30">
        <v>1430</v>
      </c>
      <c r="BH12" s="19">
        <v>1368341.59</v>
      </c>
      <c r="BI12" s="19">
        <v>1904640.85</v>
      </c>
      <c r="BJ12" s="120" t="s">
        <v>92</v>
      </c>
      <c r="BK12" s="32" t="s">
        <v>59</v>
      </c>
      <c r="BL12" s="32" t="s">
        <v>59</v>
      </c>
      <c r="BM12" s="32" t="s">
        <v>59</v>
      </c>
      <c r="BN12" s="32" t="s">
        <v>59</v>
      </c>
      <c r="BO12" s="32" t="s">
        <v>59</v>
      </c>
      <c r="BP12" s="109">
        <v>267064.31</v>
      </c>
      <c r="BQ12" s="32" t="s">
        <v>59</v>
      </c>
      <c r="BR12" s="120" t="s">
        <v>1025</v>
      </c>
      <c r="BS12" s="21">
        <v>43011</v>
      </c>
      <c r="BT12" s="21">
        <v>43191</v>
      </c>
      <c r="BU12" s="21">
        <v>43282</v>
      </c>
      <c r="BV12" s="32">
        <v>180</v>
      </c>
      <c r="BW12" s="32">
        <v>271</v>
      </c>
      <c r="BX12" s="19">
        <v>434652.95</v>
      </c>
      <c r="BY12" s="19">
        <v>434652.95</v>
      </c>
      <c r="BZ12" s="27"/>
      <c r="CA12" s="27"/>
      <c r="CB12" s="27"/>
      <c r="CC12" s="27"/>
      <c r="CD12" s="27"/>
      <c r="CE12" s="27"/>
      <c r="CF12" s="27"/>
      <c r="CG12" s="27"/>
    </row>
    <row r="13" spans="1:85">
      <c r="A13" s="14" t="s">
        <v>85</v>
      </c>
      <c r="B13" s="14" t="s">
        <v>86</v>
      </c>
      <c r="C13" s="14" t="s">
        <v>60</v>
      </c>
      <c r="D13" s="15">
        <v>1006363</v>
      </c>
      <c r="E13" s="14" t="s">
        <v>96</v>
      </c>
      <c r="F13" s="14"/>
      <c r="G13" s="15" t="s">
        <v>331</v>
      </c>
      <c r="H13" s="16" t="s">
        <v>64</v>
      </c>
      <c r="I13" s="18">
        <v>0</v>
      </c>
      <c r="J13" s="48" t="s">
        <v>59</v>
      </c>
      <c r="K13" s="58" t="s">
        <v>64</v>
      </c>
      <c r="L13" s="60"/>
      <c r="M13" s="17"/>
      <c r="N13" s="81">
        <v>1</v>
      </c>
      <c r="O13" s="149">
        <f>IF(Tabela232[[#This Row],[Situação2]]=Tabela232[[#This Row],[Situação]],0,1)</f>
        <v>0</v>
      </c>
      <c r="P13" s="89" t="s">
        <v>64</v>
      </c>
      <c r="Q13" s="60"/>
      <c r="R13" s="60"/>
      <c r="S13" s="61">
        <v>1</v>
      </c>
      <c r="T13" s="96">
        <f>2018-Tabela232[[#This Row],[Ano do convênio]]</f>
        <v>5</v>
      </c>
      <c r="U13" s="76" t="s">
        <v>64</v>
      </c>
      <c r="V13" s="76" t="s">
        <v>988</v>
      </c>
      <c r="W13" s="76" t="s">
        <v>59</v>
      </c>
      <c r="X13" s="82">
        <f>IF(Tabela232[[#This Row],[Situação3]]=Tabela232[[#This Row],[Situação4]],0,1)</f>
        <v>0</v>
      </c>
      <c r="Y13" s="82">
        <v>1</v>
      </c>
      <c r="Z13" s="82"/>
      <c r="AA13" s="82" t="s">
        <v>204</v>
      </c>
      <c r="AB13" s="82" t="s">
        <v>988</v>
      </c>
      <c r="AC13" s="82">
        <v>0</v>
      </c>
      <c r="AD13" s="82" t="str">
        <f>Tabela232[[#This Row],[Situação3]]</f>
        <v>Não iniciada</v>
      </c>
      <c r="AE13" s="82" t="s">
        <v>204</v>
      </c>
      <c r="AF13" s="82" t="s">
        <v>988</v>
      </c>
      <c r="AG13" s="82">
        <v>0</v>
      </c>
      <c r="AH13" s="82" t="s">
        <v>1624</v>
      </c>
      <c r="AI13" s="14" t="s">
        <v>1528</v>
      </c>
      <c r="AJ13" s="14" t="s">
        <v>1529</v>
      </c>
      <c r="AK13" s="15" t="s">
        <v>78</v>
      </c>
      <c r="AL13" s="15" t="s">
        <v>60</v>
      </c>
      <c r="AM13" s="32" t="s">
        <v>60</v>
      </c>
      <c r="AN13" s="153">
        <f>INDEX('Simec OT - 020718'!$AX$1:$AX$137,MATCH(Tabela232[[#This Row],[ID obra]],'Simec OT - 020718'!$A$1:$A$137,0))</f>
        <v>372049.64</v>
      </c>
      <c r="AO13" s="129">
        <v>500438.36</v>
      </c>
      <c r="AP13" s="156">
        <f>IF(COUNTIF(AO$2:AO13,AO13)=1,1,0)</f>
        <v>1</v>
      </c>
      <c r="AQ13" s="156">
        <f t="shared" si="0"/>
        <v>1</v>
      </c>
      <c r="AR13" s="129">
        <f>Tabela232[[#This Row],[Saldo da conta 07/2018]]/Tabela232[[#This Row],[formel2]]</f>
        <v>500438.36</v>
      </c>
      <c r="AS13" s="129">
        <f>INDEX('[1]Total repassado por obra'!$D$2:$D$127,MATCH(Tabela232[[#This Row],[ID obra]],'[1]Total repassado por obra'!$B$2:$B$127,0))</f>
        <v>457231</v>
      </c>
      <c r="AT13" s="129">
        <v>457231</v>
      </c>
      <c r="AU13" s="32" t="s">
        <v>97</v>
      </c>
      <c r="AV13" s="32" t="s">
        <v>331</v>
      </c>
      <c r="AW13" s="32" t="s">
        <v>59</v>
      </c>
      <c r="AX13" s="32" t="s">
        <v>59</v>
      </c>
      <c r="AY13" s="32"/>
      <c r="AZ13" s="32" t="e">
        <f>Tabela232[[#This Row],[Duração final]]-Tabela232[[#This Row],[Duração prevista]]</f>
        <v>#VALUE!</v>
      </c>
      <c r="BA13" s="32" t="s">
        <v>60</v>
      </c>
      <c r="BB13" s="116" t="s">
        <v>92</v>
      </c>
      <c r="BC13" s="32" t="s">
        <v>59</v>
      </c>
      <c r="BD13" s="32" t="s">
        <v>59</v>
      </c>
      <c r="BE13" s="32" t="s">
        <v>59</v>
      </c>
      <c r="BF13" s="32" t="s">
        <v>59</v>
      </c>
      <c r="BG13" s="32" t="s">
        <v>59</v>
      </c>
      <c r="BH13" s="109">
        <v>2668822.5699999998</v>
      </c>
      <c r="BI13" s="32" t="s">
        <v>59</v>
      </c>
      <c r="BJ13" s="32" t="s">
        <v>59</v>
      </c>
      <c r="BK13" s="32" t="s">
        <v>59</v>
      </c>
      <c r="BL13" s="32" t="s">
        <v>59</v>
      </c>
      <c r="BM13" s="32" t="s">
        <v>59</v>
      </c>
      <c r="BN13" s="32" t="s">
        <v>59</v>
      </c>
      <c r="BO13" s="32" t="s">
        <v>59</v>
      </c>
      <c r="BP13" s="32" t="s">
        <v>59</v>
      </c>
      <c r="BQ13" s="32" t="s">
        <v>59</v>
      </c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</row>
    <row r="14" spans="1:85">
      <c r="A14" s="14" t="s">
        <v>98</v>
      </c>
      <c r="B14" s="14" t="s">
        <v>55</v>
      </c>
      <c r="C14" s="14" t="s">
        <v>60</v>
      </c>
      <c r="D14" s="15">
        <v>1004300</v>
      </c>
      <c r="E14" s="14" t="s">
        <v>99</v>
      </c>
      <c r="F14" s="14"/>
      <c r="G14" s="15" t="s">
        <v>331</v>
      </c>
      <c r="H14" s="16" t="s">
        <v>64</v>
      </c>
      <c r="I14" s="18">
        <v>0</v>
      </c>
      <c r="J14" s="48" t="s">
        <v>59</v>
      </c>
      <c r="K14" s="58" t="s">
        <v>1443</v>
      </c>
      <c r="L14" s="60">
        <v>34.76</v>
      </c>
      <c r="M14" s="20">
        <v>43019</v>
      </c>
      <c r="N14" s="82">
        <v>0</v>
      </c>
      <c r="O14" s="82">
        <f>IF(Tabela232[[#This Row],[Situação2]]=Tabela232[[#This Row],[Situação]],0,1)</f>
        <v>1</v>
      </c>
      <c r="P14" s="81" t="s">
        <v>1443</v>
      </c>
      <c r="Q14" s="85">
        <v>0.3836</v>
      </c>
      <c r="R14" s="86">
        <v>43239</v>
      </c>
      <c r="S14" s="84">
        <v>0</v>
      </c>
      <c r="T14" s="82"/>
      <c r="U14" s="76" t="s">
        <v>1443</v>
      </c>
      <c r="V14" s="76" t="s">
        <v>1033</v>
      </c>
      <c r="W14" s="98">
        <v>43504</v>
      </c>
      <c r="X14" s="82">
        <f>IF(Tabela232[[#This Row],[Situação3]]=Tabela232[[#This Row],[Situação4]],0,1)</f>
        <v>0</v>
      </c>
      <c r="Y14" s="82"/>
      <c r="Z14" s="82"/>
      <c r="AA14" s="82" t="s">
        <v>1443</v>
      </c>
      <c r="AB14" s="82" t="s">
        <v>1687</v>
      </c>
      <c r="AC14" s="189">
        <v>43504</v>
      </c>
      <c r="AD14" s="189" t="str">
        <f>Tabela232[[#This Row],[Situação3]]</f>
        <v>Em andamento</v>
      </c>
      <c r="AE14" s="82" t="s">
        <v>67</v>
      </c>
      <c r="AF14" s="189" t="s">
        <v>1752</v>
      </c>
      <c r="AG14" s="189">
        <v>43593</v>
      </c>
      <c r="AH14" s="82" t="s">
        <v>1624</v>
      </c>
      <c r="AI14" s="59" t="s">
        <v>1516</v>
      </c>
      <c r="AJ14" s="14" t="s">
        <v>1517</v>
      </c>
      <c r="AK14" s="15" t="s">
        <v>60</v>
      </c>
      <c r="AL14" s="15" t="s">
        <v>60</v>
      </c>
      <c r="AM14" s="32" t="s">
        <v>60</v>
      </c>
      <c r="AN14" s="153">
        <f>INDEX('Simec OT - 020718'!$AX$1:$AX$137,MATCH(Tabela232[[#This Row],[ID obra]],'Simec OT - 020718'!$A$1:$A$137,0))</f>
        <v>719579.88</v>
      </c>
      <c r="AO14" s="129">
        <v>12229.64</v>
      </c>
      <c r="AP14" s="156">
        <f>IF(COUNTIF(AO$2:AO14,AO14)=1,1,0)</f>
        <v>1</v>
      </c>
      <c r="AQ14" s="156">
        <f t="shared" si="0"/>
        <v>2</v>
      </c>
      <c r="AR14" s="129">
        <f>Tabela232[[#This Row],[Saldo da conta 07/2018]]/Tabela232[[#This Row],[formel2]]</f>
        <v>6114.82</v>
      </c>
      <c r="AS14" s="129">
        <f>INDEX('[1]Total repassado por obra'!$D$2:$D$127,MATCH(Tabela232[[#This Row],[ID obra]],'[1]Total repassado por obra'!$B$2:$B$127,0))</f>
        <v>1081213</v>
      </c>
      <c r="AT14" s="129">
        <v>1081213</v>
      </c>
      <c r="AU14" s="32" t="s">
        <v>100</v>
      </c>
      <c r="AV14" s="32" t="s">
        <v>331</v>
      </c>
      <c r="AW14" s="32">
        <v>2016</v>
      </c>
      <c r="AX14" s="32" t="s">
        <v>59</v>
      </c>
      <c r="AY14" s="32"/>
      <c r="AZ14" s="32">
        <f>Tabela232[[#This Row],[Duração final]]-Tabela232[[#This Row],[Duração prevista]]</f>
        <v>785</v>
      </c>
      <c r="BA14" s="32" t="s">
        <v>60</v>
      </c>
      <c r="BB14" s="106" t="s">
        <v>101</v>
      </c>
      <c r="BC14" s="21">
        <v>42508</v>
      </c>
      <c r="BD14" s="21">
        <v>42808</v>
      </c>
      <c r="BE14" s="21">
        <v>43593</v>
      </c>
      <c r="BF14" s="30">
        <v>300</v>
      </c>
      <c r="BG14" s="30">
        <v>1085</v>
      </c>
      <c r="BH14" s="19">
        <v>1869470.51</v>
      </c>
      <c r="BI14" s="19">
        <v>1869470.51</v>
      </c>
      <c r="BJ14" s="32" t="s">
        <v>59</v>
      </c>
      <c r="BK14" s="32" t="s">
        <v>59</v>
      </c>
      <c r="BL14" s="32" t="s">
        <v>59</v>
      </c>
      <c r="BM14" s="32" t="s">
        <v>59</v>
      </c>
      <c r="BN14" s="32" t="s">
        <v>59</v>
      </c>
      <c r="BO14" s="32" t="s">
        <v>59</v>
      </c>
      <c r="BP14" s="32" t="s">
        <v>59</v>
      </c>
      <c r="BQ14" s="32" t="s">
        <v>59</v>
      </c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</row>
    <row r="15" spans="1:85">
      <c r="A15" s="14" t="s">
        <v>98</v>
      </c>
      <c r="B15" s="14" t="s">
        <v>55</v>
      </c>
      <c r="C15" s="14" t="s">
        <v>60</v>
      </c>
      <c r="D15" s="15">
        <v>1004301</v>
      </c>
      <c r="E15" s="14" t="s">
        <v>102</v>
      </c>
      <c r="F15" s="14"/>
      <c r="G15" s="15" t="s">
        <v>331</v>
      </c>
      <c r="H15" s="16" t="s">
        <v>64</v>
      </c>
      <c r="I15" s="18">
        <v>0</v>
      </c>
      <c r="J15" s="48" t="s">
        <v>59</v>
      </c>
      <c r="K15" s="58" t="s">
        <v>1443</v>
      </c>
      <c r="L15" s="60">
        <v>23.2</v>
      </c>
      <c r="M15" s="20">
        <v>42798</v>
      </c>
      <c r="N15" s="82">
        <v>0</v>
      </c>
      <c r="O15" s="82">
        <f>IF(Tabela232[[#This Row],[Situação2]]=Tabela232[[#This Row],[Situação]],0,1)</f>
        <v>1</v>
      </c>
      <c r="P15" s="81" t="s">
        <v>1443</v>
      </c>
      <c r="Q15" s="85">
        <v>0.36059999999999998</v>
      </c>
      <c r="R15" s="86">
        <v>43376</v>
      </c>
      <c r="S15" s="84">
        <v>0</v>
      </c>
      <c r="T15" s="82"/>
      <c r="U15" s="76" t="s">
        <v>1443</v>
      </c>
      <c r="V15" s="76" t="s">
        <v>1038</v>
      </c>
      <c r="W15" s="76">
        <v>43376</v>
      </c>
      <c r="X15" s="82">
        <f>IF(Tabela232[[#This Row],[Situação3]]=Tabela232[[#This Row],[Situação4]],0,1)</f>
        <v>0</v>
      </c>
      <c r="Y15" s="82"/>
      <c r="Z15" s="82"/>
      <c r="AA15" s="82" t="s">
        <v>1443</v>
      </c>
      <c r="AB15" s="82" t="s">
        <v>1688</v>
      </c>
      <c r="AC15" s="189">
        <v>43558</v>
      </c>
      <c r="AD15" s="189" t="str">
        <f>Tabela232[[#This Row],[Situação3]]</f>
        <v>Em andamento</v>
      </c>
      <c r="AE15" s="82" t="s">
        <v>1443</v>
      </c>
      <c r="AF15" s="189" t="s">
        <v>1753</v>
      </c>
      <c r="AG15" s="189">
        <v>43559</v>
      </c>
      <c r="AH15" s="82" t="s">
        <v>1624</v>
      </c>
      <c r="AI15" s="59" t="s">
        <v>1514</v>
      </c>
      <c r="AJ15" s="59" t="s">
        <v>1515</v>
      </c>
      <c r="AK15" s="15" t="s">
        <v>78</v>
      </c>
      <c r="AL15" s="15" t="s">
        <v>60</v>
      </c>
      <c r="AM15" s="32" t="s">
        <v>60</v>
      </c>
      <c r="AN15" s="153">
        <f>INDEX('Simec OT - 020718'!$AX$1:$AX$137,MATCH(Tabela232[[#This Row],[ID obra]],'Simec OT - 020718'!$A$1:$A$137,0))</f>
        <v>819392.35</v>
      </c>
      <c r="AO15" s="129">
        <v>12229.64</v>
      </c>
      <c r="AP15" s="156">
        <f>IF(COUNTIF(AO$2:AO15,AO15)=1,1,0)</f>
        <v>0</v>
      </c>
      <c r="AQ15" s="156">
        <f t="shared" si="0"/>
        <v>2</v>
      </c>
      <c r="AR15" s="129">
        <f>Tabela232[[#This Row],[Saldo da conta 07/2018]]/Tabela232[[#This Row],[formel2]]</f>
        <v>6114.82</v>
      </c>
      <c r="AS15" s="129">
        <f>INDEX('[1]Total repassado por obra'!$D$2:$D$127,MATCH(Tabela232[[#This Row],[ID obra]],'[1]Total repassado por obra'!$B$2:$B$127,0))</f>
        <v>1121614</v>
      </c>
      <c r="AT15" s="129">
        <v>1121614</v>
      </c>
      <c r="AU15" s="32" t="s">
        <v>100</v>
      </c>
      <c r="AV15" s="32" t="s">
        <v>331</v>
      </c>
      <c r="AW15" s="32">
        <v>2016</v>
      </c>
      <c r="AX15" s="32" t="s">
        <v>59</v>
      </c>
      <c r="AY15" s="32"/>
      <c r="AZ15" s="32">
        <f>Tabela232[[#This Row],[Duração final]]-Tabela232[[#This Row],[Duração prevista]]</f>
        <v>390</v>
      </c>
      <c r="BA15" s="32" t="s">
        <v>78</v>
      </c>
      <c r="BB15" s="106" t="s">
        <v>103</v>
      </c>
      <c r="BC15" s="21">
        <v>42641</v>
      </c>
      <c r="BD15" s="21">
        <v>42986</v>
      </c>
      <c r="BE15" s="21">
        <v>43376</v>
      </c>
      <c r="BF15" s="30">
        <v>345</v>
      </c>
      <c r="BG15" s="30">
        <v>735</v>
      </c>
      <c r="BH15" s="19" t="s">
        <v>104</v>
      </c>
      <c r="BI15" s="109">
        <v>2019717.62</v>
      </c>
      <c r="BJ15" s="32" t="s">
        <v>59</v>
      </c>
      <c r="BK15" s="32" t="s">
        <v>59</v>
      </c>
      <c r="BL15" s="32" t="s">
        <v>59</v>
      </c>
      <c r="BM15" s="32" t="s">
        <v>59</v>
      </c>
      <c r="BN15" s="32" t="s">
        <v>59</v>
      </c>
      <c r="BO15" s="32" t="s">
        <v>59</v>
      </c>
      <c r="BP15" s="32" t="s">
        <v>59</v>
      </c>
      <c r="BQ15" s="32" t="s">
        <v>59</v>
      </c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</row>
    <row r="16" spans="1:85">
      <c r="A16" s="14" t="s">
        <v>98</v>
      </c>
      <c r="B16" s="14" t="s">
        <v>55</v>
      </c>
      <c r="C16" s="14" t="s">
        <v>60</v>
      </c>
      <c r="D16" s="15">
        <v>1010390</v>
      </c>
      <c r="E16" s="14" t="s">
        <v>105</v>
      </c>
      <c r="F16" s="14"/>
      <c r="G16" s="15" t="s">
        <v>332</v>
      </c>
      <c r="H16" s="16" t="s">
        <v>67</v>
      </c>
      <c r="I16" s="18">
        <v>36.94</v>
      </c>
      <c r="J16" s="48" t="s">
        <v>59</v>
      </c>
      <c r="K16" s="58" t="s">
        <v>1443</v>
      </c>
      <c r="L16" s="60">
        <v>36.96</v>
      </c>
      <c r="M16" s="20">
        <v>43100</v>
      </c>
      <c r="N16" s="82">
        <v>0</v>
      </c>
      <c r="O16" s="82">
        <f>IF(Tabela232[[#This Row],[Situação2]]=Tabela232[[#This Row],[Situação]],0,1)</f>
        <v>1</v>
      </c>
      <c r="P16" s="81" t="s">
        <v>1443</v>
      </c>
      <c r="Q16" s="85">
        <v>0.63170000000000004</v>
      </c>
      <c r="R16" s="86">
        <v>43267</v>
      </c>
      <c r="S16" s="84">
        <v>0</v>
      </c>
      <c r="T16" s="82"/>
      <c r="U16" s="76" t="s">
        <v>1443</v>
      </c>
      <c r="V16" s="76" t="s">
        <v>1041</v>
      </c>
      <c r="W16" s="98">
        <v>43297</v>
      </c>
      <c r="X16" s="82">
        <f>IF(Tabela232[[#This Row],[Situação3]]=Tabela232[[#This Row],[Situação4]],0,1)</f>
        <v>0</v>
      </c>
      <c r="Y16" s="82"/>
      <c r="Z16" s="82">
        <v>0</v>
      </c>
      <c r="AA16" s="82" t="s">
        <v>89</v>
      </c>
      <c r="AB16" s="82" t="s">
        <v>1685</v>
      </c>
      <c r="AC16" s="189">
        <v>43350</v>
      </c>
      <c r="AD16" s="189" t="s">
        <v>89</v>
      </c>
      <c r="AE16" s="82" t="s">
        <v>89</v>
      </c>
      <c r="AF16" s="189" t="s">
        <v>1063</v>
      </c>
      <c r="AG16" s="189" t="s">
        <v>1754</v>
      </c>
      <c r="AH16" s="82"/>
      <c r="AI16" s="59" t="s">
        <v>1513</v>
      </c>
      <c r="AJ16" s="14" t="s">
        <v>1619</v>
      </c>
      <c r="AK16" s="15" t="s">
        <v>60</v>
      </c>
      <c r="AL16" s="15" t="s">
        <v>60</v>
      </c>
      <c r="AM16" s="32" t="s">
        <v>60</v>
      </c>
      <c r="AN16" s="153">
        <f>INDEX('Simec OT - 020718'!$AX$1:$AX$137,MATCH(Tabela232[[#This Row],[ID obra]],'Simec OT - 020718'!$A$1:$A$137,0))</f>
        <v>888782.78</v>
      </c>
      <c r="AO16" s="129">
        <v>279.20999999999998</v>
      </c>
      <c r="AP16" s="156">
        <f>IF(COUNTIF(AO$2:AO16,AO16)=1,1,0)</f>
        <v>1</v>
      </c>
      <c r="AQ16" s="156">
        <f t="shared" si="0"/>
        <v>1</v>
      </c>
      <c r="AR16" s="129">
        <f>Tabela232[[#This Row],[Saldo da conta 07/2018]]/Tabela232[[#This Row],[formel2]]</f>
        <v>279.20999999999998</v>
      </c>
      <c r="AS16" s="129">
        <f>INDEX('[1]Total repassado por obra'!$D$2:$D$127,MATCH(Tabela232[[#This Row],[ID obra]],'[1]Total repassado por obra'!$B$2:$B$127,0))</f>
        <v>993746</v>
      </c>
      <c r="AT16" s="129">
        <v>993746</v>
      </c>
      <c r="AU16" s="32" t="s">
        <v>106</v>
      </c>
      <c r="AV16" s="32" t="s">
        <v>332</v>
      </c>
      <c r="AW16" s="32">
        <v>2015</v>
      </c>
      <c r="AX16" s="32">
        <v>2018</v>
      </c>
      <c r="AY16" s="32">
        <f>Tabela232[[#This Row],[Ano de entrega]]-Tabela232[[#This Row],[Ano de início da obra]]</f>
        <v>3</v>
      </c>
      <c r="AZ16" s="32">
        <f>Tabela232[[#This Row],[Duração final]]-Tabela232[[#This Row],[Duração prevista]]</f>
        <v>150</v>
      </c>
      <c r="BA16" s="32" t="s">
        <v>60</v>
      </c>
      <c r="BB16" s="106" t="s">
        <v>107</v>
      </c>
      <c r="BC16" s="110">
        <v>42129</v>
      </c>
      <c r="BD16" s="110">
        <v>42405</v>
      </c>
      <c r="BE16" s="110">
        <v>42555</v>
      </c>
      <c r="BF16" s="114">
        <f>Tabela232[[#This Row],[Término inicial]]-Tabela232[[#This Row],[Início]]</f>
        <v>276</v>
      </c>
      <c r="BG16" s="114">
        <f>Tabela232[[#This Row],[Término final]]-Tabela232[[#This Row],[Início]]</f>
        <v>426</v>
      </c>
      <c r="BH16" s="109">
        <v>1020354.39</v>
      </c>
      <c r="BI16" s="109">
        <v>1020354.39</v>
      </c>
      <c r="BJ16" s="120" t="s">
        <v>103</v>
      </c>
      <c r="BK16" s="21">
        <v>42933</v>
      </c>
      <c r="BL16" s="21">
        <v>43173</v>
      </c>
      <c r="BM16" s="110">
        <v>43448</v>
      </c>
      <c r="BN16" s="32">
        <v>240</v>
      </c>
      <c r="BO16" s="111">
        <f>Tabela232[[#This Row],[Término final15]]-Tabela232[[#This Row],[Início13]]</f>
        <v>515</v>
      </c>
      <c r="BP16" s="19">
        <v>688408.94</v>
      </c>
      <c r="BQ16" s="109">
        <v>771351.78</v>
      </c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</row>
    <row r="17" spans="1:85">
      <c r="A17" s="14" t="s">
        <v>108</v>
      </c>
      <c r="B17" s="14" t="s">
        <v>55</v>
      </c>
      <c r="C17" s="14" t="s">
        <v>60</v>
      </c>
      <c r="D17" s="14">
        <v>1004230</v>
      </c>
      <c r="E17" s="14" t="s">
        <v>109</v>
      </c>
      <c r="F17" s="14"/>
      <c r="G17" s="15" t="s">
        <v>332</v>
      </c>
      <c r="H17" s="16" t="s">
        <v>1443</v>
      </c>
      <c r="I17" s="18">
        <v>65.180000000000007</v>
      </c>
      <c r="J17" s="48">
        <v>43015</v>
      </c>
      <c r="K17" s="58" t="s">
        <v>67</v>
      </c>
      <c r="L17" s="60">
        <v>65.489999999999995</v>
      </c>
      <c r="M17" s="17">
        <v>2018</v>
      </c>
      <c r="N17" s="82">
        <v>0</v>
      </c>
      <c r="O17" s="82">
        <f>IF(Tabela232[[#This Row],[Situação2]]=Tabela232[[#This Row],[Situação]],0,1)</f>
        <v>1</v>
      </c>
      <c r="P17" s="89" t="s">
        <v>67</v>
      </c>
      <c r="Q17" s="60"/>
      <c r="R17" s="60"/>
      <c r="S17" s="84">
        <v>0</v>
      </c>
      <c r="T17" s="82"/>
      <c r="U17" s="76" t="s">
        <v>1443</v>
      </c>
      <c r="V17" s="76" t="s">
        <v>1046</v>
      </c>
      <c r="W17" s="76">
        <v>43388</v>
      </c>
      <c r="X17" s="82">
        <f>IF(Tabela232[[#This Row],[Situação3]]=Tabela232[[#This Row],[Situação4]],0,1)</f>
        <v>1</v>
      </c>
      <c r="Y17" s="82"/>
      <c r="Z17" s="82">
        <v>0</v>
      </c>
      <c r="AA17" s="82" t="s">
        <v>1443</v>
      </c>
      <c r="AB17" s="82" t="s">
        <v>1704</v>
      </c>
      <c r="AC17" s="189">
        <v>43448</v>
      </c>
      <c r="AD17" s="189" t="s">
        <v>1443</v>
      </c>
      <c r="AE17" s="82" t="s">
        <v>89</v>
      </c>
      <c r="AF17" s="189" t="s">
        <v>1063</v>
      </c>
      <c r="AG17" s="189">
        <v>43449</v>
      </c>
      <c r="AH17" s="82"/>
      <c r="AI17" s="59" t="s">
        <v>1508</v>
      </c>
      <c r="AJ17" s="14" t="s">
        <v>1510</v>
      </c>
      <c r="AK17" s="15" t="s">
        <v>78</v>
      </c>
      <c r="AL17" s="15" t="s">
        <v>60</v>
      </c>
      <c r="AM17" s="32" t="s">
        <v>60</v>
      </c>
      <c r="AN17" s="153">
        <f>INDEX('Simec OT - 020718'!$AX$1:$AX$137,MATCH(Tabela232[[#This Row],[ID obra]],'Simec OT - 020718'!$A$1:$A$137,0))</f>
        <v>519271.48</v>
      </c>
      <c r="AO17" s="129">
        <v>40667.49</v>
      </c>
      <c r="AP17" s="156">
        <f>IF(COUNTIF(AO$2:AO17,AO17)=1,1,0)</f>
        <v>1</v>
      </c>
      <c r="AQ17" s="156">
        <f t="shared" si="0"/>
        <v>1</v>
      </c>
      <c r="AR17" s="129">
        <f>Tabela232[[#This Row],[Saldo da conta 07/2018]]/Tabela232[[#This Row],[formel2]]</f>
        <v>40667.49</v>
      </c>
      <c r="AS17" s="129">
        <f>INDEX('[1]Total repassado por obra'!$D$2:$D$127,MATCH(Tabela232[[#This Row],[ID obra]],'[1]Total repassado por obra'!$B$2:$B$127,0))</f>
        <v>781396</v>
      </c>
      <c r="AT17" s="129">
        <v>781396</v>
      </c>
      <c r="AU17" s="32" t="s">
        <v>110</v>
      </c>
      <c r="AV17" s="32" t="s">
        <v>332</v>
      </c>
      <c r="AW17" s="32">
        <v>2015</v>
      </c>
      <c r="AX17" s="32">
        <v>2018</v>
      </c>
      <c r="AY17" s="32">
        <f>Tabela232[[#This Row],[Ano de entrega]]-Tabela232[[#This Row],[Ano de início da obra]]</f>
        <v>3</v>
      </c>
      <c r="AZ17" s="32">
        <f>Tabela232[[#This Row],[Duração final]]-Tabela232[[#This Row],[Duração prevista]]</f>
        <v>487</v>
      </c>
      <c r="BA17" s="32" t="s">
        <v>60</v>
      </c>
      <c r="BB17" s="106" t="s">
        <v>1509</v>
      </c>
      <c r="BC17" s="21">
        <v>42019</v>
      </c>
      <c r="BD17" s="21">
        <v>42439</v>
      </c>
      <c r="BE17" s="21">
        <v>42926</v>
      </c>
      <c r="BF17" s="30">
        <v>420</v>
      </c>
      <c r="BG17" s="30">
        <v>907</v>
      </c>
      <c r="BH17" s="19">
        <v>1173869.3</v>
      </c>
      <c r="BI17" s="19">
        <v>1269649.76</v>
      </c>
      <c r="BJ17" s="120" t="s">
        <v>1053</v>
      </c>
      <c r="BK17" s="21">
        <v>43208</v>
      </c>
      <c r="BL17" s="21">
        <v>43388</v>
      </c>
      <c r="BM17" s="21">
        <v>43388</v>
      </c>
      <c r="BN17" s="32">
        <v>180</v>
      </c>
      <c r="BO17" s="32">
        <v>180</v>
      </c>
      <c r="BP17" s="19">
        <v>771271.52</v>
      </c>
      <c r="BQ17" s="19">
        <v>771271.52</v>
      </c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</row>
    <row r="18" spans="1:85">
      <c r="A18" s="14" t="s">
        <v>108</v>
      </c>
      <c r="B18" s="14" t="s">
        <v>55</v>
      </c>
      <c r="C18" s="14" t="s">
        <v>60</v>
      </c>
      <c r="D18" s="14">
        <v>1005696</v>
      </c>
      <c r="E18" s="14" t="s">
        <v>111</v>
      </c>
      <c r="F18" s="14"/>
      <c r="G18" s="15" t="s">
        <v>331</v>
      </c>
      <c r="H18" s="16" t="s">
        <v>64</v>
      </c>
      <c r="I18" s="18">
        <v>0</v>
      </c>
      <c r="J18" s="48" t="s">
        <v>59</v>
      </c>
      <c r="K18" s="58" t="s">
        <v>64</v>
      </c>
      <c r="L18" s="60" t="s">
        <v>59</v>
      </c>
      <c r="M18" s="17">
        <v>2018</v>
      </c>
      <c r="N18" s="81">
        <v>1</v>
      </c>
      <c r="O18" s="149">
        <f>IF(Tabela232[[#This Row],[Situação2]]=Tabela232[[#This Row],[Situação]],0,1)</f>
        <v>0</v>
      </c>
      <c r="P18" s="81" t="s">
        <v>64</v>
      </c>
      <c r="Q18" s="60"/>
      <c r="R18" s="60"/>
      <c r="S18" s="61">
        <v>1</v>
      </c>
      <c r="T18" s="96">
        <f>2018-Tabela232[[#This Row],[Ano do convênio]]</f>
        <v>5</v>
      </c>
      <c r="U18" s="76" t="s">
        <v>64</v>
      </c>
      <c r="V18" s="76" t="s">
        <v>988</v>
      </c>
      <c r="W18" s="76" t="s">
        <v>59</v>
      </c>
      <c r="X18" s="82">
        <f>IF(Tabela232[[#This Row],[Situação3]]=Tabela232[[#This Row],[Situação4]],0,1)</f>
        <v>0</v>
      </c>
      <c r="Y18" s="82"/>
      <c r="Z18" s="82"/>
      <c r="AA18" s="82" t="s">
        <v>204</v>
      </c>
      <c r="AB18" s="82" t="s">
        <v>988</v>
      </c>
      <c r="AC18" s="82">
        <v>0</v>
      </c>
      <c r="AD18" s="189" t="s">
        <v>1443</v>
      </c>
      <c r="AE18" s="82" t="s">
        <v>1443</v>
      </c>
      <c r="AF18" s="189" t="s">
        <v>1755</v>
      </c>
      <c r="AG18" s="189">
        <v>43646</v>
      </c>
      <c r="AH18" s="82" t="s">
        <v>1624</v>
      </c>
      <c r="AI18" s="14" t="s">
        <v>59</v>
      </c>
      <c r="AJ18" s="14"/>
      <c r="AK18" s="15" t="s">
        <v>78</v>
      </c>
      <c r="AL18" s="15" t="s">
        <v>78</v>
      </c>
      <c r="AM18" s="32" t="s">
        <v>60</v>
      </c>
      <c r="AN18" s="153">
        <f>INDEX('Simec OT - 020718'!$AX$1:$AX$137,MATCH(Tabela232[[#This Row],[ID obra]],'Simec OT - 020718'!$A$1:$A$137,0))</f>
        <v>375680.39</v>
      </c>
      <c r="AO18" s="129">
        <v>511417.93</v>
      </c>
      <c r="AP18" s="156">
        <f>IF(COUNTIF(AO$2:AO18,AO18)=1,1,0)</f>
        <v>1</v>
      </c>
      <c r="AQ18" s="156">
        <f t="shared" si="0"/>
        <v>1</v>
      </c>
      <c r="AR18" s="129">
        <f>Tabela232[[#This Row],[Saldo da conta 07/2018]]/Tabela232[[#This Row],[formel2]]</f>
        <v>511417.93</v>
      </c>
      <c r="AS18" s="129">
        <f>INDEX('[1]Total repassado por obra'!$D$2:$D$127,MATCH(Tabela232[[#This Row],[ID obra]],'[1]Total repassado por obra'!$B$2:$B$127,0))</f>
        <v>461693</v>
      </c>
      <c r="AT18" s="129">
        <v>461693</v>
      </c>
      <c r="AU18" s="32" t="s">
        <v>112</v>
      </c>
      <c r="AV18" s="32" t="s">
        <v>331</v>
      </c>
      <c r="AW18" s="32" t="s">
        <v>59</v>
      </c>
      <c r="AX18" s="32" t="s">
        <v>59</v>
      </c>
      <c r="AY18" s="32"/>
      <c r="AZ18" s="32"/>
      <c r="BA18" s="32" t="s">
        <v>78</v>
      </c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</row>
    <row r="19" spans="1:85">
      <c r="A19" s="14" t="s">
        <v>108</v>
      </c>
      <c r="B19" s="14" t="s">
        <v>55</v>
      </c>
      <c r="C19" s="14" t="s">
        <v>60</v>
      </c>
      <c r="D19" s="14">
        <v>1006985</v>
      </c>
      <c r="E19" s="27" t="s">
        <v>113</v>
      </c>
      <c r="F19" s="14"/>
      <c r="G19" s="15" t="s">
        <v>331</v>
      </c>
      <c r="H19" s="16" t="s">
        <v>64</v>
      </c>
      <c r="I19" s="18">
        <v>0</v>
      </c>
      <c r="J19" s="48" t="s">
        <v>59</v>
      </c>
      <c r="K19" s="58" t="s">
        <v>64</v>
      </c>
      <c r="L19" s="60" t="s">
        <v>59</v>
      </c>
      <c r="M19" s="17">
        <v>2018</v>
      </c>
      <c r="N19" s="81">
        <v>1</v>
      </c>
      <c r="O19" s="149">
        <f>IF(Tabela232[[#This Row],[Situação2]]=Tabela232[[#This Row],[Situação]],0,1)</f>
        <v>0</v>
      </c>
      <c r="P19" s="81" t="s">
        <v>64</v>
      </c>
      <c r="Q19" s="60"/>
      <c r="R19" s="60"/>
      <c r="S19" s="61">
        <v>1</v>
      </c>
      <c r="T19" s="96">
        <f>2018-Tabela232[[#This Row],[Ano do convênio]]</f>
        <v>5</v>
      </c>
      <c r="U19" s="76" t="s">
        <v>64</v>
      </c>
      <c r="V19" s="76" t="s">
        <v>988</v>
      </c>
      <c r="W19" s="76" t="s">
        <v>59</v>
      </c>
      <c r="X19" s="82">
        <f>IF(Tabela232[[#This Row],[Situação3]]=Tabela232[[#This Row],[Situação4]],0,1)</f>
        <v>0</v>
      </c>
      <c r="Y19" s="82"/>
      <c r="Z19" s="82"/>
      <c r="AA19" s="82" t="s">
        <v>204</v>
      </c>
      <c r="AB19" s="82" t="s">
        <v>988</v>
      </c>
      <c r="AC19" s="82">
        <v>0</v>
      </c>
      <c r="AD19" s="82" t="s">
        <v>1719</v>
      </c>
      <c r="AE19" s="82" t="s">
        <v>1443</v>
      </c>
      <c r="AF19" s="211">
        <v>6.5</v>
      </c>
      <c r="AG19" s="189">
        <v>43745</v>
      </c>
      <c r="AH19" s="82" t="s">
        <v>1624</v>
      </c>
      <c r="AI19" s="14" t="s">
        <v>59</v>
      </c>
      <c r="AJ19" s="14"/>
      <c r="AK19" s="15" t="s">
        <v>78</v>
      </c>
      <c r="AL19" s="15" t="s">
        <v>78</v>
      </c>
      <c r="AM19" s="32" t="s">
        <v>60</v>
      </c>
      <c r="AN19" s="153">
        <f>INDEX('Simec OT - 020718'!$AX$1:$AX$137,MATCH(Tabela232[[#This Row],[ID obra]],'Simec OT - 020718'!$A$1:$A$137,0))</f>
        <v>373585</v>
      </c>
      <c r="AO19" s="129">
        <v>500982.52</v>
      </c>
      <c r="AP19" s="156">
        <f>IF(COUNTIF(AO$2:AO19,AO19)=1,1,0)</f>
        <v>1</v>
      </c>
      <c r="AQ19" s="156">
        <f t="shared" si="0"/>
        <v>1</v>
      </c>
      <c r="AR19" s="129">
        <f>Tabela232[[#This Row],[Saldo da conta 07/2018]]/Tabela232[[#This Row],[formel2]]</f>
        <v>500982.52</v>
      </c>
      <c r="AS19" s="129">
        <f>INDEX('[1]Total repassado por obra'!$D$2:$D$127,MATCH(Tabela232[[#This Row],[ID obra]],'[1]Total repassado por obra'!$B$2:$B$127,0))</f>
        <v>454293</v>
      </c>
      <c r="AT19" s="129">
        <v>454293</v>
      </c>
      <c r="AU19" s="32" t="s">
        <v>114</v>
      </c>
      <c r="AV19" s="32" t="s">
        <v>331</v>
      </c>
      <c r="AW19" s="32" t="s">
        <v>59</v>
      </c>
      <c r="AX19" s="32" t="s">
        <v>59</v>
      </c>
      <c r="AY19" s="32"/>
      <c r="AZ19" s="32"/>
      <c r="BA19" s="32" t="s">
        <v>78</v>
      </c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</row>
    <row r="20" spans="1:85">
      <c r="A20" s="14" t="s">
        <v>108</v>
      </c>
      <c r="B20" s="14" t="s">
        <v>55</v>
      </c>
      <c r="C20" s="14" t="s">
        <v>60</v>
      </c>
      <c r="D20" s="14">
        <v>1016714</v>
      </c>
      <c r="E20" s="14" t="s">
        <v>115</v>
      </c>
      <c r="F20" s="14"/>
      <c r="G20" s="15" t="s">
        <v>332</v>
      </c>
      <c r="H20" s="16" t="s">
        <v>1443</v>
      </c>
      <c r="I20" s="18">
        <v>76.91</v>
      </c>
      <c r="J20" s="48">
        <v>42904</v>
      </c>
      <c r="K20" s="58" t="s">
        <v>1443</v>
      </c>
      <c r="L20" s="60">
        <v>86.3</v>
      </c>
      <c r="M20" s="17"/>
      <c r="N20" s="82">
        <v>0</v>
      </c>
      <c r="O20" s="82">
        <f>IF(Tabela232[[#This Row],[Situação2]]=Tabela232[[#This Row],[Situação]],0,1)</f>
        <v>0</v>
      </c>
      <c r="P20" s="81" t="s">
        <v>89</v>
      </c>
      <c r="Q20" s="60">
        <v>100</v>
      </c>
      <c r="R20" s="60"/>
      <c r="S20" s="84">
        <v>0</v>
      </c>
      <c r="T20" s="82"/>
      <c r="U20" s="76" t="s">
        <v>89</v>
      </c>
      <c r="V20" s="76" t="s">
        <v>1063</v>
      </c>
      <c r="W20" s="76">
        <v>42964</v>
      </c>
      <c r="X20" s="82">
        <f>IF(Tabela232[[#This Row],[Situação3]]=Tabela232[[#This Row],[Situação4]],0,1)</f>
        <v>0</v>
      </c>
      <c r="Y20" s="82"/>
      <c r="Z20" s="82">
        <v>0</v>
      </c>
      <c r="AA20" s="82" t="s">
        <v>89</v>
      </c>
      <c r="AB20" s="82" t="s">
        <v>1063</v>
      </c>
      <c r="AC20" s="189">
        <v>42964</v>
      </c>
      <c r="AD20" s="189" t="str">
        <f>Tabela232[[#This Row],[Situação3]]</f>
        <v>Concluída</v>
      </c>
      <c r="AE20" s="82" t="s">
        <v>89</v>
      </c>
      <c r="AF20" s="189" t="s">
        <v>1063</v>
      </c>
      <c r="AG20" s="189">
        <v>42964</v>
      </c>
      <c r="AH20" s="82"/>
      <c r="AI20" s="59" t="s">
        <v>116</v>
      </c>
      <c r="AJ20" s="14" t="s">
        <v>1511</v>
      </c>
      <c r="AK20" s="15" t="s">
        <v>60</v>
      </c>
      <c r="AL20" s="15" t="s">
        <v>60</v>
      </c>
      <c r="AM20" s="32" t="s">
        <v>60</v>
      </c>
      <c r="AN20" s="153">
        <f>INDEX('Simec OT - 020718'!$AX$1:$AX$137,MATCH(Tabela232[[#This Row],[ID obra]],'Simec OT - 020718'!$A$1:$A$137,0))</f>
        <v>998599</v>
      </c>
      <c r="AO20" s="129">
        <v>163714.99</v>
      </c>
      <c r="AP20" s="156">
        <f>IF(COUNTIF(AO$2:AO20,AO20)=1,1,0)</f>
        <v>1</v>
      </c>
      <c r="AQ20" s="156">
        <f t="shared" si="0"/>
        <v>1</v>
      </c>
      <c r="AR20" s="129">
        <f>Tabela232[[#This Row],[Saldo da conta 07/2018]]/Tabela232[[#This Row],[formel2]]</f>
        <v>163714.99</v>
      </c>
      <c r="AS20" s="129">
        <f>INDEX('[1]Total repassado por obra'!$D$2:$D$127,MATCH(Tabela232[[#This Row],[ID obra]],'[1]Total repassado por obra'!$B$2:$B$127,0))</f>
        <v>1052710</v>
      </c>
      <c r="AT20" s="129">
        <v>1052710</v>
      </c>
      <c r="AU20" s="32" t="s">
        <v>117</v>
      </c>
      <c r="AV20" s="32" t="s">
        <v>332</v>
      </c>
      <c r="AW20" s="32">
        <v>2015</v>
      </c>
      <c r="AX20" s="32">
        <v>2017</v>
      </c>
      <c r="AY20" s="32">
        <f>Tabela232[[#This Row],[Ano de entrega]]-Tabela232[[#This Row],[Ano de início da obra]]</f>
        <v>2</v>
      </c>
      <c r="AZ20" s="32">
        <f>Tabela232[[#This Row],[Duração final]]-Tabela232[[#This Row],[Duração prevista]]</f>
        <v>675</v>
      </c>
      <c r="BA20" s="32" t="s">
        <v>78</v>
      </c>
      <c r="BB20" s="106" t="s">
        <v>118</v>
      </c>
      <c r="BC20" s="21">
        <v>41989</v>
      </c>
      <c r="BD20" s="21">
        <v>42409</v>
      </c>
      <c r="BE20" s="21">
        <v>43084</v>
      </c>
      <c r="BF20" s="30">
        <v>420</v>
      </c>
      <c r="BG20" s="30">
        <v>1095</v>
      </c>
      <c r="BH20" s="19">
        <v>1120651.57</v>
      </c>
      <c r="BI20" s="19">
        <v>1186692.6599999999</v>
      </c>
      <c r="BJ20" s="53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</row>
    <row r="21" spans="1:85">
      <c r="A21" s="14" t="s">
        <v>119</v>
      </c>
      <c r="B21" s="14" t="s">
        <v>86</v>
      </c>
      <c r="C21" s="14" t="s">
        <v>60</v>
      </c>
      <c r="D21" s="14">
        <v>1006367</v>
      </c>
      <c r="E21" s="14" t="s">
        <v>120</v>
      </c>
      <c r="F21" s="14"/>
      <c r="G21" s="15" t="s">
        <v>331</v>
      </c>
      <c r="H21" s="16" t="s">
        <v>64</v>
      </c>
      <c r="I21" s="18">
        <v>0</v>
      </c>
      <c r="J21" s="48" t="s">
        <v>59</v>
      </c>
      <c r="K21" s="58" t="s">
        <v>1443</v>
      </c>
      <c r="L21" s="60"/>
      <c r="M21" s="17"/>
      <c r="N21" s="82">
        <v>0</v>
      </c>
      <c r="O21" s="82">
        <f>IF(Tabela232[[#This Row],[Situação2]]=Tabela232[[#This Row],[Situação]],0,1)</f>
        <v>1</v>
      </c>
      <c r="P21" s="81" t="s">
        <v>1443</v>
      </c>
      <c r="Q21" s="60">
        <v>15.32</v>
      </c>
      <c r="R21" s="86">
        <v>43275</v>
      </c>
      <c r="S21" s="84">
        <v>0</v>
      </c>
      <c r="T21" s="82"/>
      <c r="U21" s="76" t="s">
        <v>1443</v>
      </c>
      <c r="V21" s="76" t="s">
        <v>1068</v>
      </c>
      <c r="W21" s="98">
        <v>43465</v>
      </c>
      <c r="X21" s="82">
        <f>IF(Tabela232[[#This Row],[Situação3]]=Tabela232[[#This Row],[Situação4]],0,1)</f>
        <v>0</v>
      </c>
      <c r="Y21" s="82"/>
      <c r="Z21" s="82"/>
      <c r="AA21" s="82" t="s">
        <v>1443</v>
      </c>
      <c r="AB21" s="82" t="s">
        <v>1705</v>
      </c>
      <c r="AC21" s="189">
        <v>43312</v>
      </c>
      <c r="AD21" s="189" t="str">
        <f>Tabela232[[#This Row],[Situação3]]</f>
        <v>Em andamento</v>
      </c>
      <c r="AE21" s="82" t="s">
        <v>1443</v>
      </c>
      <c r="AF21" s="189" t="s">
        <v>1756</v>
      </c>
      <c r="AG21" s="189" t="s">
        <v>1757</v>
      </c>
      <c r="AH21" s="82" t="s">
        <v>1623</v>
      </c>
      <c r="AI21" s="59" t="s">
        <v>121</v>
      </c>
      <c r="AJ21" s="14" t="s">
        <v>1512</v>
      </c>
      <c r="AK21" s="15" t="s">
        <v>60</v>
      </c>
      <c r="AL21" s="15" t="s">
        <v>60</v>
      </c>
      <c r="AM21" s="32" t="s">
        <v>60</v>
      </c>
      <c r="AN21" s="153">
        <f>INDEX('Simec OT - 020718'!$AX$1:$AX$137,MATCH(Tabela232[[#This Row],[ID obra]],'Simec OT - 020718'!$A$1:$A$137,0))</f>
        <v>755325.53</v>
      </c>
      <c r="AO21" s="129">
        <v>0</v>
      </c>
      <c r="AP21" s="156">
        <f>IF(COUNTIF(AO$2:AO21,AO21)=1,1,0)</f>
        <v>0</v>
      </c>
      <c r="AQ21" s="156">
        <f t="shared" si="0"/>
        <v>25</v>
      </c>
      <c r="AR21" s="129">
        <f>Tabela232[[#This Row],[Saldo da conta 07/2018]]/Tabela232[[#This Row],[formel2]]</f>
        <v>0</v>
      </c>
      <c r="AS21" s="129">
        <f>INDEX('[1]Total repassado por obra'!$D$2:$D$127,MATCH(Tabela232[[#This Row],[ID obra]],'[1]Total repassado por obra'!$B$2:$B$127,0))</f>
        <v>1223204</v>
      </c>
      <c r="AT21" s="129">
        <v>1223204</v>
      </c>
      <c r="AU21" s="32" t="s">
        <v>122</v>
      </c>
      <c r="AV21" s="32" t="s">
        <v>331</v>
      </c>
      <c r="AW21" s="32">
        <v>2017</v>
      </c>
      <c r="AX21" s="32" t="s">
        <v>59</v>
      </c>
      <c r="AY21" s="32"/>
      <c r="AZ21" s="32">
        <f>Tabela232[[#This Row],[Duração final]]-Tabela232[[#This Row],[Duração prevista]]</f>
        <v>300</v>
      </c>
      <c r="BA21" s="32" t="s">
        <v>78</v>
      </c>
      <c r="BB21" s="106" t="s">
        <v>123</v>
      </c>
      <c r="BC21" s="21">
        <v>42675</v>
      </c>
      <c r="BD21" s="21">
        <v>42975</v>
      </c>
      <c r="BE21" s="21">
        <v>43275</v>
      </c>
      <c r="BF21" s="30">
        <v>300</v>
      </c>
      <c r="BG21" s="30">
        <v>600</v>
      </c>
      <c r="BH21" s="19">
        <v>1732003.61</v>
      </c>
      <c r="BI21" s="19">
        <v>1732003.61</v>
      </c>
      <c r="BJ21" s="53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</row>
    <row r="22" spans="1:85">
      <c r="A22" s="14" t="s">
        <v>124</v>
      </c>
      <c r="B22" s="14" t="s">
        <v>55</v>
      </c>
      <c r="C22" s="14" t="s">
        <v>60</v>
      </c>
      <c r="D22" s="14">
        <v>1009202</v>
      </c>
      <c r="E22" s="14" t="s">
        <v>125</v>
      </c>
      <c r="F22" s="14"/>
      <c r="G22" s="15" t="s">
        <v>331</v>
      </c>
      <c r="H22" s="16" t="s">
        <v>64</v>
      </c>
      <c r="I22" s="18">
        <v>0</v>
      </c>
      <c r="J22" s="48" t="s">
        <v>59</v>
      </c>
      <c r="K22" s="58" t="s">
        <v>64</v>
      </c>
      <c r="L22" s="60"/>
      <c r="M22" s="17"/>
      <c r="N22" s="81">
        <v>1</v>
      </c>
      <c r="O22" s="149">
        <f>IF(Tabela232[[#This Row],[Situação2]]=Tabela232[[#This Row],[Situação]],0,1)</f>
        <v>0</v>
      </c>
      <c r="P22" s="81" t="s">
        <v>1443</v>
      </c>
      <c r="Q22" s="60">
        <v>25.76</v>
      </c>
      <c r="R22" s="86">
        <v>43369</v>
      </c>
      <c r="S22" s="84">
        <v>0</v>
      </c>
      <c r="T22" s="82"/>
      <c r="U22" s="76" t="s">
        <v>1443</v>
      </c>
      <c r="V22" s="76" t="s">
        <v>1074</v>
      </c>
      <c r="W22" s="76">
        <v>43369</v>
      </c>
      <c r="X22" s="82">
        <f>IF(Tabela232[[#This Row],[Situação3]]=Tabela232[[#This Row],[Situação4]],0,1)</f>
        <v>0</v>
      </c>
      <c r="Y22" s="82"/>
      <c r="Z22" s="82"/>
      <c r="AA22" s="82" t="s">
        <v>1443</v>
      </c>
      <c r="AB22" s="82" t="s">
        <v>1689</v>
      </c>
      <c r="AC22" s="189">
        <v>43459</v>
      </c>
      <c r="AD22" s="189" t="str">
        <f>Tabela232[[#This Row],[Situação3]]</f>
        <v>Em andamento</v>
      </c>
      <c r="AE22" s="82" t="s">
        <v>1443</v>
      </c>
      <c r="AF22" s="189"/>
      <c r="AG22" s="189"/>
      <c r="AH22" s="82" t="s">
        <v>1625</v>
      </c>
      <c r="AI22" s="14" t="s">
        <v>126</v>
      </c>
      <c r="AJ22" s="14" t="s">
        <v>1530</v>
      </c>
      <c r="AK22" s="15" t="s">
        <v>78</v>
      </c>
      <c r="AL22" s="15" t="s">
        <v>78</v>
      </c>
      <c r="AM22" s="14"/>
      <c r="AN22" s="153">
        <f>INDEX('Simec OT - 020718'!$AX$1:$AX$137,MATCH(Tabela232[[#This Row],[ID obra]],'Simec OT - 020718'!$A$1:$A$137,0))</f>
        <v>370547.14</v>
      </c>
      <c r="AO22" s="130">
        <v>8685.5400000000009</v>
      </c>
      <c r="AP22" s="156">
        <f>IF(COUNTIF(AO$2:AO22,AO22)=1,1,0)</f>
        <v>1</v>
      </c>
      <c r="AQ22" s="156">
        <f t="shared" si="0"/>
        <v>4</v>
      </c>
      <c r="AR22" s="129">
        <f>Tabela232[[#This Row],[Saldo da conta 07/2018]]/Tabela232[[#This Row],[formel2]]</f>
        <v>2171.3850000000002</v>
      </c>
      <c r="AS22" s="129">
        <f>INDEX('[1]Total repassado por obra'!$D$2:$D$127,MATCH(Tabela232[[#This Row],[ID obra]],'[1]Total repassado por obra'!$B$2:$B$127,0))</f>
        <v>1033686</v>
      </c>
      <c r="AT22" s="129">
        <v>1033686</v>
      </c>
      <c r="AU22" s="32" t="s">
        <v>127</v>
      </c>
      <c r="AV22" s="32" t="s">
        <v>331</v>
      </c>
      <c r="AW22" s="32">
        <v>2017</v>
      </c>
      <c r="AX22" s="32" t="s">
        <v>59</v>
      </c>
      <c r="AY22" s="32"/>
      <c r="AZ22" s="32">
        <f>Tabela232[[#This Row],[Duração final]]-Tabela232[[#This Row],[Duração prevista]]</f>
        <v>0</v>
      </c>
      <c r="BA22" s="32" t="s">
        <v>78</v>
      </c>
      <c r="BB22" s="106" t="s">
        <v>118</v>
      </c>
      <c r="BC22" s="21">
        <v>43004</v>
      </c>
      <c r="BD22" s="21">
        <v>43369</v>
      </c>
      <c r="BE22" s="21">
        <v>43369</v>
      </c>
      <c r="BF22" s="30">
        <v>365</v>
      </c>
      <c r="BG22" s="30">
        <v>365</v>
      </c>
      <c r="BH22" s="19">
        <v>1598448.03</v>
      </c>
      <c r="BI22" s="19">
        <v>1598448.03</v>
      </c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</row>
    <row r="23" spans="1:85">
      <c r="A23" s="14" t="s">
        <v>124</v>
      </c>
      <c r="B23" s="14" t="s">
        <v>55</v>
      </c>
      <c r="C23" s="14" t="s">
        <v>60</v>
      </c>
      <c r="D23" s="14">
        <v>1009203</v>
      </c>
      <c r="E23" s="14" t="s">
        <v>128</v>
      </c>
      <c r="F23" s="14"/>
      <c r="G23" s="15" t="s">
        <v>331</v>
      </c>
      <c r="H23" s="16" t="s">
        <v>64</v>
      </c>
      <c r="I23" s="18">
        <v>0</v>
      </c>
      <c r="J23" s="48" t="s">
        <v>59</v>
      </c>
      <c r="K23" s="58" t="s">
        <v>64</v>
      </c>
      <c r="L23" s="60"/>
      <c r="M23" s="17"/>
      <c r="N23" s="81">
        <v>1</v>
      </c>
      <c r="O23" s="149">
        <f>IF(Tabela232[[#This Row],[Situação2]]=Tabela232[[#This Row],[Situação]],0,1)</f>
        <v>0</v>
      </c>
      <c r="P23" s="81" t="s">
        <v>1443</v>
      </c>
      <c r="Q23" s="60">
        <v>41.92</v>
      </c>
      <c r="R23" s="86">
        <v>43460</v>
      </c>
      <c r="S23" s="84">
        <v>0</v>
      </c>
      <c r="T23" s="82"/>
      <c r="U23" s="76" t="s">
        <v>1443</v>
      </c>
      <c r="V23" s="76" t="s">
        <v>1082</v>
      </c>
      <c r="W23" s="76">
        <v>43460</v>
      </c>
      <c r="X23" s="82">
        <f>IF(Tabela232[[#This Row],[Situação3]]=Tabela232[[#This Row],[Situação4]],0,1)</f>
        <v>0</v>
      </c>
      <c r="Y23" s="82"/>
      <c r="Z23" s="82"/>
      <c r="AA23" s="82" t="s">
        <v>1443</v>
      </c>
      <c r="AB23" s="82" t="s">
        <v>1690</v>
      </c>
      <c r="AC23" s="189">
        <v>43460</v>
      </c>
      <c r="AD23" s="189" t="str">
        <f>Tabela232[[#This Row],[Situação3]]</f>
        <v>Em andamento</v>
      </c>
      <c r="AE23" s="82" t="s">
        <v>89</v>
      </c>
      <c r="AF23" s="189" t="s">
        <v>1063</v>
      </c>
      <c r="AG23" s="189">
        <v>43510</v>
      </c>
      <c r="AH23" s="82" t="s">
        <v>1625</v>
      </c>
      <c r="AI23" s="14" t="s">
        <v>126</v>
      </c>
      <c r="AJ23" s="14" t="s">
        <v>1532</v>
      </c>
      <c r="AK23" s="15" t="s">
        <v>60</v>
      </c>
      <c r="AL23" s="15" t="s">
        <v>60</v>
      </c>
      <c r="AM23" s="14"/>
      <c r="AN23" s="153">
        <f>INDEX('Simec OT - 020718'!$AX$1:$AX$137,MATCH(Tabela232[[#This Row],[ID obra]],'Simec OT - 020718'!$A$1:$A$137,0))</f>
        <v>372799.64</v>
      </c>
      <c r="AO23" s="130">
        <v>8685.5400000000009</v>
      </c>
      <c r="AP23" s="156">
        <f>IF(COUNTIF(AO$2:AO23,AO23)=1,1,0)</f>
        <v>0</v>
      </c>
      <c r="AQ23" s="156">
        <f t="shared" si="0"/>
        <v>4</v>
      </c>
      <c r="AR23" s="129">
        <f>Tabela232[[#This Row],[Saldo da conta 07/2018]]/Tabela232[[#This Row],[formel2]]</f>
        <v>2171.3850000000002</v>
      </c>
      <c r="AS23" s="129">
        <f>INDEX('[1]Total repassado por obra'!$D$2:$D$127,MATCH(Tabela232[[#This Row],[ID obra]],'[1]Total repassado por obra'!$B$2:$B$127,0))</f>
        <v>453338</v>
      </c>
      <c r="AT23" s="129">
        <v>453338</v>
      </c>
      <c r="AU23" s="32" t="s">
        <v>127</v>
      </c>
      <c r="AV23" s="32" t="s">
        <v>331</v>
      </c>
      <c r="AW23" s="32">
        <v>2017</v>
      </c>
      <c r="AX23" s="32">
        <v>2019</v>
      </c>
      <c r="AY23" s="32">
        <f>Tabela232[[#This Row],[Ano de entrega]]-Tabela232[[#This Row],[Ano de início da obra]]</f>
        <v>2</v>
      </c>
      <c r="AZ23" s="32">
        <f>Tabela232[[#This Row],[Duração final]]-Tabela232[[#This Row],[Duração prevista]]</f>
        <v>180</v>
      </c>
      <c r="BA23" s="32" t="s">
        <v>78</v>
      </c>
      <c r="BB23" s="106" t="s">
        <v>1531</v>
      </c>
      <c r="BC23" s="21">
        <v>43004</v>
      </c>
      <c r="BD23" s="21">
        <v>43460</v>
      </c>
      <c r="BE23" s="216">
        <v>43640</v>
      </c>
      <c r="BF23" s="30">
        <v>456</v>
      </c>
      <c r="BG23" s="215">
        <v>636</v>
      </c>
      <c r="BH23" s="19">
        <v>2392547.15</v>
      </c>
      <c r="BI23" s="214">
        <v>2774252.07</v>
      </c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</row>
    <row r="24" spans="1:85">
      <c r="A24" s="14" t="s">
        <v>124</v>
      </c>
      <c r="B24" s="14" t="s">
        <v>55</v>
      </c>
      <c r="C24" s="14" t="s">
        <v>60</v>
      </c>
      <c r="D24" s="14">
        <v>1009204</v>
      </c>
      <c r="E24" s="14" t="s">
        <v>129</v>
      </c>
      <c r="F24" s="14"/>
      <c r="G24" s="15" t="s">
        <v>331</v>
      </c>
      <c r="H24" s="16" t="s">
        <v>64</v>
      </c>
      <c r="I24" s="18">
        <v>0</v>
      </c>
      <c r="J24" s="48" t="s">
        <v>59</v>
      </c>
      <c r="K24" s="58" t="s">
        <v>64</v>
      </c>
      <c r="L24" s="60"/>
      <c r="M24" s="17"/>
      <c r="N24" s="81">
        <v>1</v>
      </c>
      <c r="O24" s="149">
        <f>IF(Tabela232[[#This Row],[Situação2]]=Tabela232[[#This Row],[Situação]],0,1)</f>
        <v>0</v>
      </c>
      <c r="P24" s="81" t="s">
        <v>1443</v>
      </c>
      <c r="Q24" s="60">
        <v>16.010000000000002</v>
      </c>
      <c r="R24" s="86">
        <v>43460</v>
      </c>
      <c r="S24" s="84">
        <v>0</v>
      </c>
      <c r="T24" s="82"/>
      <c r="U24" s="76" t="s">
        <v>1443</v>
      </c>
      <c r="V24" s="76" t="s">
        <v>1086</v>
      </c>
      <c r="W24" s="76">
        <v>43460</v>
      </c>
      <c r="X24" s="82">
        <f>IF(Tabela232[[#This Row],[Situação3]]=Tabela232[[#This Row],[Situação4]],0,1)</f>
        <v>0</v>
      </c>
      <c r="Y24" s="82"/>
      <c r="Z24" s="82"/>
      <c r="AA24" s="82" t="s">
        <v>1443</v>
      </c>
      <c r="AB24" s="82" t="s">
        <v>1691</v>
      </c>
      <c r="AC24" s="189">
        <v>43460</v>
      </c>
      <c r="AD24" s="189" t="str">
        <f>Tabela232[[#This Row],[Situação3]]</f>
        <v>Em andamento</v>
      </c>
      <c r="AE24" s="82" t="s">
        <v>89</v>
      </c>
      <c r="AF24" s="189" t="s">
        <v>1063</v>
      </c>
      <c r="AG24" s="189">
        <v>43504</v>
      </c>
      <c r="AH24" s="82" t="s">
        <v>1625</v>
      </c>
      <c r="AI24" s="14" t="s">
        <v>126</v>
      </c>
      <c r="AJ24" s="14" t="s">
        <v>1534</v>
      </c>
      <c r="AK24" s="15" t="s">
        <v>60</v>
      </c>
      <c r="AL24" s="15" t="s">
        <v>60</v>
      </c>
      <c r="AM24" s="14"/>
      <c r="AN24" s="153">
        <f>INDEX('Simec OT - 020718'!$AX$1:$AX$137,MATCH(Tabela232[[#This Row],[ID obra]],'Simec OT - 020718'!$A$1:$A$137,0))</f>
        <v>370547.14</v>
      </c>
      <c r="AO24" s="130">
        <v>8685.5400000000009</v>
      </c>
      <c r="AP24" s="156">
        <f>IF(COUNTIF(AO$2:AO24,AO24)=1,1,0)</f>
        <v>0</v>
      </c>
      <c r="AQ24" s="156">
        <f t="shared" si="0"/>
        <v>4</v>
      </c>
      <c r="AR24" s="129">
        <f>Tabela232[[#This Row],[Saldo da conta 07/2018]]/Tabela232[[#This Row],[formel2]]</f>
        <v>2171.3850000000002</v>
      </c>
      <c r="AS24" s="129">
        <f>INDEX('[1]Total repassado por obra'!$D$2:$D$127,MATCH(Tabela232[[#This Row],[ID obra]],'[1]Total repassado por obra'!$B$2:$B$127,0))</f>
        <v>450598</v>
      </c>
      <c r="AT24" s="129">
        <v>450598</v>
      </c>
      <c r="AU24" s="32" t="s">
        <v>127</v>
      </c>
      <c r="AV24" s="32" t="s">
        <v>331</v>
      </c>
      <c r="AW24" s="32">
        <v>2017</v>
      </c>
      <c r="AX24" s="32">
        <v>2019</v>
      </c>
      <c r="AY24" s="32">
        <f>Tabela232[[#This Row],[Ano de entrega]]-Tabela232[[#This Row],[Ano de início da obra]]</f>
        <v>2</v>
      </c>
      <c r="AZ24" s="32">
        <f>Tabela232[[#This Row],[Duração final]]-Tabela232[[#This Row],[Duração prevista]]</f>
        <v>180</v>
      </c>
      <c r="BA24" s="32" t="s">
        <v>78</v>
      </c>
      <c r="BB24" s="106" t="s">
        <v>1087</v>
      </c>
      <c r="BC24" s="21">
        <v>43004</v>
      </c>
      <c r="BD24" s="21">
        <v>43460</v>
      </c>
      <c r="BE24" s="216">
        <v>43640</v>
      </c>
      <c r="BF24" s="30">
        <v>456</v>
      </c>
      <c r="BG24" s="215">
        <v>636</v>
      </c>
      <c r="BH24" s="19" t="s">
        <v>1533</v>
      </c>
      <c r="BI24" s="214">
        <v>2609995.35</v>
      </c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</row>
    <row r="25" spans="1:85">
      <c r="A25" s="14" t="s">
        <v>124</v>
      </c>
      <c r="B25" s="14" t="s">
        <v>55</v>
      </c>
      <c r="C25" s="14" t="s">
        <v>60</v>
      </c>
      <c r="D25" s="14">
        <v>1009205</v>
      </c>
      <c r="E25" s="14" t="s">
        <v>130</v>
      </c>
      <c r="F25" s="14"/>
      <c r="G25" s="15" t="s">
        <v>331</v>
      </c>
      <c r="H25" s="16" t="s">
        <v>64</v>
      </c>
      <c r="I25" s="18">
        <v>0</v>
      </c>
      <c r="J25" s="48" t="s">
        <v>59</v>
      </c>
      <c r="K25" s="58" t="s">
        <v>64</v>
      </c>
      <c r="L25" s="60"/>
      <c r="M25" s="17"/>
      <c r="N25" s="81">
        <v>1</v>
      </c>
      <c r="O25" s="149">
        <f>IF(Tabela232[[#This Row],[Situação2]]=Tabela232[[#This Row],[Situação]],0,1)</f>
        <v>0</v>
      </c>
      <c r="P25" s="81" t="s">
        <v>64</v>
      </c>
      <c r="Q25" s="60"/>
      <c r="R25" s="60"/>
      <c r="S25" s="61">
        <v>1</v>
      </c>
      <c r="T25" s="96">
        <f>2018-Tabela232[[#This Row],[Ano do convênio]]</f>
        <v>5</v>
      </c>
      <c r="U25" s="76" t="s">
        <v>64</v>
      </c>
      <c r="V25" s="76" t="s">
        <v>988</v>
      </c>
      <c r="W25" s="76" t="s">
        <v>59</v>
      </c>
      <c r="X25" s="82">
        <f>IF(Tabela232[[#This Row],[Situação3]]=Tabela232[[#This Row],[Situação4]],0,1)</f>
        <v>0</v>
      </c>
      <c r="Y25" s="82"/>
      <c r="Z25" s="82"/>
      <c r="AA25" s="82" t="s">
        <v>204</v>
      </c>
      <c r="AB25" s="82" t="s">
        <v>988</v>
      </c>
      <c r="AC25" s="82">
        <v>0</v>
      </c>
      <c r="AD25" s="82" t="str">
        <f>Tabela232[[#This Row],[Situação3]]</f>
        <v>Não iniciada</v>
      </c>
      <c r="AE25" s="82" t="s">
        <v>1443</v>
      </c>
      <c r="AF25" s="82"/>
      <c r="AG25" s="189">
        <v>43742</v>
      </c>
      <c r="AH25" s="82" t="s">
        <v>1625</v>
      </c>
      <c r="AI25" s="14" t="s">
        <v>59</v>
      </c>
      <c r="AJ25" s="14"/>
      <c r="AK25" s="15" t="s">
        <v>78</v>
      </c>
      <c r="AL25" s="15" t="s">
        <v>78</v>
      </c>
      <c r="AM25" s="32" t="s">
        <v>60</v>
      </c>
      <c r="AN25" s="153">
        <f>INDEX('Simec OT - 020718'!$AX$1:$AX$137,MATCH(Tabela232[[#This Row],[ID obra]],'Simec OT - 020718'!$A$1:$A$137,0))</f>
        <v>370549.25</v>
      </c>
      <c r="AO25" s="129">
        <v>8685.5400000000009</v>
      </c>
      <c r="AP25" s="156">
        <f>IF(COUNTIF(AO$2:AO25,AO25)=1,1,0)</f>
        <v>0</v>
      </c>
      <c r="AQ25" s="156">
        <f t="shared" si="0"/>
        <v>4</v>
      </c>
      <c r="AR25" s="129">
        <f>Tabela232[[#This Row],[Saldo da conta 07/2018]]/Tabela232[[#This Row],[formel2]]</f>
        <v>2171.3850000000002</v>
      </c>
      <c r="AS25" s="129">
        <f>INDEX('[1]Total repassado por obra'!$D$2:$D$127,MATCH(Tabela232[[#This Row],[ID obra]],'[1]Total repassado por obra'!$B$2:$B$127,0))</f>
        <v>450601</v>
      </c>
      <c r="AT25" s="129">
        <v>450601</v>
      </c>
      <c r="AU25" s="32" t="s">
        <v>127</v>
      </c>
      <c r="AV25" s="32" t="s">
        <v>331</v>
      </c>
      <c r="AW25" s="32" t="s">
        <v>59</v>
      </c>
      <c r="AX25" s="32" t="s">
        <v>59</v>
      </c>
      <c r="AY25" s="32"/>
      <c r="AZ25" s="32"/>
      <c r="BA25" s="32" t="s">
        <v>78</v>
      </c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</row>
    <row r="26" spans="1:85">
      <c r="A26" s="14" t="s">
        <v>124</v>
      </c>
      <c r="B26" s="14" t="s">
        <v>55</v>
      </c>
      <c r="C26" s="14" t="s">
        <v>60</v>
      </c>
      <c r="D26" s="14">
        <v>1011101</v>
      </c>
      <c r="E26" s="14" t="s">
        <v>131</v>
      </c>
      <c r="F26" s="14"/>
      <c r="G26" s="15" t="s">
        <v>332</v>
      </c>
      <c r="H26" s="16" t="s">
        <v>64</v>
      </c>
      <c r="I26" s="18">
        <v>0</v>
      </c>
      <c r="J26" s="48" t="s">
        <v>59</v>
      </c>
      <c r="K26" s="58" t="s">
        <v>64</v>
      </c>
      <c r="L26" s="60"/>
      <c r="M26" s="17"/>
      <c r="N26" s="81">
        <v>1</v>
      </c>
      <c r="O26" s="149">
        <f>IF(Tabela232[[#This Row],[Situação2]]=Tabela232[[#This Row],[Situação]],0,1)</f>
        <v>0</v>
      </c>
      <c r="P26" s="81" t="s">
        <v>64</v>
      </c>
      <c r="Q26" s="60"/>
      <c r="R26" s="60"/>
      <c r="S26" s="61">
        <v>1</v>
      </c>
      <c r="T26" s="96">
        <f>2018-Tabela232[[#This Row],[Ano do convênio]]</f>
        <v>4</v>
      </c>
      <c r="U26" s="76" t="s">
        <v>64</v>
      </c>
      <c r="V26" s="76" t="s">
        <v>988</v>
      </c>
      <c r="W26" s="76" t="s">
        <v>59</v>
      </c>
      <c r="X26" s="82">
        <f>IF(Tabela232[[#This Row],[Situação3]]=Tabela232[[#This Row],[Situação4]],0,1)</f>
        <v>0</v>
      </c>
      <c r="Y26" s="82"/>
      <c r="Z26" s="82"/>
      <c r="AA26" s="82" t="s">
        <v>204</v>
      </c>
      <c r="AB26" s="82" t="s">
        <v>988</v>
      </c>
      <c r="AC26" s="82">
        <v>0</v>
      </c>
      <c r="AD26" s="82" t="str">
        <f>Tabela232[[#This Row],[Situação3]]</f>
        <v>Não iniciada</v>
      </c>
      <c r="AE26" s="82" t="s">
        <v>1443</v>
      </c>
      <c r="AF26" s="82"/>
      <c r="AG26" s="189">
        <v>43742</v>
      </c>
      <c r="AH26" s="82" t="s">
        <v>1623</v>
      </c>
      <c r="AI26" s="14" t="s">
        <v>59</v>
      </c>
      <c r="AJ26" s="14"/>
      <c r="AK26" s="15" t="s">
        <v>78</v>
      </c>
      <c r="AL26" s="15" t="s">
        <v>78</v>
      </c>
      <c r="AM26" s="15" t="s">
        <v>78</v>
      </c>
      <c r="AN26" s="153">
        <f>INDEX('Simec OT - 020718'!$AX$1:$AX$137,MATCH(Tabela232[[#This Row],[ID obra]],'Simec OT - 020718'!$A$1:$A$137,0))</f>
        <v>0</v>
      </c>
      <c r="AO26" s="129">
        <v>0</v>
      </c>
      <c r="AP26" s="156">
        <f>IF(COUNTIF(AO$2:AO26,AO26)=1,1,0)</f>
        <v>0</v>
      </c>
      <c r="AQ26" s="156">
        <f t="shared" si="0"/>
        <v>25</v>
      </c>
      <c r="AR26" s="129">
        <f>Tabela232[[#This Row],[Saldo da conta 07/2018]]/Tabela232[[#This Row],[formel2]]</f>
        <v>0</v>
      </c>
      <c r="AS26" s="126" t="s">
        <v>59</v>
      </c>
      <c r="AT26" s="129" t="s">
        <v>59</v>
      </c>
      <c r="AU26" s="32" t="s">
        <v>132</v>
      </c>
      <c r="AV26" s="32" t="s">
        <v>332</v>
      </c>
      <c r="AW26" s="32" t="s">
        <v>59</v>
      </c>
      <c r="AX26" s="32" t="s">
        <v>59</v>
      </c>
      <c r="AY26" s="32"/>
      <c r="AZ26" s="32"/>
      <c r="BA26" s="32" t="s">
        <v>78</v>
      </c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</row>
    <row r="27" spans="1:85">
      <c r="A27" s="14" t="s">
        <v>124</v>
      </c>
      <c r="B27" s="14" t="s">
        <v>55</v>
      </c>
      <c r="C27" s="14" t="s">
        <v>60</v>
      </c>
      <c r="D27" s="14">
        <v>1012814</v>
      </c>
      <c r="E27" s="14" t="s">
        <v>133</v>
      </c>
      <c r="F27" s="14"/>
      <c r="G27" s="15" t="s">
        <v>332</v>
      </c>
      <c r="H27" s="16" t="s">
        <v>64</v>
      </c>
      <c r="I27" s="18">
        <v>0</v>
      </c>
      <c r="J27" s="48" t="s">
        <v>59</v>
      </c>
      <c r="K27" s="58" t="s">
        <v>64</v>
      </c>
      <c r="L27" s="60"/>
      <c r="M27" s="17"/>
      <c r="N27" s="81">
        <v>1</v>
      </c>
      <c r="O27" s="149">
        <f>IF(Tabela232[[#This Row],[Situação2]]=Tabela232[[#This Row],[Situação]],0,1)</f>
        <v>0</v>
      </c>
      <c r="P27" s="81" t="s">
        <v>64</v>
      </c>
      <c r="Q27" s="60"/>
      <c r="R27" s="60"/>
      <c r="S27" s="61">
        <v>1</v>
      </c>
      <c r="T27" s="96">
        <f>2018-Tabela232[[#This Row],[Ano do convênio]]</f>
        <v>4</v>
      </c>
      <c r="U27" s="76" t="s">
        <v>64</v>
      </c>
      <c r="V27" s="76" t="s">
        <v>988</v>
      </c>
      <c r="W27" s="76" t="s">
        <v>59</v>
      </c>
      <c r="X27" s="82">
        <f>IF(Tabela232[[#This Row],[Situação3]]=Tabela232[[#This Row],[Situação4]],0,1)</f>
        <v>0</v>
      </c>
      <c r="Y27" s="82"/>
      <c r="Z27" s="82">
        <v>1</v>
      </c>
      <c r="AA27" s="82" t="s">
        <v>204</v>
      </c>
      <c r="AB27" s="82" t="s">
        <v>988</v>
      </c>
      <c r="AC27" s="82">
        <v>0</v>
      </c>
      <c r="AD27" s="82" t="s">
        <v>1719</v>
      </c>
      <c r="AE27" s="82" t="s">
        <v>1443</v>
      </c>
      <c r="AF27" s="82"/>
      <c r="AG27" s="189">
        <v>43742</v>
      </c>
      <c r="AH27" s="82"/>
      <c r="AI27" s="14" t="s">
        <v>59</v>
      </c>
      <c r="AJ27" s="14"/>
      <c r="AK27" s="15" t="s">
        <v>78</v>
      </c>
      <c r="AL27" s="15" t="s">
        <v>78</v>
      </c>
      <c r="AM27" s="15" t="s">
        <v>78</v>
      </c>
      <c r="AN27" s="153">
        <f>INDEX('Simec OT - 020718'!$AX$1:$AX$137,MATCH(Tabela232[[#This Row],[ID obra]],'Simec OT - 020718'!$A$1:$A$137,0))</f>
        <v>0</v>
      </c>
      <c r="AO27" s="129">
        <v>0</v>
      </c>
      <c r="AP27" s="156">
        <f>IF(COUNTIF(AO$2:AO27,AO27)=1,1,0)</f>
        <v>0</v>
      </c>
      <c r="AQ27" s="156">
        <f t="shared" si="0"/>
        <v>25</v>
      </c>
      <c r="AR27" s="129">
        <f>Tabela232[[#This Row],[Saldo da conta 07/2018]]/Tabela232[[#This Row],[formel2]]</f>
        <v>0</v>
      </c>
      <c r="AS27" s="126" t="s">
        <v>59</v>
      </c>
      <c r="AT27" s="129" t="s">
        <v>59</v>
      </c>
      <c r="AU27" s="32" t="s">
        <v>134</v>
      </c>
      <c r="AV27" s="32" t="s">
        <v>332</v>
      </c>
      <c r="AW27" s="32" t="s">
        <v>59</v>
      </c>
      <c r="AX27" s="32" t="s">
        <v>59</v>
      </c>
      <c r="AY27" s="32"/>
      <c r="AZ27" s="32"/>
      <c r="BA27" s="32" t="s">
        <v>78</v>
      </c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</row>
    <row r="28" spans="1:85">
      <c r="A28" s="14" t="s">
        <v>124</v>
      </c>
      <c r="B28" s="14" t="s">
        <v>55</v>
      </c>
      <c r="C28" s="14" t="s">
        <v>60</v>
      </c>
      <c r="D28" s="14">
        <v>1012815</v>
      </c>
      <c r="E28" s="14" t="s">
        <v>135</v>
      </c>
      <c r="F28" s="14"/>
      <c r="G28" s="15" t="s">
        <v>332</v>
      </c>
      <c r="H28" s="16" t="s">
        <v>64</v>
      </c>
      <c r="I28" s="18">
        <v>0</v>
      </c>
      <c r="J28" s="48" t="s">
        <v>59</v>
      </c>
      <c r="K28" s="58" t="s">
        <v>64</v>
      </c>
      <c r="L28" s="60"/>
      <c r="M28" s="17"/>
      <c r="N28" s="81">
        <v>1</v>
      </c>
      <c r="O28" s="149">
        <f>IF(Tabela232[[#This Row],[Situação2]]=Tabela232[[#This Row],[Situação]],0,1)</f>
        <v>0</v>
      </c>
      <c r="P28" s="81" t="s">
        <v>64</v>
      </c>
      <c r="Q28" s="60"/>
      <c r="R28" s="60"/>
      <c r="S28" s="61">
        <v>1</v>
      </c>
      <c r="T28" s="96">
        <f>2018-Tabela232[[#This Row],[Ano do convênio]]</f>
        <v>4</v>
      </c>
      <c r="U28" s="76" t="s">
        <v>64</v>
      </c>
      <c r="V28" s="76" t="s">
        <v>988</v>
      </c>
      <c r="W28" s="76" t="s">
        <v>59</v>
      </c>
      <c r="X28" s="82">
        <f>IF(Tabela232[[#This Row],[Situação3]]=Tabela232[[#This Row],[Situação4]],0,1)</f>
        <v>0</v>
      </c>
      <c r="Y28" s="82"/>
      <c r="Z28" s="82">
        <v>1</v>
      </c>
      <c r="AA28" s="82" t="s">
        <v>204</v>
      </c>
      <c r="AB28" s="82" t="s">
        <v>988</v>
      </c>
      <c r="AC28" s="82">
        <v>0</v>
      </c>
      <c r="AD28" s="82" t="str">
        <f>Tabela232[[#This Row],[Situação3]]</f>
        <v>Não iniciada</v>
      </c>
      <c r="AE28" s="82" t="s">
        <v>1443</v>
      </c>
      <c r="AF28" s="82"/>
      <c r="AG28" s="189">
        <v>43742</v>
      </c>
      <c r="AH28" s="82"/>
      <c r="AI28" s="14" t="s">
        <v>59</v>
      </c>
      <c r="AJ28" s="14"/>
      <c r="AK28" s="15" t="s">
        <v>78</v>
      </c>
      <c r="AL28" s="15" t="s">
        <v>78</v>
      </c>
      <c r="AM28" s="15" t="s">
        <v>78</v>
      </c>
      <c r="AN28" s="153">
        <f>INDEX('Simec OT - 020718'!$AX$1:$AX$137,MATCH(Tabela232[[#This Row],[ID obra]],'Simec OT - 020718'!$A$1:$A$137,0))</f>
        <v>0</v>
      </c>
      <c r="AO28" s="129">
        <v>0</v>
      </c>
      <c r="AP28" s="156">
        <f>IF(COUNTIF(AO$2:AO28,AO28)=1,1,0)</f>
        <v>0</v>
      </c>
      <c r="AQ28" s="156">
        <f t="shared" si="0"/>
        <v>25</v>
      </c>
      <c r="AR28" s="129">
        <f>Tabela232[[#This Row],[Saldo da conta 07/2018]]/Tabela232[[#This Row],[formel2]]</f>
        <v>0</v>
      </c>
      <c r="AS28" s="126" t="s">
        <v>59</v>
      </c>
      <c r="AT28" s="129" t="s">
        <v>59</v>
      </c>
      <c r="AU28" s="32" t="s">
        <v>134</v>
      </c>
      <c r="AV28" s="32" t="s">
        <v>332</v>
      </c>
      <c r="AW28" s="32" t="s">
        <v>59</v>
      </c>
      <c r="AX28" s="32" t="s">
        <v>59</v>
      </c>
      <c r="AY28" s="32"/>
      <c r="AZ28" s="32"/>
      <c r="BA28" s="32" t="s">
        <v>78</v>
      </c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</row>
    <row r="29" spans="1:85">
      <c r="A29" s="14" t="s">
        <v>124</v>
      </c>
      <c r="B29" s="14" t="s">
        <v>55</v>
      </c>
      <c r="C29" s="14" t="s">
        <v>60</v>
      </c>
      <c r="D29" s="14">
        <v>1012816</v>
      </c>
      <c r="E29" s="14" t="s">
        <v>136</v>
      </c>
      <c r="F29" s="14"/>
      <c r="G29" s="15" t="s">
        <v>332</v>
      </c>
      <c r="H29" s="16" t="s">
        <v>64</v>
      </c>
      <c r="I29" s="18">
        <v>0</v>
      </c>
      <c r="J29" s="48" t="s">
        <v>59</v>
      </c>
      <c r="K29" s="58" t="s">
        <v>64</v>
      </c>
      <c r="L29" s="60"/>
      <c r="M29" s="17"/>
      <c r="N29" s="81">
        <v>1</v>
      </c>
      <c r="O29" s="149">
        <f>IF(Tabela232[[#This Row],[Situação2]]=Tabela232[[#This Row],[Situação]],0,1)</f>
        <v>0</v>
      </c>
      <c r="P29" s="81" t="s">
        <v>64</v>
      </c>
      <c r="Q29" s="60"/>
      <c r="R29" s="60"/>
      <c r="S29" s="61">
        <v>1</v>
      </c>
      <c r="T29" s="96">
        <f>2018-Tabela232[[#This Row],[Ano do convênio]]</f>
        <v>4</v>
      </c>
      <c r="U29" s="76" t="s">
        <v>64</v>
      </c>
      <c r="V29" s="76" t="s">
        <v>988</v>
      </c>
      <c r="W29" s="76" t="s">
        <v>59</v>
      </c>
      <c r="X29" s="82">
        <f>IF(Tabela232[[#This Row],[Situação3]]=Tabela232[[#This Row],[Situação4]],0,1)</f>
        <v>0</v>
      </c>
      <c r="Y29" s="82"/>
      <c r="Z29" s="82">
        <v>1</v>
      </c>
      <c r="AA29" s="82" t="s">
        <v>204</v>
      </c>
      <c r="AB29" s="82" t="s">
        <v>988</v>
      </c>
      <c r="AC29" s="82">
        <v>0</v>
      </c>
      <c r="AD29" s="82" t="str">
        <f>Tabela232[[#This Row],[Situação3]]</f>
        <v>Não iniciada</v>
      </c>
      <c r="AE29" s="82" t="s">
        <v>204</v>
      </c>
      <c r="AF29" s="82"/>
      <c r="AG29" s="82"/>
      <c r="AH29" s="82"/>
      <c r="AI29" s="14" t="s">
        <v>59</v>
      </c>
      <c r="AJ29" s="14"/>
      <c r="AK29" s="15" t="s">
        <v>78</v>
      </c>
      <c r="AL29" s="15" t="s">
        <v>78</v>
      </c>
      <c r="AM29" s="15" t="s">
        <v>78</v>
      </c>
      <c r="AN29" s="153">
        <f>INDEX('Simec OT - 020718'!$AX$1:$AX$137,MATCH(Tabela232[[#This Row],[ID obra]],'Simec OT - 020718'!$A$1:$A$137,0))</f>
        <v>0</v>
      </c>
      <c r="AO29" s="129">
        <v>0</v>
      </c>
      <c r="AP29" s="156">
        <f>IF(COUNTIF(AO$2:AO29,AO29)=1,1,0)</f>
        <v>0</v>
      </c>
      <c r="AQ29" s="156">
        <f t="shared" si="0"/>
        <v>25</v>
      </c>
      <c r="AR29" s="129">
        <f>Tabela232[[#This Row],[Saldo da conta 07/2018]]/Tabela232[[#This Row],[formel2]]</f>
        <v>0</v>
      </c>
      <c r="AS29" s="126" t="s">
        <v>59</v>
      </c>
      <c r="AT29" s="129" t="s">
        <v>59</v>
      </c>
      <c r="AU29" s="32" t="s">
        <v>134</v>
      </c>
      <c r="AV29" s="32" t="s">
        <v>332</v>
      </c>
      <c r="AW29" s="32" t="s">
        <v>59</v>
      </c>
      <c r="AX29" s="32" t="s">
        <v>59</v>
      </c>
      <c r="AY29" s="32"/>
      <c r="AZ29" s="32"/>
      <c r="BA29" s="32" t="s">
        <v>59</v>
      </c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</row>
    <row r="30" spans="1:85">
      <c r="A30" s="14" t="s">
        <v>138</v>
      </c>
      <c r="B30" s="14" t="s">
        <v>55</v>
      </c>
      <c r="C30" s="14" t="s">
        <v>60</v>
      </c>
      <c r="D30" s="14">
        <v>1006081</v>
      </c>
      <c r="E30" s="14" t="s">
        <v>139</v>
      </c>
      <c r="F30" s="14"/>
      <c r="G30" s="15" t="s">
        <v>331</v>
      </c>
      <c r="H30" s="16" t="s">
        <v>1443</v>
      </c>
      <c r="I30" s="18">
        <v>7.96</v>
      </c>
      <c r="J30" s="48">
        <v>43002</v>
      </c>
      <c r="K30" s="58" t="s">
        <v>1443</v>
      </c>
      <c r="L30" s="60"/>
      <c r="M30" s="17">
        <v>2018</v>
      </c>
      <c r="N30" s="82">
        <v>0</v>
      </c>
      <c r="O30" s="82">
        <f>IF(Tabela232[[#This Row],[Situação2]]=Tabela232[[#This Row],[Situação]],0,1)</f>
        <v>0</v>
      </c>
      <c r="P30" s="81" t="s">
        <v>67</v>
      </c>
      <c r="Q30" s="60">
        <v>29.11</v>
      </c>
      <c r="R30" s="60"/>
      <c r="S30" s="84">
        <v>0</v>
      </c>
      <c r="T30" s="82"/>
      <c r="U30" s="76" t="s">
        <v>67</v>
      </c>
      <c r="V30" s="76" t="s">
        <v>1099</v>
      </c>
      <c r="W30" s="76">
        <v>43231</v>
      </c>
      <c r="X30" s="82">
        <f>IF(Tabela232[[#This Row],[Situação3]]=Tabela232[[#This Row],[Situação4]],0,1)</f>
        <v>0</v>
      </c>
      <c r="Y30" s="82"/>
      <c r="Z30" s="82"/>
      <c r="AA30" s="82" t="s">
        <v>1443</v>
      </c>
      <c r="AB30" s="82" t="s">
        <v>1692</v>
      </c>
      <c r="AC30" s="189">
        <v>43675</v>
      </c>
      <c r="AD30" s="189" t="s">
        <v>1443</v>
      </c>
      <c r="AE30" s="82" t="s">
        <v>1443</v>
      </c>
      <c r="AF30" s="189" t="s">
        <v>1758</v>
      </c>
      <c r="AG30" s="189" t="s">
        <v>1759</v>
      </c>
      <c r="AH30" s="82" t="s">
        <v>1624</v>
      </c>
      <c r="AI30" s="59" t="s">
        <v>140</v>
      </c>
      <c r="AJ30" s="14" t="s">
        <v>1606</v>
      </c>
      <c r="AK30" s="15" t="s">
        <v>78</v>
      </c>
      <c r="AL30" s="15" t="s">
        <v>78</v>
      </c>
      <c r="AM30" s="15"/>
      <c r="AN30" s="153">
        <f>INDEX('Simec OT - 020718'!$AX$1:$AX$137,MATCH(Tabela232[[#This Row],[ID obra]],'Simec OT - 020718'!$A$1:$A$137,0))</f>
        <v>372424.64</v>
      </c>
      <c r="AO30" s="131">
        <v>176.73</v>
      </c>
      <c r="AP30" s="156">
        <f>IF(COUNTIF(AO$2:AO30,AO30)=1,1,0)</f>
        <v>1</v>
      </c>
      <c r="AQ30" s="156">
        <f t="shared" si="0"/>
        <v>1</v>
      </c>
      <c r="AR30" s="129">
        <f>Tabela232[[#This Row],[Saldo da conta 07/2018]]/Tabela232[[#This Row],[formel2]]</f>
        <v>176.73</v>
      </c>
      <c r="AS30" s="129">
        <f>INDEX('[1]Total repassado por obra'!$D$2:$D$127,MATCH(Tabela232[[#This Row],[ID obra]],'[1]Total repassado por obra'!$B$2:$B$127,0))</f>
        <v>457691</v>
      </c>
      <c r="AT30" s="129">
        <v>457691</v>
      </c>
      <c r="AU30" s="32" t="s">
        <v>141</v>
      </c>
      <c r="AV30" s="32" t="s">
        <v>331</v>
      </c>
      <c r="AW30" s="24">
        <v>2016</v>
      </c>
      <c r="AX30" s="24" t="s">
        <v>59</v>
      </c>
      <c r="AY30" s="24"/>
      <c r="AZ30" s="24">
        <f>Tabela232[[#This Row],[Duração final]]-Tabela232[[#This Row],[Duração prevista]]</f>
        <v>468</v>
      </c>
      <c r="BA30" s="24" t="s">
        <v>60</v>
      </c>
      <c r="BB30" s="106" t="s">
        <v>558</v>
      </c>
      <c r="BC30" s="110">
        <v>42668</v>
      </c>
      <c r="BD30" s="110">
        <v>42928</v>
      </c>
      <c r="BE30" s="110">
        <v>43396</v>
      </c>
      <c r="BF30" s="114">
        <f>Tabela232[[#This Row],[Término inicial]]-Tabela232[[#This Row],[Início]]</f>
        <v>260</v>
      </c>
      <c r="BG30" s="114">
        <f>Tabela232[[#This Row],[Término final]]-Tabela232[[#This Row],[Início]]</f>
        <v>728</v>
      </c>
      <c r="BH30" s="109">
        <v>1792394.35</v>
      </c>
      <c r="BI30" s="109">
        <v>1846890.3</v>
      </c>
      <c r="BJ30" s="53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</row>
    <row r="31" spans="1:85">
      <c r="A31" s="14" t="s">
        <v>138</v>
      </c>
      <c r="B31" s="14" t="s">
        <v>55</v>
      </c>
      <c r="C31" s="14" t="s">
        <v>60</v>
      </c>
      <c r="D31" s="14">
        <v>1010867</v>
      </c>
      <c r="E31" s="14" t="s">
        <v>142</v>
      </c>
      <c r="F31" s="14"/>
      <c r="G31" s="15" t="s">
        <v>332</v>
      </c>
      <c r="H31" s="16" t="s">
        <v>1443</v>
      </c>
      <c r="I31" s="18">
        <v>57.16</v>
      </c>
      <c r="J31" s="48">
        <v>42906</v>
      </c>
      <c r="K31" s="58" t="s">
        <v>1443</v>
      </c>
      <c r="L31" s="60"/>
      <c r="M31" s="17">
        <v>2018</v>
      </c>
      <c r="N31" s="82">
        <v>0</v>
      </c>
      <c r="O31" s="82">
        <f>IF(Tabela232[[#This Row],[Situação2]]=Tabela232[[#This Row],[Situação]],0,1)</f>
        <v>0</v>
      </c>
      <c r="P31" s="81" t="s">
        <v>1443</v>
      </c>
      <c r="Q31" s="60">
        <v>93</v>
      </c>
      <c r="R31" s="60"/>
      <c r="S31" s="84">
        <v>0</v>
      </c>
      <c r="T31" s="82"/>
      <c r="U31" s="76" t="s">
        <v>1443</v>
      </c>
      <c r="V31" s="76" t="s">
        <v>1105</v>
      </c>
      <c r="W31" s="76">
        <v>43361</v>
      </c>
      <c r="X31" s="82">
        <f>IF(Tabela232[[#This Row],[Situação3]]=Tabela232[[#This Row],[Situação4]],0,1)</f>
        <v>0</v>
      </c>
      <c r="Y31" s="82"/>
      <c r="Z31" s="82">
        <v>0</v>
      </c>
      <c r="AA31" s="82" t="s">
        <v>1443</v>
      </c>
      <c r="AB31" s="189" t="s">
        <v>1475</v>
      </c>
      <c r="AC31" s="189">
        <v>43674</v>
      </c>
      <c r="AD31" s="189" t="str">
        <f>Tabela232[[#This Row],[Situação3]]</f>
        <v>Em andamento</v>
      </c>
      <c r="AE31" s="82" t="s">
        <v>89</v>
      </c>
      <c r="AF31" s="189" t="s">
        <v>1063</v>
      </c>
      <c r="AG31" s="189" t="s">
        <v>1760</v>
      </c>
      <c r="AH31" s="82"/>
      <c r="AI31" s="59" t="s">
        <v>143</v>
      </c>
      <c r="AJ31" s="14" t="s">
        <v>1507</v>
      </c>
      <c r="AK31" s="15" t="s">
        <v>60</v>
      </c>
      <c r="AL31" s="15" t="s">
        <v>60</v>
      </c>
      <c r="AM31" s="15"/>
      <c r="AN31" s="153">
        <f>INDEX('Simec OT - 020718'!$AX$1:$AX$137,MATCH(Tabela232[[#This Row],[ID obra]],'Simec OT - 020718'!$A$1:$A$137,0))</f>
        <v>3109485.46</v>
      </c>
      <c r="AO31" s="131">
        <v>262500.46000000002</v>
      </c>
      <c r="AP31" s="156">
        <f>IF(COUNTIF(AO$2:AO31,AO31)=1,1,0)</f>
        <v>1</v>
      </c>
      <c r="AQ31" s="156">
        <f t="shared" si="0"/>
        <v>1</v>
      </c>
      <c r="AR31" s="129">
        <f>Tabela232[[#This Row],[Saldo da conta 07/2018]]/Tabela232[[#This Row],[formel2]]</f>
        <v>262500.46000000002</v>
      </c>
      <c r="AS31" s="129">
        <f>INDEX('[1]Total repassado por obra'!$D$2:$D$127,MATCH(Tabela232[[#This Row],[ID obra]],'[1]Total repassado por obra'!$B$2:$B$127,0))</f>
        <v>3187606</v>
      </c>
      <c r="AT31" s="129">
        <v>3187606</v>
      </c>
      <c r="AU31" s="32" t="s">
        <v>144</v>
      </c>
      <c r="AV31" s="32" t="s">
        <v>332</v>
      </c>
      <c r="AW31" s="24">
        <v>2016</v>
      </c>
      <c r="AX31" s="24">
        <v>2019</v>
      </c>
      <c r="AY31" s="32">
        <f>Tabela232[[#This Row],[Ano de entrega]]-Tabela232[[#This Row],[Ano de início da obra]]</f>
        <v>3</v>
      </c>
      <c r="AZ31" s="24">
        <f>Tabela232[[#This Row],[Duração final]]-Tabela232[[#This Row],[Duração prevista]]</f>
        <v>840</v>
      </c>
      <c r="BA31" s="24" t="s">
        <v>78</v>
      </c>
      <c r="BB31" s="106" t="s">
        <v>564</v>
      </c>
      <c r="BC31" s="21">
        <v>42327</v>
      </c>
      <c r="BD31" s="21">
        <v>42692</v>
      </c>
      <c r="BE31" s="216">
        <v>43532</v>
      </c>
      <c r="BF31" s="30">
        <v>365</v>
      </c>
      <c r="BG31" s="215">
        <v>1205</v>
      </c>
      <c r="BH31" s="19">
        <v>3344840.24</v>
      </c>
      <c r="BI31" s="19">
        <v>3344840.24</v>
      </c>
      <c r="BJ31" s="53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</row>
    <row r="32" spans="1:85">
      <c r="A32" s="14" t="s">
        <v>145</v>
      </c>
      <c r="B32" s="14" t="s">
        <v>146</v>
      </c>
      <c r="C32" s="14" t="s">
        <v>60</v>
      </c>
      <c r="D32" s="14">
        <v>13408</v>
      </c>
      <c r="E32" s="14" t="s">
        <v>147</v>
      </c>
      <c r="F32" s="14" t="s">
        <v>330</v>
      </c>
      <c r="G32" s="15" t="s">
        <v>335</v>
      </c>
      <c r="H32" s="16" t="s">
        <v>64</v>
      </c>
      <c r="I32" s="18">
        <v>0</v>
      </c>
      <c r="J32" s="48" t="s">
        <v>59</v>
      </c>
      <c r="K32" s="58" t="s">
        <v>64</v>
      </c>
      <c r="L32" s="60">
        <v>0</v>
      </c>
      <c r="M32" s="17"/>
      <c r="N32" s="81">
        <v>1</v>
      </c>
      <c r="O32" s="149">
        <f>IF(Tabela232[[#This Row],[Situação2]]=Tabela232[[#This Row],[Situação]],0,1)</f>
        <v>0</v>
      </c>
      <c r="P32" s="81" t="s">
        <v>64</v>
      </c>
      <c r="Q32" s="60"/>
      <c r="R32" s="60"/>
      <c r="S32" s="61">
        <v>1</v>
      </c>
      <c r="T32" s="96">
        <f>2018-Tabela232[[#This Row],[Ano do convênio]]</f>
        <v>8</v>
      </c>
      <c r="U32" s="76" t="s">
        <v>64</v>
      </c>
      <c r="V32" s="76" t="s">
        <v>988</v>
      </c>
      <c r="W32" s="76" t="s">
        <v>59</v>
      </c>
      <c r="X32" s="82">
        <f>IF(Tabela232[[#This Row],[Situação3]]=Tabela232[[#This Row],[Situação4]],0,1)</f>
        <v>0</v>
      </c>
      <c r="Y32" s="82"/>
      <c r="Z32" s="82">
        <v>0</v>
      </c>
      <c r="AA32" s="82" t="s">
        <v>64</v>
      </c>
      <c r="AB32" s="82" t="s">
        <v>988</v>
      </c>
      <c r="AC32" s="82">
        <v>0</v>
      </c>
      <c r="AD32" s="82" t="str">
        <f>Tabela232[[#This Row],[Situação3]]</f>
        <v>Não iniciada</v>
      </c>
      <c r="AE32" s="82" t="s">
        <v>204</v>
      </c>
      <c r="AF32" s="82"/>
      <c r="AG32" s="82"/>
      <c r="AH32" s="82"/>
      <c r="AI32" s="14" t="s">
        <v>59</v>
      </c>
      <c r="AJ32" s="14" t="s">
        <v>1535</v>
      </c>
      <c r="AK32" s="15" t="s">
        <v>78</v>
      </c>
      <c r="AL32" s="15" t="s">
        <v>78</v>
      </c>
      <c r="AM32" s="15" t="s">
        <v>1475</v>
      </c>
      <c r="AN32" s="153">
        <f>INDEX('Simec OT - 020718'!$AX$1:$AX$137,MATCH(Tabela232[[#This Row],[ID obra]],'Simec OT - 020718'!$A$1:$A$137,0))</f>
        <v>0</v>
      </c>
      <c r="AO32" s="129">
        <v>1066276.3799999999</v>
      </c>
      <c r="AP32" s="156">
        <f>IF(COUNTIF(AO$2:AO32,AO32)=1,1,0)</f>
        <v>1</v>
      </c>
      <c r="AQ32" s="156">
        <f t="shared" si="0"/>
        <v>1</v>
      </c>
      <c r="AR32" s="129">
        <f>Tabela232[[#This Row],[Saldo da conta 07/2018]]/Tabela232[[#This Row],[formel2]]</f>
        <v>1066276.3799999999</v>
      </c>
      <c r="AS32" s="186">
        <f>INDEX('[1]Total repassado por obra'!$D$2:$D$127,MATCH(Tabela232[[#This Row],[ID obra]],'[1]Total repassado por obra'!$B$2:$B$127,0))</f>
        <v>860403</v>
      </c>
      <c r="AT32" s="129">
        <v>860403</v>
      </c>
      <c r="AU32" s="32" t="s">
        <v>148</v>
      </c>
      <c r="AV32" s="32" t="s">
        <v>335</v>
      </c>
      <c r="AW32" s="32" t="s">
        <v>59</v>
      </c>
      <c r="AX32" s="32" t="s">
        <v>59</v>
      </c>
      <c r="AY32" s="32"/>
      <c r="AZ32" s="32"/>
      <c r="BA32" s="32" t="s">
        <v>59</v>
      </c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</row>
    <row r="33" spans="1:85">
      <c r="A33" s="14" t="s">
        <v>145</v>
      </c>
      <c r="B33" s="14" t="s">
        <v>146</v>
      </c>
      <c r="C33" s="14" t="s">
        <v>60</v>
      </c>
      <c r="D33" s="14">
        <v>19651</v>
      </c>
      <c r="E33" s="14" t="s">
        <v>149</v>
      </c>
      <c r="F33" s="14"/>
      <c r="G33" s="15" t="s">
        <v>331</v>
      </c>
      <c r="H33" s="16" t="s">
        <v>67</v>
      </c>
      <c r="I33" s="18">
        <v>25.74</v>
      </c>
      <c r="J33" s="48">
        <v>42916</v>
      </c>
      <c r="K33" s="58" t="s">
        <v>1443</v>
      </c>
      <c r="L33" s="60">
        <v>74.66</v>
      </c>
      <c r="M33" s="64">
        <v>42984</v>
      </c>
      <c r="N33" s="82">
        <v>0</v>
      </c>
      <c r="O33" s="82">
        <f>IF(Tabela232[[#This Row],[Situação2]]=Tabela232[[#This Row],[Situação]],0,1)</f>
        <v>1</v>
      </c>
      <c r="P33" s="81" t="s">
        <v>1443</v>
      </c>
      <c r="Q33" s="60">
        <v>90.15</v>
      </c>
      <c r="R33" s="86">
        <v>43195</v>
      </c>
      <c r="S33" s="84">
        <v>0</v>
      </c>
      <c r="T33" s="82"/>
      <c r="U33" s="76" t="s">
        <v>1443</v>
      </c>
      <c r="V33" s="76" t="s">
        <v>1115</v>
      </c>
      <c r="W33" s="98">
        <v>43375</v>
      </c>
      <c r="X33" s="82">
        <f>IF(Tabela232[[#This Row],[Situação3]]=Tabela232[[#This Row],[Situação4]],0,1)</f>
        <v>0</v>
      </c>
      <c r="Y33" s="82"/>
      <c r="Z33" s="82">
        <v>1</v>
      </c>
      <c r="AA33" s="82" t="s">
        <v>1443</v>
      </c>
      <c r="AB33" s="82" t="s">
        <v>1693</v>
      </c>
      <c r="AC33" s="189">
        <v>43740</v>
      </c>
      <c r="AD33" s="189" t="str">
        <f>Tabela232[[#This Row],[Situação3]]</f>
        <v>Em andamento</v>
      </c>
      <c r="AE33" s="82" t="s">
        <v>1443</v>
      </c>
      <c r="AF33" s="189"/>
      <c r="AG33" s="189"/>
      <c r="AH33" s="82"/>
      <c r="AI33" s="59" t="s">
        <v>150</v>
      </c>
      <c r="AJ33" s="14" t="s">
        <v>1499</v>
      </c>
      <c r="AK33" s="15" t="s">
        <v>60</v>
      </c>
      <c r="AL33" s="15" t="s">
        <v>60</v>
      </c>
      <c r="AM33" s="15"/>
      <c r="AN33" s="153">
        <f>INDEX('Simec OT - 020718'!$AX$1:$AX$137,MATCH(Tabela232[[#This Row],[ID obra]],'Simec OT - 020718'!$A$1:$A$137,0))</f>
        <v>1346381.53</v>
      </c>
      <c r="AO33" s="131">
        <v>548791.78</v>
      </c>
      <c r="AP33" s="156">
        <f>IF(COUNTIF(AO$2:AO33,AO33)=1,1,0)</f>
        <v>1</v>
      </c>
      <c r="AQ33" s="156">
        <f t="shared" si="0"/>
        <v>1</v>
      </c>
      <c r="AR33" s="129">
        <f>Tabela232[[#This Row],[Saldo da conta 07/2018]]/Tabela232[[#This Row],[formel2]]</f>
        <v>548791.78</v>
      </c>
      <c r="AS33" s="129">
        <f>INDEX('[1]Total repassado por obra'!$D$2:$D$127,MATCH(Tabela232[[#This Row],[ID obra]],'[1]Total repassado por obra'!$B$2:$B$127,0))</f>
        <v>1568209</v>
      </c>
      <c r="AT33" s="129">
        <v>1568209</v>
      </c>
      <c r="AU33" s="32" t="s">
        <v>151</v>
      </c>
      <c r="AV33" s="32" t="s">
        <v>331</v>
      </c>
      <c r="AW33" s="24">
        <v>2014</v>
      </c>
      <c r="AX33" s="24" t="s">
        <v>59</v>
      </c>
      <c r="AY33" s="24"/>
      <c r="AZ33" s="24">
        <f>Tabela232[[#This Row],[Duração final]]-Tabela232[[#This Row],[Duração prevista]]</f>
        <v>0</v>
      </c>
      <c r="BA33" s="32" t="s">
        <v>60</v>
      </c>
      <c r="BB33" s="106" t="s">
        <v>152</v>
      </c>
      <c r="BC33" s="32"/>
      <c r="BD33" s="32"/>
      <c r="BE33" s="32"/>
      <c r="BF33" s="32"/>
      <c r="BG33" s="32"/>
      <c r="BH33" s="32"/>
      <c r="BI33" s="32"/>
      <c r="BJ33" s="120" t="s">
        <v>153</v>
      </c>
      <c r="BK33" s="21">
        <v>42790</v>
      </c>
      <c r="BL33" s="21">
        <v>42970</v>
      </c>
      <c r="BM33" s="21">
        <v>43375</v>
      </c>
      <c r="BN33" s="32">
        <v>180</v>
      </c>
      <c r="BO33" s="32">
        <v>585</v>
      </c>
      <c r="BP33" s="19">
        <v>1766357.1</v>
      </c>
      <c r="BQ33" s="19">
        <v>1766357.1</v>
      </c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</row>
    <row r="34" spans="1:85">
      <c r="A34" s="14" t="s">
        <v>145</v>
      </c>
      <c r="B34" s="14" t="s">
        <v>146</v>
      </c>
      <c r="C34" s="14" t="s">
        <v>60</v>
      </c>
      <c r="D34" s="14">
        <v>19874</v>
      </c>
      <c r="E34" s="14" t="s">
        <v>154</v>
      </c>
      <c r="F34" s="14"/>
      <c r="G34" s="15" t="s">
        <v>331</v>
      </c>
      <c r="H34" s="16" t="s">
        <v>67</v>
      </c>
      <c r="I34" s="18">
        <v>35.799999999999997</v>
      </c>
      <c r="J34" s="48">
        <v>43100</v>
      </c>
      <c r="K34" s="58" t="s">
        <v>67</v>
      </c>
      <c r="L34" s="60">
        <v>10.89</v>
      </c>
      <c r="M34" s="61"/>
      <c r="N34" s="82">
        <v>0</v>
      </c>
      <c r="O34" s="82">
        <f>IF(Tabela232[[#This Row],[Situação2]]=Tabela232[[#This Row],[Situação]],0,1)</f>
        <v>0</v>
      </c>
      <c r="P34" s="81" t="s">
        <v>67</v>
      </c>
      <c r="Q34" s="60">
        <v>10.89</v>
      </c>
      <c r="R34" s="60"/>
      <c r="S34" s="84">
        <v>0</v>
      </c>
      <c r="T34" s="82"/>
      <c r="U34" s="76" t="s">
        <v>67</v>
      </c>
      <c r="V34" s="76" t="s">
        <v>1120</v>
      </c>
      <c r="W34" s="76">
        <v>42460</v>
      </c>
      <c r="X34" s="82">
        <f>IF(Tabela232[[#This Row],[Situação3]]=Tabela232[[#This Row],[Situação4]],0,1)</f>
        <v>0</v>
      </c>
      <c r="Y34" s="82"/>
      <c r="Z34" s="82">
        <v>1</v>
      </c>
      <c r="AA34" s="82" t="s">
        <v>67</v>
      </c>
      <c r="AB34" s="76" t="s">
        <v>1120</v>
      </c>
      <c r="AC34" s="189">
        <v>42460</v>
      </c>
      <c r="AD34" s="189" t="str">
        <f>Tabela232[[#This Row],[Situação3]]</f>
        <v>Paralisada</v>
      </c>
      <c r="AE34" s="82" t="s">
        <v>67</v>
      </c>
      <c r="AF34" s="189"/>
      <c r="AG34" s="189"/>
      <c r="AH34" s="82"/>
      <c r="AI34" s="59"/>
      <c r="AJ34" s="14" t="s">
        <v>1498</v>
      </c>
      <c r="AK34" s="15" t="s">
        <v>60</v>
      </c>
      <c r="AL34" s="15" t="s">
        <v>60</v>
      </c>
      <c r="AM34" s="15"/>
      <c r="AN34" s="153">
        <f>INDEX('Simec OT - 020718'!$AX$1:$AX$137,MATCH(Tabela232[[#This Row],[ID obra]],'Simec OT - 020718'!$A$1:$A$137,0))</f>
        <v>389635.12</v>
      </c>
      <c r="AO34" s="131">
        <v>235218.85</v>
      </c>
      <c r="AP34" s="156">
        <f>IF(COUNTIF(AO$2:AO34,AO34)=1,1,0)</f>
        <v>1</v>
      </c>
      <c r="AQ34" s="156">
        <f t="shared" si="0"/>
        <v>1</v>
      </c>
      <c r="AR34" s="129">
        <f>Tabela232[[#This Row],[Saldo da conta 07/2018]]/Tabela232[[#This Row],[formel2]]</f>
        <v>235218.85</v>
      </c>
      <c r="AS34" s="129">
        <f>INDEX('[1]Total repassado por obra'!$D$2:$D$127,MATCH(Tabela232[[#This Row],[ID obra]],'[1]Total repassado por obra'!$B$2:$B$127,0))</f>
        <v>512428</v>
      </c>
      <c r="AT34" s="129">
        <v>512428</v>
      </c>
      <c r="AU34" s="32" t="s">
        <v>155</v>
      </c>
      <c r="AV34" s="32" t="s">
        <v>331</v>
      </c>
      <c r="AW34" s="24">
        <v>2014</v>
      </c>
      <c r="AX34" s="24" t="s">
        <v>59</v>
      </c>
      <c r="AY34" s="24"/>
      <c r="AZ34" s="24">
        <f>Tabela232[[#This Row],[Duração final]]-Tabela232[[#This Row],[Duração prevista]]</f>
        <v>559</v>
      </c>
      <c r="BA34" s="32" t="s">
        <v>60</v>
      </c>
      <c r="BB34" s="106" t="s">
        <v>152</v>
      </c>
      <c r="BC34" s="21">
        <v>41536</v>
      </c>
      <c r="BD34" s="21">
        <v>41901</v>
      </c>
      <c r="BE34" s="21">
        <v>42460</v>
      </c>
      <c r="BF34" s="30">
        <v>365</v>
      </c>
      <c r="BG34" s="30">
        <v>924</v>
      </c>
      <c r="BH34" s="19">
        <v>786913.29</v>
      </c>
      <c r="BI34" s="19">
        <v>786913.29</v>
      </c>
      <c r="BJ34" s="53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</row>
    <row r="35" spans="1:85">
      <c r="A35" s="14" t="s">
        <v>145</v>
      </c>
      <c r="B35" s="14" t="s">
        <v>146</v>
      </c>
      <c r="C35" s="14" t="s">
        <v>60</v>
      </c>
      <c r="D35" s="14">
        <v>24614</v>
      </c>
      <c r="E35" s="14" t="s">
        <v>156</v>
      </c>
      <c r="F35" s="14"/>
      <c r="G35" s="15" t="s">
        <v>331</v>
      </c>
      <c r="H35" s="16" t="s">
        <v>67</v>
      </c>
      <c r="I35" s="18">
        <v>25.63</v>
      </c>
      <c r="J35" s="48">
        <v>42916</v>
      </c>
      <c r="K35" s="58" t="s">
        <v>1443</v>
      </c>
      <c r="L35" s="60">
        <v>39.19</v>
      </c>
      <c r="M35" s="63">
        <v>43014</v>
      </c>
      <c r="N35" s="82">
        <v>0</v>
      </c>
      <c r="O35" s="82">
        <f>IF(Tabela232[[#This Row],[Situação2]]=Tabela232[[#This Row],[Situação]],0,1)</f>
        <v>1</v>
      </c>
      <c r="P35" s="81" t="s">
        <v>1443</v>
      </c>
      <c r="Q35" s="60">
        <v>39.19</v>
      </c>
      <c r="R35" s="86">
        <v>43195</v>
      </c>
      <c r="S35" s="84">
        <v>0</v>
      </c>
      <c r="T35" s="82"/>
      <c r="U35" s="76" t="s">
        <v>1443</v>
      </c>
      <c r="V35" s="76" t="s">
        <v>1123</v>
      </c>
      <c r="W35" s="98">
        <v>43375</v>
      </c>
      <c r="X35" s="82">
        <f>IF(Tabela232[[#This Row],[Situação3]]=Tabela232[[#This Row],[Situação4]],0,1)</f>
        <v>0</v>
      </c>
      <c r="Y35" s="82"/>
      <c r="Z35" s="82">
        <v>1</v>
      </c>
      <c r="AA35" s="82" t="s">
        <v>1443</v>
      </c>
      <c r="AB35" s="82" t="s">
        <v>1694</v>
      </c>
      <c r="AC35" s="189">
        <v>43740</v>
      </c>
      <c r="AD35" s="189" t="str">
        <f>Tabela232[[#This Row],[Situação3]]</f>
        <v>Em andamento</v>
      </c>
      <c r="AE35" s="82" t="s">
        <v>1443</v>
      </c>
      <c r="AF35" s="189"/>
      <c r="AG35" s="189"/>
      <c r="AH35" s="82"/>
      <c r="AI35" s="59" t="s">
        <v>150</v>
      </c>
      <c r="AJ35" s="14" t="s">
        <v>1497</v>
      </c>
      <c r="AK35" s="15" t="s">
        <v>60</v>
      </c>
      <c r="AL35" s="15" t="s">
        <v>60</v>
      </c>
      <c r="AM35" s="15"/>
      <c r="AN35" s="153">
        <f>INDEX('Simec OT - 020718'!$AX$1:$AX$137,MATCH(Tabela232[[#This Row],[ID obra]],'Simec OT - 020718'!$A$1:$A$137,0))</f>
        <v>481997.87</v>
      </c>
      <c r="AO35" s="131">
        <v>943014.31</v>
      </c>
      <c r="AP35" s="156">
        <f>IF(COUNTIF(AO$2:AO35,AO35)=1,1,0)</f>
        <v>1</v>
      </c>
      <c r="AQ35" s="156">
        <f t="shared" si="0"/>
        <v>5</v>
      </c>
      <c r="AR35" s="129">
        <f>Tabela232[[#This Row],[Saldo da conta 07/2018]]/Tabela232[[#This Row],[formel2]]</f>
        <v>188602.86200000002</v>
      </c>
      <c r="AS35" s="129">
        <f>INDEX('[1]Total repassado por obra'!$D$2:$D$127,MATCH(Tabela232[[#This Row],[ID obra]],'[1]Total repassado por obra'!$B$2:$B$127,0))</f>
        <v>625815</v>
      </c>
      <c r="AT35" s="129">
        <v>625815</v>
      </c>
      <c r="AU35" s="32" t="s">
        <v>157</v>
      </c>
      <c r="AV35" s="32" t="s">
        <v>331</v>
      </c>
      <c r="AW35" s="24">
        <v>2014</v>
      </c>
      <c r="AX35" s="24" t="s">
        <v>59</v>
      </c>
      <c r="AY35" s="24"/>
      <c r="AZ35" s="24">
        <f>Tabela232[[#This Row],[Duração final]]-Tabela232[[#This Row],[Duração prevista]]</f>
        <v>0</v>
      </c>
      <c r="BA35" s="32" t="s">
        <v>60</v>
      </c>
      <c r="BB35" s="106" t="s">
        <v>152</v>
      </c>
      <c r="BC35" s="32"/>
      <c r="BD35" s="32"/>
      <c r="BE35" s="32"/>
      <c r="BF35" s="32"/>
      <c r="BG35" s="32"/>
      <c r="BH35" s="32"/>
      <c r="BI35" s="32"/>
      <c r="BJ35" s="120" t="s">
        <v>153</v>
      </c>
      <c r="BK35" s="21">
        <v>42790</v>
      </c>
      <c r="BL35" s="21">
        <v>42970</v>
      </c>
      <c r="BM35" s="21">
        <v>43375</v>
      </c>
      <c r="BN35" s="32">
        <v>180</v>
      </c>
      <c r="BO35" s="32">
        <v>585</v>
      </c>
      <c r="BP35" s="19">
        <v>1817363.96</v>
      </c>
      <c r="BQ35" s="19">
        <v>1817363.96</v>
      </c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</row>
    <row r="36" spans="1:85">
      <c r="A36" s="14" t="s">
        <v>145</v>
      </c>
      <c r="B36" s="14" t="s">
        <v>146</v>
      </c>
      <c r="C36" s="14" t="s">
        <v>60</v>
      </c>
      <c r="D36" s="14">
        <v>24615</v>
      </c>
      <c r="E36" s="14" t="s">
        <v>158</v>
      </c>
      <c r="F36" s="14"/>
      <c r="G36" s="15" t="s">
        <v>331</v>
      </c>
      <c r="H36" s="16" t="s">
        <v>67</v>
      </c>
      <c r="I36" s="18">
        <v>28.62</v>
      </c>
      <c r="J36" s="48">
        <v>43100</v>
      </c>
      <c r="K36" s="58" t="s">
        <v>67</v>
      </c>
      <c r="L36" s="62">
        <v>28.62</v>
      </c>
      <c r="M36" s="61"/>
      <c r="N36" s="82">
        <v>0</v>
      </c>
      <c r="O36" s="82">
        <f>IF(Tabela232[[#This Row],[Situação2]]=Tabela232[[#This Row],[Situação]],0,1)</f>
        <v>0</v>
      </c>
      <c r="P36" s="81" t="s">
        <v>67</v>
      </c>
      <c r="Q36" s="62">
        <v>28.62</v>
      </c>
      <c r="R36" s="60"/>
      <c r="S36" s="84">
        <v>0</v>
      </c>
      <c r="T36" s="82"/>
      <c r="U36" s="76" t="s">
        <v>67</v>
      </c>
      <c r="V36" s="76" t="s">
        <v>1127</v>
      </c>
      <c r="W36" s="76">
        <v>42460</v>
      </c>
      <c r="X36" s="82">
        <f>IF(Tabela232[[#This Row],[Situação3]]=Tabela232[[#This Row],[Situação4]],0,1)</f>
        <v>0</v>
      </c>
      <c r="Y36" s="82"/>
      <c r="Z36" s="82">
        <v>1</v>
      </c>
      <c r="AA36" s="82" t="s">
        <v>1443</v>
      </c>
      <c r="AB36" s="82" t="s">
        <v>1695</v>
      </c>
      <c r="AC36" s="189">
        <v>43559</v>
      </c>
      <c r="AD36" s="189" t="s">
        <v>1443</v>
      </c>
      <c r="AE36" s="82" t="s">
        <v>1443</v>
      </c>
      <c r="AF36" s="189"/>
      <c r="AG36" s="189"/>
      <c r="AH36" s="82"/>
      <c r="AI36" s="59" t="s">
        <v>1494</v>
      </c>
      <c r="AJ36" s="14" t="s">
        <v>1496</v>
      </c>
      <c r="AK36" s="15" t="s">
        <v>60</v>
      </c>
      <c r="AL36" s="15" t="s">
        <v>60</v>
      </c>
      <c r="AM36" s="15"/>
      <c r="AN36" s="153">
        <f>INDEX('Simec OT - 020718'!$AX$1:$AX$137,MATCH(Tabela232[[#This Row],[ID obra]],'Simec OT - 020718'!$A$1:$A$137,0))</f>
        <v>135918.87</v>
      </c>
      <c r="AO36" s="131">
        <v>943014.31</v>
      </c>
      <c r="AP36" s="156">
        <f>IF(COUNTIF(AO$2:AO36,AO36)=1,1,0)</f>
        <v>0</v>
      </c>
      <c r="AQ36" s="156">
        <f t="shared" si="0"/>
        <v>5</v>
      </c>
      <c r="AR36" s="129">
        <f>Tabela232[[#This Row],[Saldo da conta 07/2018]]/Tabela232[[#This Row],[formel2]]</f>
        <v>188602.86200000002</v>
      </c>
      <c r="AS36" s="129">
        <f>INDEX('[1]Total repassado por obra'!$D$2:$D$127,MATCH(Tabela232[[#This Row],[ID obra]],'[1]Total repassado por obra'!$B$2:$B$127,0))</f>
        <v>185312</v>
      </c>
      <c r="AT36" s="129">
        <v>185312</v>
      </c>
      <c r="AU36" s="32" t="s">
        <v>157</v>
      </c>
      <c r="AV36" s="32" t="s">
        <v>331</v>
      </c>
      <c r="AW36" s="24">
        <v>2014</v>
      </c>
      <c r="AX36" s="24" t="s">
        <v>59</v>
      </c>
      <c r="AY36" s="24"/>
      <c r="AZ36" s="24">
        <f>Tabela232[[#This Row],[Duração final]]-Tabela232[[#This Row],[Duração prevista]]</f>
        <v>516</v>
      </c>
      <c r="BA36" s="32" t="s">
        <v>60</v>
      </c>
      <c r="BB36" s="106" t="s">
        <v>152</v>
      </c>
      <c r="BC36" s="21">
        <v>41579</v>
      </c>
      <c r="BD36" s="21">
        <v>41944</v>
      </c>
      <c r="BE36" s="21">
        <v>42460</v>
      </c>
      <c r="BF36" s="30">
        <v>365</v>
      </c>
      <c r="BG36" s="30">
        <v>881</v>
      </c>
      <c r="BH36" s="19">
        <v>788965.49</v>
      </c>
      <c r="BI36" s="19">
        <v>788965.49</v>
      </c>
      <c r="BJ36" s="116" t="s">
        <v>153</v>
      </c>
      <c r="BK36" s="107"/>
      <c r="BL36" s="107"/>
      <c r="BM36" s="107"/>
      <c r="BN36" s="107"/>
      <c r="BO36" s="107"/>
      <c r="BP36" s="109">
        <v>1384373.57</v>
      </c>
      <c r="BQ36" s="10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</row>
    <row r="37" spans="1:85">
      <c r="A37" s="14" t="s">
        <v>145</v>
      </c>
      <c r="B37" s="14" t="s">
        <v>146</v>
      </c>
      <c r="C37" s="14" t="s">
        <v>60</v>
      </c>
      <c r="D37" s="14">
        <v>24616</v>
      </c>
      <c r="E37" s="14" t="s">
        <v>159</v>
      </c>
      <c r="F37" s="14"/>
      <c r="G37" s="15" t="s">
        <v>331</v>
      </c>
      <c r="H37" s="16" t="s">
        <v>67</v>
      </c>
      <c r="I37" s="18">
        <v>7.06</v>
      </c>
      <c r="J37" s="48">
        <v>43100</v>
      </c>
      <c r="K37" s="58" t="s">
        <v>67</v>
      </c>
      <c r="L37" s="60">
        <v>7.06</v>
      </c>
      <c r="M37" s="61"/>
      <c r="N37" s="82">
        <v>0</v>
      </c>
      <c r="O37" s="82">
        <f>IF(Tabela232[[#This Row],[Situação2]]=Tabela232[[#This Row],[Situação]],0,1)</f>
        <v>0</v>
      </c>
      <c r="P37" s="81" t="s">
        <v>67</v>
      </c>
      <c r="Q37" s="60">
        <v>7.06</v>
      </c>
      <c r="R37" s="60"/>
      <c r="S37" s="84">
        <v>0</v>
      </c>
      <c r="T37" s="82"/>
      <c r="U37" s="76" t="s">
        <v>67</v>
      </c>
      <c r="V37" s="76" t="s">
        <v>1130</v>
      </c>
      <c r="W37" s="76">
        <v>42735</v>
      </c>
      <c r="X37" s="82">
        <f>IF(Tabela232[[#This Row],[Situação3]]=Tabela232[[#This Row],[Situação4]],0,1)</f>
        <v>0</v>
      </c>
      <c r="Y37" s="82"/>
      <c r="Z37" s="82">
        <v>1</v>
      </c>
      <c r="AA37" s="82" t="s">
        <v>67</v>
      </c>
      <c r="AB37" s="76" t="s">
        <v>1130</v>
      </c>
      <c r="AC37" s="189">
        <v>42460</v>
      </c>
      <c r="AD37" s="189" t="str">
        <f>Tabela232[[#This Row],[Situação3]]</f>
        <v>Paralisada</v>
      </c>
      <c r="AE37" s="82" t="s">
        <v>67</v>
      </c>
      <c r="AF37" s="189"/>
      <c r="AG37" s="189"/>
      <c r="AH37" s="82"/>
      <c r="AI37" s="59"/>
      <c r="AJ37" s="14" t="s">
        <v>1495</v>
      </c>
      <c r="AK37" s="15" t="s">
        <v>60</v>
      </c>
      <c r="AL37" s="15" t="s">
        <v>60</v>
      </c>
      <c r="AM37" s="15"/>
      <c r="AN37" s="153">
        <f>INDEX('Simec OT - 020718'!$AX$1:$AX$137,MATCH(Tabela232[[#This Row],[ID obra]],'Simec OT - 020718'!$A$1:$A$137,0))</f>
        <v>581997.87</v>
      </c>
      <c r="AO37" s="131">
        <v>943014.31</v>
      </c>
      <c r="AP37" s="156">
        <f>IF(COUNTIF(AO$2:AO37,AO37)=1,1,0)</f>
        <v>0</v>
      </c>
      <c r="AQ37" s="156">
        <f t="shared" si="0"/>
        <v>5</v>
      </c>
      <c r="AR37" s="129">
        <f>Tabela232[[#This Row],[Saldo da conta 07/2018]]/Tabela232[[#This Row],[formel2]]</f>
        <v>188602.86200000002</v>
      </c>
      <c r="AS37" s="129">
        <f>INDEX('[1]Total repassado por obra'!$D$2:$D$127,MATCH(Tabela232[[#This Row],[ID obra]],'[1]Total repassado por obra'!$B$2:$B$127,0))</f>
        <v>745746</v>
      </c>
      <c r="AT37" s="129">
        <v>745746</v>
      </c>
      <c r="AU37" s="32" t="s">
        <v>157</v>
      </c>
      <c r="AV37" s="32" t="s">
        <v>331</v>
      </c>
      <c r="AW37" s="24">
        <v>2014</v>
      </c>
      <c r="AX37" s="24" t="s">
        <v>59</v>
      </c>
      <c r="AY37" s="24"/>
      <c r="AZ37" s="24">
        <f>Tabela232[[#This Row],[Duração final]]-Tabela232[[#This Row],[Duração prevista]]</f>
        <v>516</v>
      </c>
      <c r="BA37" s="32" t="s">
        <v>60</v>
      </c>
      <c r="BB37" s="106" t="s">
        <v>152</v>
      </c>
      <c r="BC37" s="21">
        <v>41579</v>
      </c>
      <c r="BD37" s="21">
        <v>41944</v>
      </c>
      <c r="BE37" s="21">
        <v>42460</v>
      </c>
      <c r="BF37" s="30">
        <v>365</v>
      </c>
      <c r="BG37" s="30">
        <v>881</v>
      </c>
      <c r="BH37" s="19">
        <v>1492750.71</v>
      </c>
      <c r="BI37" s="19">
        <v>1492750.71</v>
      </c>
      <c r="BJ37" s="53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</row>
    <row r="38" spans="1:85">
      <c r="A38" s="14" t="s">
        <v>145</v>
      </c>
      <c r="B38" s="14" t="s">
        <v>146</v>
      </c>
      <c r="C38" s="14" t="s">
        <v>60</v>
      </c>
      <c r="D38" s="14">
        <v>24617</v>
      </c>
      <c r="E38" s="14" t="s">
        <v>160</v>
      </c>
      <c r="F38" s="14"/>
      <c r="G38" s="15" t="s">
        <v>331</v>
      </c>
      <c r="H38" s="16" t="s">
        <v>64</v>
      </c>
      <c r="I38" s="18">
        <v>0</v>
      </c>
      <c r="J38" s="48" t="s">
        <v>59</v>
      </c>
      <c r="K38" s="58" t="s">
        <v>64</v>
      </c>
      <c r="L38" s="60">
        <v>0</v>
      </c>
      <c r="M38" s="61"/>
      <c r="N38" s="81">
        <v>1</v>
      </c>
      <c r="O38" s="149">
        <f>IF(Tabela232[[#This Row],[Situação2]]=Tabela232[[#This Row],[Situação]],0,1)</f>
        <v>0</v>
      </c>
      <c r="P38" s="81" t="s">
        <v>64</v>
      </c>
      <c r="Q38" s="60"/>
      <c r="R38" s="60"/>
      <c r="S38" s="61">
        <v>1</v>
      </c>
      <c r="T38" s="96">
        <f>2018-Tabela232[[#This Row],[Ano do convênio]]</f>
        <v>5</v>
      </c>
      <c r="U38" s="76" t="s">
        <v>64</v>
      </c>
      <c r="V38" s="76" t="s">
        <v>988</v>
      </c>
      <c r="W38" s="76" t="s">
        <v>59</v>
      </c>
      <c r="X38" s="82">
        <f>IF(Tabela232[[#This Row],[Situação3]]=Tabela232[[#This Row],[Situação4]],0,1)</f>
        <v>0</v>
      </c>
      <c r="Y38" s="82">
        <v>1</v>
      </c>
      <c r="Z38" s="82">
        <v>1</v>
      </c>
      <c r="AA38" s="82" t="s">
        <v>204</v>
      </c>
      <c r="AB38" s="82" t="s">
        <v>988</v>
      </c>
      <c r="AC38" s="82">
        <v>0</v>
      </c>
      <c r="AD38" s="82" t="str">
        <f>Tabela232[[#This Row],[Situação3]]</f>
        <v>Não iniciada</v>
      </c>
      <c r="AE38" s="82" t="s">
        <v>204</v>
      </c>
      <c r="AF38" s="82"/>
      <c r="AG38" s="82"/>
      <c r="AH38" s="82"/>
      <c r="AI38" s="14"/>
      <c r="AJ38" s="14"/>
      <c r="AK38" s="15" t="s">
        <v>78</v>
      </c>
      <c r="AL38" s="15" t="s">
        <v>78</v>
      </c>
      <c r="AM38" s="15" t="s">
        <v>60</v>
      </c>
      <c r="AN38" s="153">
        <f>INDEX('Simec OT - 020718'!$AX$1:$AX$137,MATCH(Tabela232[[#This Row],[ID obra]],'Simec OT - 020718'!$A$1:$A$137,0))</f>
        <v>290998.93</v>
      </c>
      <c r="AO38" s="129">
        <v>943014.31</v>
      </c>
      <c r="AP38" s="156">
        <f>IF(COUNTIF(AO$2:AO38,AO38)=1,1,0)</f>
        <v>0</v>
      </c>
      <c r="AQ38" s="156">
        <f t="shared" si="0"/>
        <v>5</v>
      </c>
      <c r="AR38" s="129">
        <f>Tabela232[[#This Row],[Saldo da conta 07/2018]]/Tabela232[[#This Row],[formel2]]</f>
        <v>188602.86200000002</v>
      </c>
      <c r="AS38" s="129">
        <f>INDEX('[1]Total repassado por obra'!$D$2:$D$127,MATCH(Tabela232[[#This Row],[ID obra]],'[1]Total repassado por obra'!$B$2:$B$127,0))</f>
        <v>396749</v>
      </c>
      <c r="AT38" s="129">
        <v>396749</v>
      </c>
      <c r="AU38" s="32" t="s">
        <v>157</v>
      </c>
      <c r="AV38" s="32" t="s">
        <v>331</v>
      </c>
      <c r="AW38" s="32" t="s">
        <v>59</v>
      </c>
      <c r="AX38" s="32" t="s">
        <v>59</v>
      </c>
      <c r="AY38" s="32"/>
      <c r="AZ38" s="32"/>
      <c r="BA38" s="32" t="s">
        <v>59</v>
      </c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</row>
    <row r="39" spans="1:85">
      <c r="A39" s="14" t="s">
        <v>145</v>
      </c>
      <c r="B39" s="14" t="s">
        <v>146</v>
      </c>
      <c r="C39" s="14" t="s">
        <v>60</v>
      </c>
      <c r="D39" s="14">
        <v>24618</v>
      </c>
      <c r="E39" s="14" t="s">
        <v>161</v>
      </c>
      <c r="F39" s="14"/>
      <c r="G39" s="15" t="s">
        <v>331</v>
      </c>
      <c r="H39" s="16" t="s">
        <v>67</v>
      </c>
      <c r="I39" s="18">
        <v>74.540000000000006</v>
      </c>
      <c r="J39" s="48">
        <v>42916</v>
      </c>
      <c r="K39" s="58" t="s">
        <v>1443</v>
      </c>
      <c r="L39" s="60">
        <v>93.08</v>
      </c>
      <c r="M39" s="63">
        <v>43014</v>
      </c>
      <c r="N39" s="82">
        <v>0</v>
      </c>
      <c r="O39" s="82">
        <f>IF(Tabela232[[#This Row],[Situação2]]=Tabela232[[#This Row],[Situação]],0,1)</f>
        <v>1</v>
      </c>
      <c r="P39" s="81" t="s">
        <v>1443</v>
      </c>
      <c r="Q39" s="60">
        <v>98.54</v>
      </c>
      <c r="R39" s="86">
        <v>43195</v>
      </c>
      <c r="S39" s="84">
        <v>0</v>
      </c>
      <c r="T39" s="82"/>
      <c r="U39" s="76" t="s">
        <v>1443</v>
      </c>
      <c r="V39" s="76" t="s">
        <v>1135</v>
      </c>
      <c r="W39" s="98">
        <v>43375</v>
      </c>
      <c r="X39" s="82">
        <f>IF(Tabela232[[#This Row],[Situação3]]=Tabela232[[#This Row],[Situação4]],0,1)</f>
        <v>0</v>
      </c>
      <c r="Y39" s="82"/>
      <c r="Z39" s="82">
        <v>1</v>
      </c>
      <c r="AA39" s="82" t="s">
        <v>1443</v>
      </c>
      <c r="AB39" s="82" t="s">
        <v>1706</v>
      </c>
      <c r="AC39" s="189">
        <v>43740</v>
      </c>
      <c r="AD39" s="189" t="str">
        <f>Tabela232[[#This Row],[Situação3]]</f>
        <v>Em andamento</v>
      </c>
      <c r="AE39" s="82" t="s">
        <v>1443</v>
      </c>
      <c r="AF39" s="189"/>
      <c r="AG39" s="189"/>
      <c r="AH39" s="82"/>
      <c r="AI39" s="59" t="s">
        <v>150</v>
      </c>
      <c r="AJ39" s="14" t="s">
        <v>1493</v>
      </c>
      <c r="AK39" s="15" t="s">
        <v>60</v>
      </c>
      <c r="AL39" s="15" t="s">
        <v>60</v>
      </c>
      <c r="AM39" s="15"/>
      <c r="AN39" s="153">
        <f>INDEX('Simec OT - 020718'!$AX$1:$AX$137,MATCH(Tabela232[[#This Row],[ID obra]],'Simec OT - 020718'!$A$1:$A$137,0))</f>
        <v>1359030.13</v>
      </c>
      <c r="AO39" s="131">
        <v>943014.31</v>
      </c>
      <c r="AP39" s="156">
        <f>IF(COUNTIF(AO$2:AO39,AO39)=1,1,0)</f>
        <v>0</v>
      </c>
      <c r="AQ39" s="156">
        <f t="shared" si="0"/>
        <v>5</v>
      </c>
      <c r="AR39" s="129">
        <f>Tabela232[[#This Row],[Saldo da conta 07/2018]]/Tabela232[[#This Row],[formel2]]</f>
        <v>188602.86200000002</v>
      </c>
      <c r="AS39" s="129">
        <f>INDEX('[1]Total repassado por obra'!$D$2:$D$127,MATCH(Tabela232[[#This Row],[ID obra]],'[1]Total repassado por obra'!$B$2:$B$127,0))</f>
        <v>1580532</v>
      </c>
      <c r="AT39" s="129">
        <v>1580532</v>
      </c>
      <c r="AU39" s="32" t="s">
        <v>157</v>
      </c>
      <c r="AV39" s="32" t="s">
        <v>331</v>
      </c>
      <c r="AW39" s="24">
        <v>2014</v>
      </c>
      <c r="AX39" s="24" t="s">
        <v>59</v>
      </c>
      <c r="AY39" s="24"/>
      <c r="AZ39" s="24">
        <f>Tabela232[[#This Row],[Duração final]]-Tabela232[[#This Row],[Duração prevista]]</f>
        <v>0</v>
      </c>
      <c r="BA39" s="32" t="s">
        <v>60</v>
      </c>
      <c r="BB39" s="106" t="s">
        <v>152</v>
      </c>
      <c r="BC39" s="32"/>
      <c r="BD39" s="32"/>
      <c r="BE39" s="32"/>
      <c r="BF39" s="32"/>
      <c r="BG39" s="32"/>
      <c r="BH39" s="32"/>
      <c r="BI39" s="32"/>
      <c r="BJ39" s="120" t="s">
        <v>153</v>
      </c>
      <c r="BK39" s="21">
        <v>42790</v>
      </c>
      <c r="BL39" s="21">
        <v>42970</v>
      </c>
      <c r="BM39" s="21">
        <v>43375</v>
      </c>
      <c r="BN39" s="32">
        <v>180</v>
      </c>
      <c r="BO39" s="32">
        <v>585</v>
      </c>
      <c r="BP39" s="19">
        <v>1020531.45</v>
      </c>
      <c r="BQ39" s="19">
        <v>1020531.45</v>
      </c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</row>
    <row r="40" spans="1:85">
      <c r="A40" s="14" t="s">
        <v>145</v>
      </c>
      <c r="B40" s="14" t="s">
        <v>146</v>
      </c>
      <c r="C40" s="14" t="s">
        <v>60</v>
      </c>
      <c r="D40" s="14">
        <v>1010678</v>
      </c>
      <c r="E40" s="14" t="s">
        <v>162</v>
      </c>
      <c r="F40" s="14"/>
      <c r="G40" s="15" t="s">
        <v>332</v>
      </c>
      <c r="H40" s="16" t="s">
        <v>64</v>
      </c>
      <c r="I40" s="18">
        <v>0</v>
      </c>
      <c r="J40" s="48" t="s">
        <v>59</v>
      </c>
      <c r="K40" s="58" t="s">
        <v>64</v>
      </c>
      <c r="L40" s="60">
        <v>0</v>
      </c>
      <c r="M40" s="61"/>
      <c r="N40" s="81">
        <v>1</v>
      </c>
      <c r="O40" s="149">
        <f>IF(Tabela232[[#This Row],[Situação2]]=Tabela232[[#This Row],[Situação]],0,1)</f>
        <v>0</v>
      </c>
      <c r="P40" s="81" t="s">
        <v>1443</v>
      </c>
      <c r="Q40" s="60">
        <v>36.14</v>
      </c>
      <c r="R40" s="86">
        <v>43428</v>
      </c>
      <c r="S40" s="84">
        <v>0</v>
      </c>
      <c r="T40" s="82"/>
      <c r="U40" s="76" t="s">
        <v>1443</v>
      </c>
      <c r="V40" s="76" t="s">
        <v>1140</v>
      </c>
      <c r="W40" s="76">
        <v>43407</v>
      </c>
      <c r="X40" s="82">
        <f>IF(Tabela232[[#This Row],[Situação3]]=Tabela232[[#This Row],[Situação4]],0,1)</f>
        <v>0</v>
      </c>
      <c r="Y40" s="82"/>
      <c r="Z40" s="82"/>
      <c r="AA40" s="82" t="s">
        <v>1443</v>
      </c>
      <c r="AB40" s="82" t="s">
        <v>1696</v>
      </c>
      <c r="AC40" s="189">
        <v>43438</v>
      </c>
      <c r="AD40" s="189" t="str">
        <f>Tabela232[[#This Row],[Situação3]]</f>
        <v>Em andamento</v>
      </c>
      <c r="AE40" s="82" t="s">
        <v>1443</v>
      </c>
      <c r="AF40" s="189"/>
      <c r="AG40" s="189"/>
      <c r="AH40" s="82" t="s">
        <v>1627</v>
      </c>
      <c r="AI40" s="14" t="s">
        <v>163</v>
      </c>
      <c r="AJ40" s="14" t="s">
        <v>1536</v>
      </c>
      <c r="AK40" s="15" t="s">
        <v>60</v>
      </c>
      <c r="AL40" s="15" t="s">
        <v>60</v>
      </c>
      <c r="AM40" s="15"/>
      <c r="AN40" s="153">
        <f>INDEX('Simec OT - 020718'!$AX$1:$AX$137,MATCH(Tabela232[[#This Row],[ID obra]],'Simec OT - 020718'!$A$1:$A$137,0))</f>
        <v>701582.3</v>
      </c>
      <c r="AO40" s="131">
        <v>956174.31</v>
      </c>
      <c r="AP40" s="156">
        <f>IF(COUNTIF(AO$2:AO40,AO40)=1,1,0)</f>
        <v>1</v>
      </c>
      <c r="AQ40" s="156">
        <f t="shared" si="0"/>
        <v>3</v>
      </c>
      <c r="AR40" s="129">
        <f>Tabela232[[#This Row],[Saldo da conta 07/2018]]/Tabela232[[#This Row],[formel2]]</f>
        <v>318724.77</v>
      </c>
      <c r="AS40" s="129">
        <f>INDEX('[1]Total repassado por obra'!$D$2:$D$127,MATCH(Tabela232[[#This Row],[ID obra]],'[1]Total repassado por obra'!$B$2:$B$127,0))</f>
        <v>544245</v>
      </c>
      <c r="AT40" s="129">
        <v>544245</v>
      </c>
      <c r="AU40" s="32" t="s">
        <v>164</v>
      </c>
      <c r="AV40" s="32" t="s">
        <v>332</v>
      </c>
      <c r="AW40" s="24">
        <v>2017</v>
      </c>
      <c r="AX40" s="24" t="s">
        <v>59</v>
      </c>
      <c r="AY40" s="24"/>
      <c r="AZ40" s="24">
        <f>Tabela232[[#This Row],[Duração final]]-Tabela232[[#This Row],[Duração prevista]]</f>
        <v>244</v>
      </c>
      <c r="BA40" s="32" t="s">
        <v>78</v>
      </c>
      <c r="BB40" s="53" t="s">
        <v>172</v>
      </c>
      <c r="BC40" s="21">
        <v>42660</v>
      </c>
      <c r="BD40" s="21">
        <v>43194</v>
      </c>
      <c r="BE40" s="21">
        <v>43438</v>
      </c>
      <c r="BF40" s="30">
        <v>534</v>
      </c>
      <c r="BG40" s="30">
        <v>778</v>
      </c>
      <c r="BH40" s="19">
        <v>1788609.48</v>
      </c>
      <c r="BI40" s="19">
        <v>1852022.22</v>
      </c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</row>
    <row r="41" spans="1:85">
      <c r="A41" s="14" t="s">
        <v>145</v>
      </c>
      <c r="B41" s="14" t="s">
        <v>146</v>
      </c>
      <c r="C41" s="14" t="s">
        <v>60</v>
      </c>
      <c r="D41" s="14">
        <v>1010679</v>
      </c>
      <c r="E41" s="14" t="s">
        <v>165</v>
      </c>
      <c r="F41" s="14"/>
      <c r="G41" s="15" t="s">
        <v>332</v>
      </c>
      <c r="H41" s="16" t="s">
        <v>1443</v>
      </c>
      <c r="I41" s="18">
        <v>16.93</v>
      </c>
      <c r="J41" s="48">
        <v>43406</v>
      </c>
      <c r="K41" s="58" t="s">
        <v>1443</v>
      </c>
      <c r="L41" s="60">
        <v>24.26</v>
      </c>
      <c r="M41" s="63">
        <v>43134</v>
      </c>
      <c r="N41" s="82">
        <v>0</v>
      </c>
      <c r="O41" s="82">
        <f>IF(Tabela232[[#This Row],[Situação2]]=Tabela232[[#This Row],[Situação]],0,1)</f>
        <v>0</v>
      </c>
      <c r="P41" s="81" t="s">
        <v>67</v>
      </c>
      <c r="Q41" s="60">
        <v>24.26</v>
      </c>
      <c r="R41" s="86"/>
      <c r="S41" s="84">
        <v>0</v>
      </c>
      <c r="T41" s="82"/>
      <c r="U41" s="76" t="s">
        <v>67</v>
      </c>
      <c r="V41" s="76" t="s">
        <v>1146</v>
      </c>
      <c r="W41" s="76">
        <v>43134</v>
      </c>
      <c r="X41" s="82">
        <f>IF(Tabela232[[#This Row],[Situação3]]=Tabela232[[#This Row],[Situação4]],0,1)</f>
        <v>0</v>
      </c>
      <c r="Y41" s="82"/>
      <c r="Z41" s="82"/>
      <c r="AA41" s="82" t="s">
        <v>67</v>
      </c>
      <c r="AB41" s="82" t="s">
        <v>1146</v>
      </c>
      <c r="AC41" s="82">
        <v>0</v>
      </c>
      <c r="AD41" s="82" t="str">
        <f>Tabela232[[#This Row],[Situação3]]</f>
        <v>Paralisada</v>
      </c>
      <c r="AE41" s="82" t="s">
        <v>67</v>
      </c>
      <c r="AF41" s="82"/>
      <c r="AG41" s="82"/>
      <c r="AH41" s="82" t="s">
        <v>1627</v>
      </c>
      <c r="AI41" s="59" t="s">
        <v>166</v>
      </c>
      <c r="AJ41" s="14"/>
      <c r="AK41" s="15" t="s">
        <v>78</v>
      </c>
      <c r="AL41" s="15" t="s">
        <v>60</v>
      </c>
      <c r="AM41" s="15"/>
      <c r="AN41" s="153">
        <f>INDEX('Simec OT - 020718'!$AX$1:$AX$137,MATCH(Tabela232[[#This Row],[ID obra]],'Simec OT - 020718'!$A$1:$A$137,0))</f>
        <v>373185.1</v>
      </c>
      <c r="AO41" s="131">
        <v>956174.31</v>
      </c>
      <c r="AP41" s="156">
        <f>IF(COUNTIF(AO$2:AO41,AO41)=1,1,0)</f>
        <v>0</v>
      </c>
      <c r="AQ41" s="156">
        <f t="shared" si="0"/>
        <v>3</v>
      </c>
      <c r="AR41" s="129">
        <f>Tabela232[[#This Row],[Saldo da conta 07/2018]]/Tabela232[[#This Row],[formel2]]</f>
        <v>318724.77</v>
      </c>
      <c r="AS41" s="129">
        <f>INDEX('[1]Total repassado por obra'!$D$2:$D$127,MATCH(Tabela232[[#This Row],[ID obra]],'[1]Total repassado por obra'!$B$2:$B$127,0))</f>
        <v>458626</v>
      </c>
      <c r="AT41" s="129">
        <v>458626</v>
      </c>
      <c r="AU41" s="32" t="s">
        <v>164</v>
      </c>
      <c r="AV41" s="32" t="s">
        <v>332</v>
      </c>
      <c r="AW41" s="24">
        <v>2016</v>
      </c>
      <c r="AX41" s="24" t="s">
        <v>59</v>
      </c>
      <c r="AY41" s="24"/>
      <c r="AZ41" s="24">
        <f>Tabela232[[#This Row],[Duração final]]-Tabela232[[#This Row],[Duração prevista]]</f>
        <v>324</v>
      </c>
      <c r="BA41" s="32" t="s">
        <v>60</v>
      </c>
      <c r="BB41" s="106" t="s">
        <v>167</v>
      </c>
      <c r="BC41" s="21">
        <v>42506</v>
      </c>
      <c r="BD41" s="21">
        <v>42810</v>
      </c>
      <c r="BE41" s="21">
        <v>43134</v>
      </c>
      <c r="BF41" s="30">
        <v>304</v>
      </c>
      <c r="BG41" s="30">
        <v>628</v>
      </c>
      <c r="BH41" s="19">
        <v>1907668.21</v>
      </c>
      <c r="BI41" s="19">
        <v>2005168.08</v>
      </c>
      <c r="BJ41" s="53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</row>
    <row r="42" spans="1:85">
      <c r="A42" s="14" t="s">
        <v>145</v>
      </c>
      <c r="B42" s="14" t="s">
        <v>146</v>
      </c>
      <c r="C42" s="14" t="s">
        <v>60</v>
      </c>
      <c r="D42" s="14">
        <v>1010680</v>
      </c>
      <c r="E42" s="14" t="s">
        <v>168</v>
      </c>
      <c r="F42" s="14"/>
      <c r="G42" s="15" t="s">
        <v>332</v>
      </c>
      <c r="H42" s="16" t="s">
        <v>64</v>
      </c>
      <c r="I42" s="18">
        <v>0</v>
      </c>
      <c r="J42" s="48" t="s">
        <v>59</v>
      </c>
      <c r="K42" s="58" t="s">
        <v>64</v>
      </c>
      <c r="L42" s="60">
        <v>0</v>
      </c>
      <c r="M42" s="61"/>
      <c r="N42" s="81">
        <v>1</v>
      </c>
      <c r="O42" s="149">
        <f>IF(Tabela232[[#This Row],[Situação2]]=Tabela232[[#This Row],[Situação]],0,1)</f>
        <v>0</v>
      </c>
      <c r="P42" s="81" t="s">
        <v>204</v>
      </c>
      <c r="Q42" s="60"/>
      <c r="R42" s="60"/>
      <c r="S42" s="84">
        <v>0</v>
      </c>
      <c r="T42" s="82"/>
      <c r="U42" s="76" t="s">
        <v>64</v>
      </c>
      <c r="V42" s="76" t="s">
        <v>988</v>
      </c>
      <c r="W42" s="76" t="s">
        <v>59</v>
      </c>
      <c r="X42" s="82">
        <f>IF(Tabela232[[#This Row],[Situação3]]=Tabela232[[#This Row],[Situação4]],0,1)</f>
        <v>1</v>
      </c>
      <c r="Y42" s="82"/>
      <c r="Z42" s="82"/>
      <c r="AA42" s="82" t="s">
        <v>204</v>
      </c>
      <c r="AB42" s="82" t="s">
        <v>988</v>
      </c>
      <c r="AC42" s="82">
        <v>0</v>
      </c>
      <c r="AD42" s="82" t="str">
        <f>Tabela232[[#This Row],[Situação3]]</f>
        <v>Cancelada</v>
      </c>
      <c r="AE42" s="82" t="s">
        <v>204</v>
      </c>
      <c r="AF42" s="82"/>
      <c r="AG42" s="82"/>
      <c r="AH42" s="82" t="s">
        <v>1627</v>
      </c>
      <c r="AI42" s="14"/>
      <c r="AJ42" s="14" t="s">
        <v>169</v>
      </c>
      <c r="AK42" s="15" t="s">
        <v>78</v>
      </c>
      <c r="AL42" s="15" t="s">
        <v>60</v>
      </c>
      <c r="AM42" s="15" t="s">
        <v>60</v>
      </c>
      <c r="AN42" s="153">
        <f>INDEX('Simec OT - 020718'!$AX$1:$AX$137,MATCH(Tabela232[[#This Row],[ID obra]],'Simec OT - 020718'!$A$1:$A$137,0))</f>
        <v>374458.93</v>
      </c>
      <c r="AO42" s="131">
        <v>956174.31</v>
      </c>
      <c r="AP42" s="156">
        <f>IF(COUNTIF(AO$2:AO42,AO42)=1,1,0)</f>
        <v>0</v>
      </c>
      <c r="AQ42" s="156">
        <f t="shared" si="0"/>
        <v>3</v>
      </c>
      <c r="AR42" s="129">
        <f>Tabela232[[#This Row],[Saldo da conta 07/2018]]/Tabela232[[#This Row],[formel2]]</f>
        <v>318724.77</v>
      </c>
      <c r="AS42" s="129">
        <f>INDEX('[1]Total repassado por obra'!$D$2:$D$127,MATCH(Tabela232[[#This Row],[ID obra]],'[1]Total repassado por obra'!$B$2:$B$127,0))</f>
        <v>460192</v>
      </c>
      <c r="AT42" s="129">
        <v>460192</v>
      </c>
      <c r="AU42" s="32" t="s">
        <v>164</v>
      </c>
      <c r="AV42" s="32" t="s">
        <v>332</v>
      </c>
      <c r="AW42" s="32" t="s">
        <v>59</v>
      </c>
      <c r="AX42" s="32" t="s">
        <v>59</v>
      </c>
      <c r="AY42" s="32"/>
      <c r="AZ42" s="32"/>
      <c r="BA42" s="32" t="s">
        <v>59</v>
      </c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</row>
    <row r="43" spans="1:85">
      <c r="A43" s="14" t="s">
        <v>145</v>
      </c>
      <c r="B43" s="14" t="s">
        <v>146</v>
      </c>
      <c r="C43" s="14" t="s">
        <v>60</v>
      </c>
      <c r="D43" s="14">
        <v>1010681</v>
      </c>
      <c r="E43" s="14" t="s">
        <v>170</v>
      </c>
      <c r="F43" s="14"/>
      <c r="G43" s="15" t="s">
        <v>331</v>
      </c>
      <c r="H43" s="16" t="s">
        <v>1443</v>
      </c>
      <c r="I43" s="18">
        <v>16.28</v>
      </c>
      <c r="J43" s="48">
        <v>43034</v>
      </c>
      <c r="K43" s="58" t="s">
        <v>1443</v>
      </c>
      <c r="L43" s="60">
        <v>46.04</v>
      </c>
      <c r="M43" s="63">
        <v>43034</v>
      </c>
      <c r="N43" s="82">
        <v>0</v>
      </c>
      <c r="O43" s="82">
        <f>IF(Tabela232[[#This Row],[Situação2]]=Tabela232[[#This Row],[Situação]],0,1)</f>
        <v>0</v>
      </c>
      <c r="P43" s="81" t="s">
        <v>1443</v>
      </c>
      <c r="Q43" s="60">
        <v>59.73</v>
      </c>
      <c r="R43" s="86">
        <v>43428</v>
      </c>
      <c r="S43" s="84">
        <v>0</v>
      </c>
      <c r="T43" s="82"/>
      <c r="U43" s="76" t="s">
        <v>1443</v>
      </c>
      <c r="V43" s="76" t="s">
        <v>1152</v>
      </c>
      <c r="W43" s="76">
        <v>43429</v>
      </c>
      <c r="X43" s="82">
        <f>IF(Tabela232[[#This Row],[Situação3]]=Tabela232[[#This Row],[Situação4]],0,1)</f>
        <v>0</v>
      </c>
      <c r="Y43" s="82"/>
      <c r="Z43" s="82">
        <v>1</v>
      </c>
      <c r="AA43" s="82" t="s">
        <v>1443</v>
      </c>
      <c r="AB43" s="82" t="s">
        <v>1697</v>
      </c>
      <c r="AC43" s="189">
        <v>43582</v>
      </c>
      <c r="AD43" s="189" t="str">
        <f>Tabela232[[#This Row],[Situação3]]</f>
        <v>Em andamento</v>
      </c>
      <c r="AE43" s="82" t="s">
        <v>1443</v>
      </c>
      <c r="AF43" s="189"/>
      <c r="AG43" s="189"/>
      <c r="AH43" s="82"/>
      <c r="AI43" s="59" t="s">
        <v>163</v>
      </c>
      <c r="AJ43" s="14" t="s">
        <v>1492</v>
      </c>
      <c r="AK43" s="15" t="s">
        <v>60</v>
      </c>
      <c r="AL43" s="15" t="s">
        <v>60</v>
      </c>
      <c r="AM43" s="15"/>
      <c r="AN43" s="153">
        <f>INDEX('Simec OT - 020718'!$AX$1:$AX$137,MATCH(Tabela232[[#This Row],[ID obra]],'Simec OT - 020718'!$A$1:$A$137,0))</f>
        <v>859163.32</v>
      </c>
      <c r="AO43" s="131">
        <v>279636.86</v>
      </c>
      <c r="AP43" s="156">
        <f>IF(COUNTIF(AO$2:AO43,AO43)=1,1,0)</f>
        <v>1</v>
      </c>
      <c r="AQ43" s="156">
        <f t="shared" si="0"/>
        <v>2</v>
      </c>
      <c r="AR43" s="129">
        <f>Tabela232[[#This Row],[Saldo da conta 07/2018]]/Tabela232[[#This Row],[formel2]]</f>
        <v>139818.43</v>
      </c>
      <c r="AS43" s="129">
        <f>INDEX('[1]Total repassado por obra'!$D$2:$D$127,MATCH(Tabela232[[#This Row],[ID obra]],'[1]Total repassado por obra'!$B$2:$B$127,0))</f>
        <v>953549</v>
      </c>
      <c r="AT43" s="129">
        <v>953549</v>
      </c>
      <c r="AU43" s="32" t="s">
        <v>171</v>
      </c>
      <c r="AV43" s="32" t="s">
        <v>331</v>
      </c>
      <c r="AW43" s="24">
        <v>2017</v>
      </c>
      <c r="AX43" s="24" t="s">
        <v>59</v>
      </c>
      <c r="AY43" s="24"/>
      <c r="AZ43" s="24">
        <f>Tabela232[[#This Row],[Duração final]]-Tabela232[[#This Row],[Duração prevista]]</f>
        <v>395</v>
      </c>
      <c r="BA43" s="32" t="s">
        <v>78</v>
      </c>
      <c r="BB43" s="106" t="s">
        <v>172</v>
      </c>
      <c r="BC43" s="21">
        <v>42660</v>
      </c>
      <c r="BD43" s="21">
        <v>43034</v>
      </c>
      <c r="BE43" s="21">
        <v>43429</v>
      </c>
      <c r="BF43" s="30">
        <v>374</v>
      </c>
      <c r="BG43" s="30">
        <v>769</v>
      </c>
      <c r="BH43" s="19">
        <v>1773665.11</v>
      </c>
      <c r="BI43" s="19">
        <v>2217081.33</v>
      </c>
      <c r="BJ43" s="53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</row>
    <row r="44" spans="1:85">
      <c r="A44" s="14" t="s">
        <v>145</v>
      </c>
      <c r="B44" s="14" t="s">
        <v>146</v>
      </c>
      <c r="C44" s="14" t="s">
        <v>60</v>
      </c>
      <c r="D44" s="14">
        <v>1010682</v>
      </c>
      <c r="E44" s="14" t="s">
        <v>173</v>
      </c>
      <c r="F44" s="14"/>
      <c r="G44" s="15" t="s">
        <v>331</v>
      </c>
      <c r="H44" s="16" t="s">
        <v>64</v>
      </c>
      <c r="I44" s="18">
        <v>0</v>
      </c>
      <c r="J44" s="48" t="s">
        <v>59</v>
      </c>
      <c r="K44" s="58" t="s">
        <v>64</v>
      </c>
      <c r="L44" s="60">
        <v>0</v>
      </c>
      <c r="M44" s="61"/>
      <c r="N44" s="81">
        <v>1</v>
      </c>
      <c r="O44" s="149">
        <f>IF(Tabela232[[#This Row],[Situação2]]=Tabela232[[#This Row],[Situação]],0,1)</f>
        <v>0</v>
      </c>
      <c r="P44" s="81" t="s">
        <v>64</v>
      </c>
      <c r="Q44" s="60"/>
      <c r="R44" s="60"/>
      <c r="S44" s="61">
        <v>1</v>
      </c>
      <c r="T44" s="96">
        <f>2018-Tabela232[[#This Row],[Ano do convênio]]</f>
        <v>5</v>
      </c>
      <c r="U44" s="76" t="s">
        <v>64</v>
      </c>
      <c r="V44" s="76" t="s">
        <v>988</v>
      </c>
      <c r="W44" s="76" t="s">
        <v>59</v>
      </c>
      <c r="X44" s="82">
        <f>IF(Tabela232[[#This Row],[Situação3]]=Tabela232[[#This Row],[Situação4]],0,1)</f>
        <v>0</v>
      </c>
      <c r="Y44" s="82"/>
      <c r="Z44" s="82">
        <v>1</v>
      </c>
      <c r="AA44" s="82" t="s">
        <v>204</v>
      </c>
      <c r="AB44" s="82" t="s">
        <v>988</v>
      </c>
      <c r="AC44" s="82">
        <v>0</v>
      </c>
      <c r="AD44" s="82" t="str">
        <f>Tabela232[[#This Row],[Situação3]]</f>
        <v>Não iniciada</v>
      </c>
      <c r="AE44" s="82" t="s">
        <v>204</v>
      </c>
      <c r="AF44" s="82"/>
      <c r="AG44" s="82"/>
      <c r="AH44" s="82"/>
      <c r="AI44" s="14"/>
      <c r="AJ44" s="14"/>
      <c r="AK44" s="15" t="s">
        <v>78</v>
      </c>
      <c r="AL44" s="15" t="s">
        <v>78</v>
      </c>
      <c r="AM44" s="15" t="s">
        <v>60</v>
      </c>
      <c r="AN44" s="153">
        <f>INDEX('Simec OT - 020718'!$AX$1:$AX$137,MATCH(Tabela232[[#This Row],[ID obra]],'Simec OT - 020718'!$A$1:$A$137,0))</f>
        <v>373913.85</v>
      </c>
      <c r="AO44" s="129">
        <v>279636.86</v>
      </c>
      <c r="AP44" s="156">
        <f>IF(COUNTIF(AO$2:AO44,AO44)=1,1,0)</f>
        <v>0</v>
      </c>
      <c r="AQ44" s="156">
        <f t="shared" si="0"/>
        <v>2</v>
      </c>
      <c r="AR44" s="129">
        <f>Tabela232[[#This Row],[Saldo da conta 07/2018]]/Tabela232[[#This Row],[formel2]]</f>
        <v>139818.43</v>
      </c>
      <c r="AS44" s="129">
        <f>INDEX('[1]Total repassado por obra'!$D$2:$D$127,MATCH(Tabela232[[#This Row],[ID obra]],'[1]Total repassado por obra'!$B$2:$B$127,0))</f>
        <v>459522</v>
      </c>
      <c r="AT44" s="129">
        <v>459522</v>
      </c>
      <c r="AU44" s="32" t="s">
        <v>171</v>
      </c>
      <c r="AV44" s="32" t="s">
        <v>331</v>
      </c>
      <c r="AW44" s="32" t="s">
        <v>59</v>
      </c>
      <c r="AX44" s="32" t="s">
        <v>59</v>
      </c>
      <c r="AY44" s="32"/>
      <c r="AZ44" s="32"/>
      <c r="BA44" s="32" t="s">
        <v>59</v>
      </c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</row>
    <row r="45" spans="1:85">
      <c r="A45" s="14" t="s">
        <v>145</v>
      </c>
      <c r="B45" s="14" t="s">
        <v>146</v>
      </c>
      <c r="C45" s="14" t="s">
        <v>60</v>
      </c>
      <c r="D45" s="14">
        <v>1011012</v>
      </c>
      <c r="E45" s="14" t="s">
        <v>174</v>
      </c>
      <c r="F45" s="14"/>
      <c r="G45" s="15" t="s">
        <v>332</v>
      </c>
      <c r="H45" s="16" t="s">
        <v>1443</v>
      </c>
      <c r="I45" s="18">
        <v>7.9</v>
      </c>
      <c r="J45" s="48">
        <v>43034</v>
      </c>
      <c r="K45" s="58" t="s">
        <v>1443</v>
      </c>
      <c r="L45" s="60">
        <v>20.96</v>
      </c>
      <c r="M45" s="61"/>
      <c r="N45" s="82">
        <v>0</v>
      </c>
      <c r="O45" s="82">
        <f>IF(Tabela232[[#This Row],[Situação2]]=Tabela232[[#This Row],[Situação]],0,1)</f>
        <v>0</v>
      </c>
      <c r="P45" s="81" t="s">
        <v>1443</v>
      </c>
      <c r="Q45" s="60">
        <v>20.96</v>
      </c>
      <c r="R45" s="86">
        <v>43428</v>
      </c>
      <c r="S45" s="84">
        <v>0</v>
      </c>
      <c r="T45" s="82"/>
      <c r="U45" s="76" t="s">
        <v>1443</v>
      </c>
      <c r="V45" s="76" t="s">
        <v>1158</v>
      </c>
      <c r="W45" s="76">
        <v>43429</v>
      </c>
      <c r="X45" s="82">
        <f>IF(Tabela232[[#This Row],[Situação3]]=Tabela232[[#This Row],[Situação4]],0,1)</f>
        <v>0</v>
      </c>
      <c r="Y45" s="82"/>
      <c r="Z45" s="82"/>
      <c r="AA45" s="82" t="s">
        <v>1443</v>
      </c>
      <c r="AB45" s="82" t="s">
        <v>1698</v>
      </c>
      <c r="AC45" s="189">
        <v>43582</v>
      </c>
      <c r="AD45" s="189" t="str">
        <f>Tabela232[[#This Row],[Situação3]]</f>
        <v>Em andamento</v>
      </c>
      <c r="AE45" s="82" t="s">
        <v>1443</v>
      </c>
      <c r="AF45" s="189"/>
      <c r="AG45" s="189"/>
      <c r="AH45" s="82" t="s">
        <v>1623</v>
      </c>
      <c r="AI45" s="59" t="s">
        <v>163</v>
      </c>
      <c r="AJ45" s="14" t="s">
        <v>1500</v>
      </c>
      <c r="AK45" s="15" t="s">
        <v>78</v>
      </c>
      <c r="AL45" s="15" t="s">
        <v>60</v>
      </c>
      <c r="AM45" s="15"/>
      <c r="AN45" s="153">
        <f>INDEX('Simec OT - 020718'!$AX$1:$AX$137,MATCH(Tabela232[[#This Row],[ID obra]],'Simec OT - 020718'!$A$1:$A$137,0))</f>
        <v>275257.42</v>
      </c>
      <c r="AO45" s="131">
        <v>36740.74</v>
      </c>
      <c r="AP45" s="156">
        <f>IF(COUNTIF(AO$2:AO45,AO45)=1,1,0)</f>
        <v>1</v>
      </c>
      <c r="AQ45" s="156">
        <f t="shared" si="0"/>
        <v>2</v>
      </c>
      <c r="AR45" s="129">
        <f>Tabela232[[#This Row],[Saldo da conta 07/2018]]/Tabela232[[#This Row],[formel2]]</f>
        <v>18370.37</v>
      </c>
      <c r="AS45" s="129">
        <f>INDEX('[1]Total repassado por obra'!$D$2:$D$127,MATCH(Tabela232[[#This Row],[ID obra]],'[1]Total repassado por obra'!$B$2:$B$127,0))</f>
        <v>278826</v>
      </c>
      <c r="AT45" s="129">
        <v>278826</v>
      </c>
      <c r="AU45" s="32" t="s">
        <v>175</v>
      </c>
      <c r="AV45" s="32" t="s">
        <v>332</v>
      </c>
      <c r="AW45" s="24">
        <v>2017</v>
      </c>
      <c r="AX45" s="24" t="s">
        <v>59</v>
      </c>
      <c r="AY45" s="24"/>
      <c r="AZ45" s="24">
        <f>Tabela232[[#This Row],[Duração final]]-Tabela232[[#This Row],[Duração prevista]]</f>
        <v>395</v>
      </c>
      <c r="BA45" s="32" t="s">
        <v>78</v>
      </c>
      <c r="BB45" s="106" t="s">
        <v>172</v>
      </c>
      <c r="BC45" s="21">
        <v>42660</v>
      </c>
      <c r="BD45" s="21">
        <v>43034</v>
      </c>
      <c r="BE45" s="21">
        <v>43429</v>
      </c>
      <c r="BF45" s="30">
        <v>374</v>
      </c>
      <c r="BG45" s="30">
        <v>769</v>
      </c>
      <c r="BH45" s="19">
        <v>1228851.31</v>
      </c>
      <c r="BI45" s="19">
        <v>1442804.03</v>
      </c>
      <c r="BJ45" s="53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</row>
    <row r="46" spans="1:85">
      <c r="A46" s="14" t="s">
        <v>145</v>
      </c>
      <c r="B46" s="14" t="s">
        <v>146</v>
      </c>
      <c r="C46" s="14" t="s">
        <v>60</v>
      </c>
      <c r="D46" s="14">
        <v>1011013</v>
      </c>
      <c r="E46" s="14" t="s">
        <v>176</v>
      </c>
      <c r="F46" s="14"/>
      <c r="G46" s="15" t="s">
        <v>332</v>
      </c>
      <c r="H46" s="16" t="s">
        <v>1443</v>
      </c>
      <c r="I46" s="18">
        <v>9.65</v>
      </c>
      <c r="J46" s="48">
        <v>43043</v>
      </c>
      <c r="K46" s="58" t="s">
        <v>1443</v>
      </c>
      <c r="L46" s="60">
        <v>9.65</v>
      </c>
      <c r="M46" s="63">
        <v>43134</v>
      </c>
      <c r="N46" s="82">
        <v>0</v>
      </c>
      <c r="O46" s="82">
        <f>IF(Tabela232[[#This Row],[Situação2]]=Tabela232[[#This Row],[Situação]],0,1)</f>
        <v>0</v>
      </c>
      <c r="P46" s="81" t="s">
        <v>67</v>
      </c>
      <c r="Q46" s="60">
        <v>9.65</v>
      </c>
      <c r="R46" s="86"/>
      <c r="S46" s="84">
        <v>0</v>
      </c>
      <c r="T46" s="82"/>
      <c r="U46" s="76" t="s">
        <v>67</v>
      </c>
      <c r="V46" s="76" t="s">
        <v>1163</v>
      </c>
      <c r="W46" s="76">
        <v>43134</v>
      </c>
      <c r="X46" s="82">
        <f>IF(Tabela232[[#This Row],[Situação3]]=Tabela232[[#This Row],[Situação4]],0,1)</f>
        <v>0</v>
      </c>
      <c r="Y46" s="82"/>
      <c r="Z46" s="82"/>
      <c r="AA46" s="82" t="s">
        <v>67</v>
      </c>
      <c r="AB46" s="76" t="s">
        <v>1163</v>
      </c>
      <c r="AC46" s="82">
        <v>0</v>
      </c>
      <c r="AD46" s="82" t="str">
        <f>Tabela232[[#This Row],[Situação3]]</f>
        <v>Paralisada</v>
      </c>
      <c r="AE46" s="82" t="s">
        <v>67</v>
      </c>
      <c r="AF46" s="82"/>
      <c r="AG46" s="82"/>
      <c r="AH46" s="82" t="s">
        <v>1623</v>
      </c>
      <c r="AI46" s="59" t="s">
        <v>166</v>
      </c>
      <c r="AJ46" s="14" t="s">
        <v>1491</v>
      </c>
      <c r="AK46" s="15" t="s">
        <v>60</v>
      </c>
      <c r="AL46" s="15" t="s">
        <v>60</v>
      </c>
      <c r="AM46" s="15"/>
      <c r="AN46" s="153">
        <f>INDEX('Simec OT - 020718'!$AX$1:$AX$137,MATCH(Tabela232[[#This Row],[ID obra]],'Simec OT - 020718'!$A$1:$A$137,0))</f>
        <v>162222.64000000001</v>
      </c>
      <c r="AO46" s="131">
        <v>36740.74</v>
      </c>
      <c r="AP46" s="156">
        <f>IF(COUNTIF(AO$2:AO46,AO46)=1,1,0)</f>
        <v>0</v>
      </c>
      <c r="AQ46" s="156">
        <f t="shared" si="0"/>
        <v>2</v>
      </c>
      <c r="AR46" s="129">
        <f>Tabela232[[#This Row],[Saldo da conta 07/2018]]/Tabela232[[#This Row],[formel2]]</f>
        <v>18370.37</v>
      </c>
      <c r="AS46" s="129">
        <f>INDEX('[1]Total repassado por obra'!$D$2:$D$127,MATCH(Tabela232[[#This Row],[ID obra]],'[1]Total repassado por obra'!$B$2:$B$127,0))</f>
        <v>164132</v>
      </c>
      <c r="AT46" s="129">
        <v>164132</v>
      </c>
      <c r="AU46" s="32" t="s">
        <v>175</v>
      </c>
      <c r="AV46" s="32" t="s">
        <v>332</v>
      </c>
      <c r="AW46" s="24">
        <v>2016</v>
      </c>
      <c r="AX46" s="24" t="s">
        <v>59</v>
      </c>
      <c r="AY46" s="24"/>
      <c r="AZ46" s="24">
        <f>Tabela232[[#This Row],[Duração final]]-Tabela232[[#This Row],[Duração prevista]]</f>
        <v>305</v>
      </c>
      <c r="BA46" s="32" t="s">
        <v>60</v>
      </c>
      <c r="BB46" s="106" t="s">
        <v>167</v>
      </c>
      <c r="BC46" s="21">
        <v>42506</v>
      </c>
      <c r="BD46" s="21">
        <v>42829</v>
      </c>
      <c r="BE46" s="21">
        <v>43134</v>
      </c>
      <c r="BF46" s="30">
        <v>323</v>
      </c>
      <c r="BG46" s="30">
        <v>628</v>
      </c>
      <c r="BH46" s="19">
        <v>1960836.04</v>
      </c>
      <c r="BI46" s="19" t="s">
        <v>59</v>
      </c>
      <c r="BJ46" s="53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</row>
    <row r="47" spans="1:85">
      <c r="A47" s="14" t="s">
        <v>177</v>
      </c>
      <c r="B47" s="14" t="s">
        <v>55</v>
      </c>
      <c r="C47" s="14" t="s">
        <v>60</v>
      </c>
      <c r="D47" s="14">
        <v>25284</v>
      </c>
      <c r="E47" s="14" t="s">
        <v>178</v>
      </c>
      <c r="F47" s="14" t="s">
        <v>179</v>
      </c>
      <c r="G47" s="15" t="s">
        <v>334</v>
      </c>
      <c r="H47" s="16" t="s">
        <v>1443</v>
      </c>
      <c r="I47" s="18">
        <v>94.12</v>
      </c>
      <c r="J47" s="100">
        <v>42825</v>
      </c>
      <c r="K47" s="58" t="s">
        <v>89</v>
      </c>
      <c r="L47" s="60"/>
      <c r="M47" s="61"/>
      <c r="N47" s="82">
        <v>0</v>
      </c>
      <c r="O47" s="82">
        <f>IF(Tabela232[[#This Row],[Situação2]]=Tabela232[[#This Row],[Situação]],0,1)</f>
        <v>1</v>
      </c>
      <c r="P47" s="89" t="s">
        <v>89</v>
      </c>
      <c r="Q47" s="60"/>
      <c r="R47" s="60"/>
      <c r="S47" s="84">
        <v>0</v>
      </c>
      <c r="T47" s="82"/>
      <c r="U47" s="76" t="s">
        <v>89</v>
      </c>
      <c r="V47" s="76" t="s">
        <v>1063</v>
      </c>
      <c r="W47" s="76">
        <v>42940</v>
      </c>
      <c r="X47" s="82">
        <f>IF(Tabela232[[#This Row],[Situação3]]=Tabela232[[#This Row],[Situação4]],0,1)</f>
        <v>0</v>
      </c>
      <c r="Y47" s="82"/>
      <c r="Z47" s="82">
        <v>0</v>
      </c>
      <c r="AA47" s="82" t="s">
        <v>89</v>
      </c>
      <c r="AB47" s="189" t="s">
        <v>1063</v>
      </c>
      <c r="AC47" s="189">
        <v>42940</v>
      </c>
      <c r="AD47" s="189" t="str">
        <f>Tabela232[[#This Row],[Situação3]]</f>
        <v>Concluída</v>
      </c>
      <c r="AE47" s="82" t="s">
        <v>89</v>
      </c>
      <c r="AF47" s="189" t="s">
        <v>1063</v>
      </c>
      <c r="AG47" s="189"/>
      <c r="AH47" s="82"/>
      <c r="AI47" s="59" t="s">
        <v>1487</v>
      </c>
      <c r="AJ47" s="14" t="s">
        <v>1489</v>
      </c>
      <c r="AK47" s="15" t="s">
        <v>60</v>
      </c>
      <c r="AL47" s="15" t="s">
        <v>60</v>
      </c>
      <c r="AM47" s="15"/>
      <c r="AN47" s="153">
        <f>INDEX('Simec OT - 020718'!$AX$1:$AX$137,MATCH(Tabela232[[#This Row],[ID obra]],'Simec OT - 020718'!$A$1:$A$137,0))</f>
        <v>1368907.75</v>
      </c>
      <c r="AO47" s="131">
        <v>1179945.1299999999</v>
      </c>
      <c r="AP47" s="156">
        <f>IF(COUNTIF(AO$2:AO47,AO47)=1,1,0)</f>
        <v>1</v>
      </c>
      <c r="AQ47" s="156">
        <f t="shared" si="0"/>
        <v>2</v>
      </c>
      <c r="AR47" s="129">
        <f>Tabela232[[#This Row],[Saldo da conta 07/2018]]/Tabela232[[#This Row],[formel2]]</f>
        <v>589972.56499999994</v>
      </c>
      <c r="AS47" s="129">
        <f>INDEX('[1]Total repassado por obra'!$D$2:$D$127,MATCH(Tabela232[[#This Row],[ID obra]],'[1]Total repassado por obra'!$B$2:$B$127,0))</f>
        <v>1563303</v>
      </c>
      <c r="AT47" s="129">
        <v>1563303</v>
      </c>
      <c r="AU47" s="32" t="s">
        <v>180</v>
      </c>
      <c r="AV47" s="32" t="s">
        <v>334</v>
      </c>
      <c r="AW47" s="32">
        <v>2012</v>
      </c>
      <c r="AX47" s="32">
        <v>2017</v>
      </c>
      <c r="AY47" s="32">
        <f>Tabela232[[#This Row],[Ano de entrega]]-Tabela232[[#This Row],[Ano de início da obra]]</f>
        <v>5</v>
      </c>
      <c r="AZ47" s="32">
        <f>BO47-BN47</f>
        <v>411</v>
      </c>
      <c r="BA47" s="32" t="s">
        <v>60</v>
      </c>
      <c r="BB47" s="106" t="s">
        <v>1488</v>
      </c>
      <c r="BC47" s="110">
        <v>41149</v>
      </c>
      <c r="BD47" s="110">
        <v>41514</v>
      </c>
      <c r="BE47" s="110"/>
      <c r="BF47" s="114">
        <f>Tabela232[[#This Row],[Término inicial]]-Tabela232[[#This Row],[Início]]</f>
        <v>365</v>
      </c>
      <c r="BG47" s="114"/>
      <c r="BH47" s="109">
        <v>2584692.63</v>
      </c>
      <c r="BI47" s="109"/>
      <c r="BJ47" s="120" t="s">
        <v>181</v>
      </c>
      <c r="BK47" s="21">
        <v>42228</v>
      </c>
      <c r="BL47" s="21">
        <v>42594</v>
      </c>
      <c r="BM47" s="21">
        <v>43005</v>
      </c>
      <c r="BN47" s="32">
        <v>366</v>
      </c>
      <c r="BO47" s="32">
        <v>777</v>
      </c>
      <c r="BP47" s="19">
        <v>515992.26</v>
      </c>
      <c r="BQ47" s="19">
        <v>515992.26</v>
      </c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</row>
    <row r="48" spans="1:85">
      <c r="A48" s="14" t="s">
        <v>177</v>
      </c>
      <c r="B48" s="14" t="s">
        <v>55</v>
      </c>
      <c r="C48" s="14" t="s">
        <v>60</v>
      </c>
      <c r="D48" s="14">
        <v>25286</v>
      </c>
      <c r="E48" s="14" t="s">
        <v>182</v>
      </c>
      <c r="F48" s="14" t="s">
        <v>183</v>
      </c>
      <c r="G48" s="15" t="s">
        <v>334</v>
      </c>
      <c r="H48" s="16" t="s">
        <v>1443</v>
      </c>
      <c r="I48" s="18">
        <v>86.76</v>
      </c>
      <c r="J48" s="48">
        <v>42951</v>
      </c>
      <c r="K48" s="58" t="s">
        <v>89</v>
      </c>
      <c r="L48" s="60"/>
      <c r="M48" s="17"/>
      <c r="N48" s="82">
        <v>0</v>
      </c>
      <c r="O48" s="82">
        <f>IF(Tabela232[[#This Row],[Situação2]]=Tabela232[[#This Row],[Situação]],0,1)</f>
        <v>1</v>
      </c>
      <c r="P48" s="89" t="s">
        <v>89</v>
      </c>
      <c r="Q48" s="60"/>
      <c r="R48" s="60"/>
      <c r="S48" s="84">
        <v>0</v>
      </c>
      <c r="T48" s="82"/>
      <c r="U48" s="76" t="s">
        <v>89</v>
      </c>
      <c r="V48" s="76" t="s">
        <v>1063</v>
      </c>
      <c r="W48" s="76">
        <v>42716</v>
      </c>
      <c r="X48" s="82">
        <f>IF(Tabela232[[#This Row],[Situação3]]=Tabela232[[#This Row],[Situação4]],0,1)</f>
        <v>0</v>
      </c>
      <c r="Y48" s="82"/>
      <c r="Z48" s="82">
        <v>0</v>
      </c>
      <c r="AA48" s="82" t="s">
        <v>89</v>
      </c>
      <c r="AB48" s="189" t="s">
        <v>1063</v>
      </c>
      <c r="AC48" s="189">
        <v>42716</v>
      </c>
      <c r="AD48" s="189" t="str">
        <f>Tabela232[[#This Row],[Situação3]]</f>
        <v>Concluída</v>
      </c>
      <c r="AE48" s="82" t="s">
        <v>89</v>
      </c>
      <c r="AF48" s="189" t="s">
        <v>1063</v>
      </c>
      <c r="AG48" s="189"/>
      <c r="AH48" s="82"/>
      <c r="AI48" s="59" t="s">
        <v>184</v>
      </c>
      <c r="AJ48" s="14" t="s">
        <v>1486</v>
      </c>
      <c r="AK48" s="15" t="s">
        <v>60</v>
      </c>
      <c r="AL48" s="15" t="s">
        <v>60</v>
      </c>
      <c r="AM48" s="15"/>
      <c r="AN48" s="153">
        <f>INDEX('Simec OT - 020718'!$AX$1:$AX$137,MATCH(Tabela232[[#This Row],[ID obra]],'Simec OT - 020718'!$A$1:$A$137,0))</f>
        <v>1332840.94</v>
      </c>
      <c r="AO48" s="131">
        <v>1179945.1299999999</v>
      </c>
      <c r="AP48" s="156">
        <f>IF(COUNTIF(AO$2:AO48,AO48)=1,1,0)</f>
        <v>0</v>
      </c>
      <c r="AQ48" s="156">
        <f t="shared" si="0"/>
        <v>2</v>
      </c>
      <c r="AR48" s="129">
        <f>Tabela232[[#This Row],[Saldo da conta 07/2018]]/Tabela232[[#This Row],[formel2]]</f>
        <v>589972.56499999994</v>
      </c>
      <c r="AS48" s="129">
        <f>INDEX('[1]Total repassado por obra'!$D$2:$D$127,MATCH(Tabela232[[#This Row],[ID obra]],'[1]Total repassado por obra'!$B$2:$B$127,0))</f>
        <v>1601359</v>
      </c>
      <c r="AT48" s="129">
        <v>1601359</v>
      </c>
      <c r="AU48" s="32" t="s">
        <v>180</v>
      </c>
      <c r="AV48" s="32" t="s">
        <v>334</v>
      </c>
      <c r="AW48" s="32">
        <v>2012</v>
      </c>
      <c r="AX48" s="32">
        <v>2017</v>
      </c>
      <c r="AY48" s="32">
        <f>Tabela232[[#This Row],[Ano de entrega]]-Tabela232[[#This Row],[Ano de início da obra]]</f>
        <v>5</v>
      </c>
      <c r="AZ48" s="32">
        <f>Tabela232[[#This Row],[Duração final]]-Tabela232[[#This Row],[Duração prevista]]</f>
        <v>1278</v>
      </c>
      <c r="BA48" s="32" t="s">
        <v>78</v>
      </c>
      <c r="BB48" s="106" t="s">
        <v>185</v>
      </c>
      <c r="BC48" s="21">
        <v>41149</v>
      </c>
      <c r="BD48" s="21">
        <v>41449</v>
      </c>
      <c r="BE48" s="21">
        <v>42727</v>
      </c>
      <c r="BF48" s="30">
        <v>300</v>
      </c>
      <c r="BG48" s="30">
        <v>1578</v>
      </c>
      <c r="BH48" s="19">
        <v>1222050.67</v>
      </c>
      <c r="BI48" s="19">
        <v>1222050.67</v>
      </c>
      <c r="BJ48" s="19"/>
      <c r="BK48" s="19"/>
      <c r="BL48" s="19"/>
      <c r="BM48" s="19"/>
      <c r="BN48" s="19"/>
      <c r="BO48" s="19"/>
      <c r="BP48" s="19"/>
      <c r="BQ48" s="19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</row>
    <row r="49" spans="1:85">
      <c r="A49" s="14" t="s">
        <v>177</v>
      </c>
      <c r="B49" s="14" t="s">
        <v>55</v>
      </c>
      <c r="C49" s="14" t="s">
        <v>60</v>
      </c>
      <c r="D49" s="14">
        <v>1005588</v>
      </c>
      <c r="E49" s="14" t="s">
        <v>186</v>
      </c>
      <c r="F49" s="14" t="s">
        <v>187</v>
      </c>
      <c r="G49" s="15" t="s">
        <v>331</v>
      </c>
      <c r="H49" s="16" t="s">
        <v>64</v>
      </c>
      <c r="I49" s="18">
        <v>0</v>
      </c>
      <c r="J49" s="48" t="s">
        <v>59</v>
      </c>
      <c r="K49" s="58" t="s">
        <v>1443</v>
      </c>
      <c r="L49" s="60"/>
      <c r="M49" s="17"/>
      <c r="N49" s="82">
        <v>0</v>
      </c>
      <c r="O49" s="82">
        <f>IF(Tabela232[[#This Row],[Situação2]]=Tabela232[[#This Row],[Situação]],0,1)</f>
        <v>1</v>
      </c>
      <c r="P49" s="89" t="s">
        <v>1443</v>
      </c>
      <c r="Q49" s="60"/>
      <c r="R49" s="60"/>
      <c r="S49" s="84">
        <v>0</v>
      </c>
      <c r="T49" s="82"/>
      <c r="U49" s="76" t="s">
        <v>1443</v>
      </c>
      <c r="V49" s="76" t="s">
        <v>1174</v>
      </c>
      <c r="W49" s="76">
        <v>43300</v>
      </c>
      <c r="X49" s="82">
        <f>IF(Tabela232[[#This Row],[Situação3]]=Tabela232[[#This Row],[Situação4]],0,1)</f>
        <v>0</v>
      </c>
      <c r="Y49" s="82"/>
      <c r="Z49" s="82"/>
      <c r="AA49" s="82" t="s">
        <v>89</v>
      </c>
      <c r="AB49" s="189" t="s">
        <v>1685</v>
      </c>
      <c r="AC49" s="189">
        <v>43369</v>
      </c>
      <c r="AD49" s="189" t="s">
        <v>89</v>
      </c>
      <c r="AE49" s="82" t="s">
        <v>89</v>
      </c>
      <c r="AF49" s="189" t="s">
        <v>1063</v>
      </c>
      <c r="AG49" s="189"/>
      <c r="AH49" s="82" t="s">
        <v>1624</v>
      </c>
      <c r="AI49" s="59" t="s">
        <v>188</v>
      </c>
      <c r="AJ49" s="14" t="s">
        <v>1607</v>
      </c>
      <c r="AK49" s="15" t="s">
        <v>60</v>
      </c>
      <c r="AL49" s="15" t="s">
        <v>60</v>
      </c>
      <c r="AM49" s="14"/>
      <c r="AN49" s="153">
        <f>INDEX('Simec OT - 020718'!$AX$1:$AX$137,MATCH(Tabela232[[#This Row],[ID obra]],'Simec OT - 020718'!$A$1:$A$137,0))</f>
        <v>1060278.96</v>
      </c>
      <c r="AO49" s="130">
        <v>45457.27</v>
      </c>
      <c r="AP49" s="156">
        <f>IF(COUNTIF(AO$2:AO49,AO49)=1,1,0)</f>
        <v>1</v>
      </c>
      <c r="AQ49" s="156">
        <f t="shared" si="0"/>
        <v>1</v>
      </c>
      <c r="AR49" s="129">
        <f>Tabela232[[#This Row],[Saldo da conta 07/2018]]/Tabela232[[#This Row],[formel2]]</f>
        <v>45457.27</v>
      </c>
      <c r="AS49" s="129">
        <f>INDEX('[1]Total repassado por obra'!$D$2:$D$127,MATCH(Tabela232[[#This Row],[ID obra]],'[1]Total repassado por obra'!$B$2:$B$127,0))</f>
        <v>787605</v>
      </c>
      <c r="AT49" s="129">
        <v>787605</v>
      </c>
      <c r="AU49" s="32" t="s">
        <v>189</v>
      </c>
      <c r="AV49" s="32" t="s">
        <v>331</v>
      </c>
      <c r="AW49" s="32">
        <v>2017</v>
      </c>
      <c r="AX49" s="24">
        <v>2018</v>
      </c>
      <c r="AY49" s="32">
        <f>Tabela232[[#This Row],[Ano de entrega]]-Tabela232[[#This Row],[Ano de início da obra]]</f>
        <v>1</v>
      </c>
      <c r="AZ49" s="24">
        <f>Tabela232[[#This Row],[Duração final]]-Tabela232[[#This Row],[Duração prevista]]</f>
        <v>186</v>
      </c>
      <c r="BA49" s="32" t="s">
        <v>78</v>
      </c>
      <c r="BB49" s="106" t="s">
        <v>190</v>
      </c>
      <c r="BC49" s="21">
        <v>42760</v>
      </c>
      <c r="BD49" s="110">
        <v>43306</v>
      </c>
      <c r="BE49" s="21">
        <v>43396</v>
      </c>
      <c r="BF49" s="114">
        <f>Tabela232[[#This Row],[Término inicial]]-Tabela232[[#This Row],[Início]]</f>
        <v>546</v>
      </c>
      <c r="BG49" s="114">
        <v>732</v>
      </c>
      <c r="BH49" s="19">
        <v>1696474.96</v>
      </c>
      <c r="BI49" s="109">
        <v>1869901.23</v>
      </c>
      <c r="BJ49" s="19"/>
      <c r="BK49" s="19"/>
      <c r="BL49" s="19"/>
      <c r="BM49" s="19"/>
      <c r="BN49" s="19"/>
      <c r="BO49" s="19"/>
      <c r="BP49" s="19"/>
      <c r="BQ49" s="19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</row>
    <row r="50" spans="1:85">
      <c r="A50" s="14" t="s">
        <v>191</v>
      </c>
      <c r="B50" s="14" t="s">
        <v>86</v>
      </c>
      <c r="C50" s="14" t="s">
        <v>60</v>
      </c>
      <c r="D50" s="14">
        <v>25130</v>
      </c>
      <c r="E50" s="14" t="s">
        <v>62</v>
      </c>
      <c r="F50" s="14"/>
      <c r="G50" s="15" t="s">
        <v>334</v>
      </c>
      <c r="H50" s="16" t="s">
        <v>1443</v>
      </c>
      <c r="I50" s="18">
        <v>80.739999999999995</v>
      </c>
      <c r="J50" s="100">
        <v>42822</v>
      </c>
      <c r="K50" s="58" t="s">
        <v>67</v>
      </c>
      <c r="L50" s="60"/>
      <c r="M50" s="17"/>
      <c r="N50" s="82">
        <v>0</v>
      </c>
      <c r="O50" s="82">
        <f>IF(Tabela232[[#This Row],[Situação2]]=Tabela232[[#This Row],[Situação]],0,1)</f>
        <v>1</v>
      </c>
      <c r="P50" s="89" t="s">
        <v>67</v>
      </c>
      <c r="Q50" s="60"/>
      <c r="R50" s="60"/>
      <c r="S50" s="84">
        <v>0</v>
      </c>
      <c r="T50" s="82"/>
      <c r="U50" s="76" t="s">
        <v>1443</v>
      </c>
      <c r="V50" s="76" t="s">
        <v>1177</v>
      </c>
      <c r="W50" s="76">
        <v>43069</v>
      </c>
      <c r="X50" s="82">
        <f>IF(Tabela232[[#This Row],[Situação3]]=Tabela232[[#This Row],[Situação4]],0,1)</f>
        <v>1</v>
      </c>
      <c r="Y50" s="82"/>
      <c r="Z50" s="82">
        <v>0</v>
      </c>
      <c r="AA50" s="82" t="s">
        <v>1443</v>
      </c>
      <c r="AB50" s="189" t="s">
        <v>1707</v>
      </c>
      <c r="AC50" s="189">
        <v>43524</v>
      </c>
      <c r="AD50" s="189" t="s">
        <v>1443</v>
      </c>
      <c r="AE50" s="82" t="s">
        <v>1443</v>
      </c>
      <c r="AF50" s="189"/>
      <c r="AG50" s="189"/>
      <c r="AH50" s="82" t="s">
        <v>1623</v>
      </c>
      <c r="AI50" s="59" t="s">
        <v>1485</v>
      </c>
      <c r="AJ50" s="14" t="s">
        <v>1537</v>
      </c>
      <c r="AK50" s="15" t="s">
        <v>60</v>
      </c>
      <c r="AL50" s="15" t="s">
        <v>60</v>
      </c>
      <c r="AM50" s="14"/>
      <c r="AN50" s="153">
        <f>INDEX('Simec OT - 020718'!$AX$1:$AX$137,MATCH(Tabela232[[#This Row],[ID obra]],'Simec OT - 020718'!$A$1:$A$137,0))</f>
        <v>1086475.28</v>
      </c>
      <c r="AO50" s="130">
        <v>3324.84</v>
      </c>
      <c r="AP50" s="156">
        <f>IF(COUNTIF(AO$2:AO50,AO50)=1,1,0)</f>
        <v>1</v>
      </c>
      <c r="AQ50" s="156">
        <f t="shared" si="0"/>
        <v>1</v>
      </c>
      <c r="AR50" s="129">
        <f>Tabela232[[#This Row],[Saldo da conta 07/2018]]/Tabela232[[#This Row],[formel2]]</f>
        <v>3324.84</v>
      </c>
      <c r="AS50" s="129">
        <f>INDEX('[1]Total repassado por obra'!$D$2:$D$127,MATCH(Tabela232[[#This Row],[ID obra]],'[1]Total repassado por obra'!$B$2:$B$127,0))</f>
        <v>1357041</v>
      </c>
      <c r="AT50" s="129">
        <v>1357041</v>
      </c>
      <c r="AU50" s="32" t="s">
        <v>192</v>
      </c>
      <c r="AV50" s="32" t="s">
        <v>334</v>
      </c>
      <c r="AW50" s="24">
        <v>2013</v>
      </c>
      <c r="AX50" s="24" t="s">
        <v>59</v>
      </c>
      <c r="AY50" s="24"/>
      <c r="AZ50" s="24">
        <f>Tabela232[[#This Row],[Duração final]]-Tabela232[[#This Row],[Duração prevista]]</f>
        <v>1468</v>
      </c>
      <c r="BA50" s="24" t="s">
        <v>60</v>
      </c>
      <c r="BB50" s="106" t="s">
        <v>643</v>
      </c>
      <c r="BC50" s="21">
        <v>41331</v>
      </c>
      <c r="BD50" s="21">
        <v>41601</v>
      </c>
      <c r="BE50" s="21">
        <v>43069</v>
      </c>
      <c r="BF50" s="30">
        <v>270</v>
      </c>
      <c r="BG50" s="30">
        <v>1738</v>
      </c>
      <c r="BH50" s="19">
        <v>1560503.51</v>
      </c>
      <c r="BI50" s="19">
        <v>1560503.51</v>
      </c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</row>
    <row r="51" spans="1:85">
      <c r="A51" s="14" t="s">
        <v>191</v>
      </c>
      <c r="B51" s="14" t="s">
        <v>86</v>
      </c>
      <c r="C51" s="14" t="s">
        <v>60</v>
      </c>
      <c r="D51" s="14">
        <v>1006532</v>
      </c>
      <c r="E51" s="14" t="s">
        <v>193</v>
      </c>
      <c r="F51" s="14"/>
      <c r="G51" s="15" t="s">
        <v>331</v>
      </c>
      <c r="H51" s="16" t="s">
        <v>64</v>
      </c>
      <c r="I51" s="18">
        <v>0</v>
      </c>
      <c r="J51" s="48" t="s">
        <v>59</v>
      </c>
      <c r="K51" s="58" t="s">
        <v>64</v>
      </c>
      <c r="L51" s="60"/>
      <c r="M51" s="17"/>
      <c r="N51" s="81">
        <v>1</v>
      </c>
      <c r="O51" s="149">
        <f>IF(Tabela232[[#This Row],[Situação2]]=Tabela232[[#This Row],[Situação]],0,1)</f>
        <v>0</v>
      </c>
      <c r="P51" s="89" t="s">
        <v>64</v>
      </c>
      <c r="Q51" s="60"/>
      <c r="R51" s="60"/>
      <c r="S51" s="61">
        <v>1</v>
      </c>
      <c r="T51" s="96">
        <f>2018-Tabela232[[#This Row],[Ano do convênio]]</f>
        <v>5</v>
      </c>
      <c r="U51" s="76" t="s">
        <v>64</v>
      </c>
      <c r="V51" s="76" t="s">
        <v>988</v>
      </c>
      <c r="W51" s="76" t="s">
        <v>59</v>
      </c>
      <c r="X51" s="82">
        <f>IF(Tabela232[[#This Row],[Situação3]]=Tabela232[[#This Row],[Situação4]],0,1)</f>
        <v>0</v>
      </c>
      <c r="Y51" s="82"/>
      <c r="Z51" s="82"/>
      <c r="AA51" s="82" t="s">
        <v>204</v>
      </c>
      <c r="AB51" s="189" t="s">
        <v>988</v>
      </c>
      <c r="AC51" s="82">
        <v>0</v>
      </c>
      <c r="AD51" s="82" t="str">
        <f>Tabela232[[#This Row],[Situação3]]</f>
        <v>Não iniciada</v>
      </c>
      <c r="AE51" s="82" t="s">
        <v>204</v>
      </c>
      <c r="AF51" s="82"/>
      <c r="AG51" s="82"/>
      <c r="AH51" s="82" t="s">
        <v>1624</v>
      </c>
      <c r="AI51" s="14"/>
      <c r="AJ51" s="14"/>
      <c r="AK51" s="15" t="s">
        <v>78</v>
      </c>
      <c r="AL51" s="15" t="s">
        <v>78</v>
      </c>
      <c r="AM51" s="15" t="s">
        <v>60</v>
      </c>
      <c r="AN51" s="153">
        <f>INDEX('Simec OT - 020718'!$AX$1:$AX$137,MATCH(Tabela232[[#This Row],[ID obra]],'Simec OT - 020718'!$A$1:$A$137,0))</f>
        <v>371770.9</v>
      </c>
      <c r="AO51" s="129">
        <v>371862.16</v>
      </c>
      <c r="AP51" s="156">
        <f>IF(COUNTIF(AO$2:AO51,AO51)=1,1,0)</f>
        <v>1</v>
      </c>
      <c r="AQ51" s="156">
        <f t="shared" si="0"/>
        <v>1</v>
      </c>
      <c r="AR51" s="129">
        <f>Tabela232[[#This Row],[Saldo da conta 07/2018]]/Tabela232[[#This Row],[formel2]]</f>
        <v>371862.16</v>
      </c>
      <c r="AS51" s="129">
        <f>INDEX('[1]Total repassado por obra'!$D$2:$D$127,MATCH(Tabela232[[#This Row],[ID obra]],'[1]Total repassado por obra'!$B$2:$B$127,0))</f>
        <v>452087</v>
      </c>
      <c r="AT51" s="129">
        <v>452087</v>
      </c>
      <c r="AU51" s="32" t="s">
        <v>194</v>
      </c>
      <c r="AV51" s="32" t="s">
        <v>331</v>
      </c>
      <c r="AW51" s="32" t="s">
        <v>59</v>
      </c>
      <c r="AX51" s="32" t="s">
        <v>59</v>
      </c>
      <c r="AY51" s="32"/>
      <c r="AZ51" s="32"/>
      <c r="BA51" s="32" t="s">
        <v>59</v>
      </c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</row>
    <row r="52" spans="1:85">
      <c r="A52" s="14" t="s">
        <v>195</v>
      </c>
      <c r="B52" s="14" t="s">
        <v>146</v>
      </c>
      <c r="C52" s="14" t="s">
        <v>60</v>
      </c>
      <c r="D52" s="14">
        <v>1001606</v>
      </c>
      <c r="E52" s="14" t="s">
        <v>196</v>
      </c>
      <c r="F52" s="14"/>
      <c r="G52" s="15" t="s">
        <v>331</v>
      </c>
      <c r="H52" s="16" t="s">
        <v>64</v>
      </c>
      <c r="I52" s="18">
        <v>0</v>
      </c>
      <c r="J52" s="48" t="s">
        <v>59</v>
      </c>
      <c r="K52" s="58" t="s">
        <v>1443</v>
      </c>
      <c r="L52" s="60">
        <v>40</v>
      </c>
      <c r="M52" s="20">
        <v>43155</v>
      </c>
      <c r="N52" s="82">
        <v>0</v>
      </c>
      <c r="O52" s="82">
        <f>IF(Tabela232[[#This Row],[Situação2]]=Tabela232[[#This Row],[Situação]],0,1)</f>
        <v>1</v>
      </c>
      <c r="P52" s="81" t="s">
        <v>1443</v>
      </c>
      <c r="Q52" s="60">
        <v>54.97</v>
      </c>
      <c r="R52" s="86">
        <v>43371</v>
      </c>
      <c r="S52" s="84">
        <v>0</v>
      </c>
      <c r="T52" s="82"/>
      <c r="U52" s="76" t="s">
        <v>1443</v>
      </c>
      <c r="V52" s="76" t="s">
        <v>1188</v>
      </c>
      <c r="W52" s="76">
        <v>43371</v>
      </c>
      <c r="X52" s="82">
        <f>IF(Tabela232[[#This Row],[Situação3]]=Tabela232[[#This Row],[Situação4]],0,1)</f>
        <v>0</v>
      </c>
      <c r="Y52" s="82"/>
      <c r="Z52" s="82"/>
      <c r="AA52" s="82" t="s">
        <v>1443</v>
      </c>
      <c r="AB52" s="189" t="s">
        <v>1708</v>
      </c>
      <c r="AC52" s="189">
        <v>43438</v>
      </c>
      <c r="AD52" s="189" t="str">
        <f>Tabela232[[#This Row],[Situação3]]</f>
        <v>Em andamento</v>
      </c>
      <c r="AE52" s="82" t="s">
        <v>89</v>
      </c>
      <c r="AF52" s="189" t="s">
        <v>1063</v>
      </c>
      <c r="AG52" s="189" t="s">
        <v>1761</v>
      </c>
      <c r="AH52" s="82" t="s">
        <v>1624</v>
      </c>
      <c r="AI52" s="59" t="s">
        <v>197</v>
      </c>
      <c r="AJ52" s="14" t="s">
        <v>1538</v>
      </c>
      <c r="AK52" s="15" t="s">
        <v>60</v>
      </c>
      <c r="AL52" s="15" t="s">
        <v>60</v>
      </c>
      <c r="AM52" s="14"/>
      <c r="AN52" s="153">
        <f>INDEX('Simec OT - 020718'!$AX$1:$AX$137,MATCH(Tabela232[[#This Row],[ID obra]],'Simec OT - 020718'!$A$1:$A$137,0))</f>
        <v>1135607.6000000001</v>
      </c>
      <c r="AO52" s="130">
        <v>0</v>
      </c>
      <c r="AP52" s="156">
        <f>IF(COUNTIF(AO$2:AO52,AO52)=1,1,0)</f>
        <v>0</v>
      </c>
      <c r="AQ52" s="156">
        <f t="shared" si="0"/>
        <v>25</v>
      </c>
      <c r="AR52" s="129">
        <f>Tabela232[[#This Row],[Saldo da conta 07/2018]]/Tabela232[[#This Row],[formel2]]</f>
        <v>0</v>
      </c>
      <c r="AS52" s="129">
        <f>INDEX('[1]Total repassado por obra'!$D$2:$D$127,MATCH(Tabela232[[#This Row],[ID obra]],'[1]Total repassado por obra'!$B$2:$B$127,0))</f>
        <v>1349132</v>
      </c>
      <c r="AT52" s="129">
        <v>1349132</v>
      </c>
      <c r="AU52" s="32" t="s">
        <v>198</v>
      </c>
      <c r="AV52" s="32" t="s">
        <v>331</v>
      </c>
      <c r="AW52" s="24">
        <v>2016</v>
      </c>
      <c r="AX52" s="24">
        <v>2018</v>
      </c>
      <c r="AY52" s="32">
        <f>Tabela232[[#This Row],[Ano de entrega]]-Tabela232[[#This Row],[Ano de início da obra]]</f>
        <v>2</v>
      </c>
      <c r="AZ52" s="24">
        <f>Tabela232[[#This Row],[Duração final]]-Tabela232[[#This Row],[Duração prevista]]</f>
        <v>574</v>
      </c>
      <c r="BA52" s="24" t="s">
        <v>78</v>
      </c>
      <c r="BB52" s="106" t="s">
        <v>1192</v>
      </c>
      <c r="BC52" s="21">
        <v>42424</v>
      </c>
      <c r="BD52" s="21">
        <v>42879</v>
      </c>
      <c r="BE52" s="21">
        <v>43453</v>
      </c>
      <c r="BF52" s="30">
        <v>455</v>
      </c>
      <c r="BG52" s="30">
        <v>1029</v>
      </c>
      <c r="BH52" s="109">
        <v>1546102.67</v>
      </c>
      <c r="BI52" s="19">
        <v>1832050.07</v>
      </c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</row>
    <row r="53" spans="1:85">
      <c r="A53" s="14" t="s">
        <v>195</v>
      </c>
      <c r="B53" s="14" t="s">
        <v>146</v>
      </c>
      <c r="C53" s="14" t="s">
        <v>60</v>
      </c>
      <c r="D53" s="14">
        <v>1017501</v>
      </c>
      <c r="E53" s="14" t="s">
        <v>199</v>
      </c>
      <c r="F53" s="14"/>
      <c r="G53" s="15" t="s">
        <v>332</v>
      </c>
      <c r="H53" s="16" t="s">
        <v>64</v>
      </c>
      <c r="I53" s="18">
        <v>0</v>
      </c>
      <c r="J53" s="48" t="s">
        <v>59</v>
      </c>
      <c r="K53" s="58" t="s">
        <v>64</v>
      </c>
      <c r="L53" s="60">
        <v>0</v>
      </c>
      <c r="M53" s="17"/>
      <c r="N53" s="81">
        <v>1</v>
      </c>
      <c r="O53" s="149">
        <f>IF(Tabela232[[#This Row],[Situação2]]=Tabela232[[#This Row],[Situação]],0,1)</f>
        <v>0</v>
      </c>
      <c r="P53" s="81" t="s">
        <v>64</v>
      </c>
      <c r="Q53" s="60"/>
      <c r="R53" s="60"/>
      <c r="S53" s="61">
        <v>1</v>
      </c>
      <c r="T53" s="96">
        <f>2018-Tabela232[[#This Row],[Ano do convênio]]</f>
        <v>4</v>
      </c>
      <c r="U53" s="76" t="s">
        <v>64</v>
      </c>
      <c r="V53" s="76" t="s">
        <v>988</v>
      </c>
      <c r="W53" s="76" t="s">
        <v>59</v>
      </c>
      <c r="X53" s="82">
        <f>IF(Tabela232[[#This Row],[Situação3]]=Tabela232[[#This Row],[Situação4]],0,1)</f>
        <v>0</v>
      </c>
      <c r="Y53" s="82"/>
      <c r="Z53" s="82">
        <v>0</v>
      </c>
      <c r="AA53" s="82" t="s">
        <v>1443</v>
      </c>
      <c r="AB53" s="190">
        <v>7.52</v>
      </c>
      <c r="AC53" s="189">
        <v>43616</v>
      </c>
      <c r="AD53" s="189" t="s">
        <v>1443</v>
      </c>
      <c r="AE53" s="82" t="s">
        <v>1443</v>
      </c>
      <c r="AF53" s="189" t="s">
        <v>1762</v>
      </c>
      <c r="AG53" s="189" t="s">
        <v>1763</v>
      </c>
      <c r="AH53" s="82"/>
      <c r="AI53" s="14" t="s">
        <v>1608</v>
      </c>
      <c r="AJ53" s="14" t="s">
        <v>1605</v>
      </c>
      <c r="AK53" s="15" t="s">
        <v>78</v>
      </c>
      <c r="AL53" s="15" t="s">
        <v>78</v>
      </c>
      <c r="AM53" s="14"/>
      <c r="AN53" s="153">
        <f>INDEX('Simec OT - 020718'!$AX$1:$AX$137,MATCH(Tabela232[[#This Row],[ID obra]],'Simec OT - 020718'!$A$1:$A$137,0))</f>
        <v>0</v>
      </c>
      <c r="AO53" s="129">
        <v>0</v>
      </c>
      <c r="AP53" s="156">
        <f>IF(COUNTIF(AO$2:AO53,AO53)=1,1,0)</f>
        <v>0</v>
      </c>
      <c r="AQ53" s="156">
        <f t="shared" si="0"/>
        <v>25</v>
      </c>
      <c r="AR53" s="129">
        <f>Tabela232[[#This Row],[Saldo da conta 07/2018]]/Tabela232[[#This Row],[formel2]]</f>
        <v>0</v>
      </c>
      <c r="AS53" s="126" t="s">
        <v>59</v>
      </c>
      <c r="AT53" s="129" t="s">
        <v>59</v>
      </c>
      <c r="AU53" s="32" t="s">
        <v>200</v>
      </c>
      <c r="AV53" s="32" t="s">
        <v>332</v>
      </c>
      <c r="AW53" s="32" t="s">
        <v>59</v>
      </c>
      <c r="AX53" s="32" t="s">
        <v>59</v>
      </c>
      <c r="AY53" s="32"/>
      <c r="AZ53" s="32"/>
      <c r="BA53" s="32" t="s">
        <v>78</v>
      </c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</row>
    <row r="54" spans="1:85">
      <c r="A54" s="14" t="s">
        <v>201</v>
      </c>
      <c r="B54" s="14" t="s">
        <v>202</v>
      </c>
      <c r="C54" s="14" t="s">
        <v>60</v>
      </c>
      <c r="D54" s="14">
        <v>24448</v>
      </c>
      <c r="E54" s="14" t="s">
        <v>56</v>
      </c>
      <c r="F54" s="14" t="s">
        <v>1480</v>
      </c>
      <c r="G54" s="15" t="s">
        <v>331</v>
      </c>
      <c r="H54" s="16" t="s">
        <v>64</v>
      </c>
      <c r="I54" s="18">
        <v>0</v>
      </c>
      <c r="J54" s="48" t="s">
        <v>59</v>
      </c>
      <c r="K54" s="58" t="s">
        <v>64</v>
      </c>
      <c r="L54" s="60"/>
      <c r="M54" s="17"/>
      <c r="N54" s="81">
        <v>1</v>
      </c>
      <c r="O54" s="149">
        <f>IF(Tabela232[[#This Row],[Situação2]]=Tabela232[[#This Row],[Situação]],0,1)</f>
        <v>0</v>
      </c>
      <c r="P54" s="81" t="s">
        <v>64</v>
      </c>
      <c r="Q54" s="60">
        <v>0</v>
      </c>
      <c r="R54" s="60" t="s">
        <v>59</v>
      </c>
      <c r="S54" s="61">
        <v>1</v>
      </c>
      <c r="T54" s="96">
        <f>2018-Tabela232[[#This Row],[Ano do convênio]]</f>
        <v>5</v>
      </c>
      <c r="U54" s="76" t="s">
        <v>64</v>
      </c>
      <c r="V54" s="76" t="s">
        <v>988</v>
      </c>
      <c r="W54" s="76" t="s">
        <v>59</v>
      </c>
      <c r="X54" s="82">
        <f>IF(Tabela232[[#This Row],[Situação3]]=Tabela232[[#This Row],[Situação4]],0,1)</f>
        <v>0</v>
      </c>
      <c r="Y54" s="82"/>
      <c r="Z54" s="82"/>
      <c r="AA54" s="82" t="s">
        <v>204</v>
      </c>
      <c r="AB54" s="189" t="s">
        <v>988</v>
      </c>
      <c r="AC54" s="82">
        <v>0</v>
      </c>
      <c r="AD54" s="82" t="str">
        <f>Tabela232[[#This Row],[Situação3]]</f>
        <v>Não iniciada</v>
      </c>
      <c r="AE54" s="82" t="s">
        <v>204</v>
      </c>
      <c r="AF54" s="82" t="s">
        <v>988</v>
      </c>
      <c r="AG54" s="82">
        <v>0</v>
      </c>
      <c r="AH54" s="82" t="s">
        <v>1627</v>
      </c>
      <c r="AI54" s="14"/>
      <c r="AJ54" s="14" t="s">
        <v>1483</v>
      </c>
      <c r="AK54" s="15" t="s">
        <v>78</v>
      </c>
      <c r="AL54" s="15" t="s">
        <v>60</v>
      </c>
      <c r="AM54" s="15" t="s">
        <v>60</v>
      </c>
      <c r="AN54" s="153">
        <f>INDEX('Simec OT - 020718'!$AX$1:$AX$137,MATCH(Tabela232[[#This Row],[ID obra]],'Simec OT - 020718'!$A$1:$A$137,0))</f>
        <v>361950.07</v>
      </c>
      <c r="AO54" s="129">
        <v>1209533.3700000001</v>
      </c>
      <c r="AP54" s="156">
        <f>IF(COUNTIF(AO$2:AO54,AO54)=1,1,0)</f>
        <v>1</v>
      </c>
      <c r="AQ54" s="156">
        <f t="shared" si="0"/>
        <v>4</v>
      </c>
      <c r="AR54" s="129">
        <f>Tabela232[[#This Row],[Saldo da conta 07/2018]]/Tabela232[[#This Row],[formel2]]</f>
        <v>302383.34250000003</v>
      </c>
      <c r="AS54" s="129">
        <f>INDEX('[1]Total repassado por obra'!$D$2:$D$127,MATCH(Tabela232[[#This Row],[ID obra]],'[1]Total repassado por obra'!$B$2:$B$127,0))</f>
        <v>481279</v>
      </c>
      <c r="AT54" s="129">
        <v>481279</v>
      </c>
      <c r="AU54" s="32" t="s">
        <v>203</v>
      </c>
      <c r="AV54" s="32" t="s">
        <v>331</v>
      </c>
      <c r="AW54" s="32" t="s">
        <v>59</v>
      </c>
      <c r="AX54" s="32" t="s">
        <v>59</v>
      </c>
      <c r="AY54" s="32"/>
      <c r="AZ54" s="32">
        <f>Tabela232[[#This Row],[Duração final]]-Tabela232[[#This Row],[Duração prevista]]</f>
        <v>365</v>
      </c>
      <c r="BA54" s="32" t="s">
        <v>60</v>
      </c>
      <c r="BB54" s="115" t="s">
        <v>671</v>
      </c>
      <c r="BC54" s="110">
        <v>41614</v>
      </c>
      <c r="BD54" s="110">
        <v>41978</v>
      </c>
      <c r="BE54" s="110">
        <v>42343</v>
      </c>
      <c r="BF54" s="114">
        <f>Tabela232[[#This Row],[Término inicial]]-Tabela232[[#This Row],[Início]]</f>
        <v>364</v>
      </c>
      <c r="BG54" s="114">
        <f>Tabela232[[#This Row],[Término final]]-Tabela232[[#This Row],[Início]]</f>
        <v>729</v>
      </c>
      <c r="BH54" s="109"/>
      <c r="BI54" s="109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</row>
    <row r="55" spans="1:85">
      <c r="A55" s="14" t="s">
        <v>201</v>
      </c>
      <c r="B55" s="14" t="s">
        <v>202</v>
      </c>
      <c r="C55" s="14" t="s">
        <v>60</v>
      </c>
      <c r="D55" s="14">
        <v>24449</v>
      </c>
      <c r="E55" s="14" t="s">
        <v>71</v>
      </c>
      <c r="F55" s="14" t="s">
        <v>1481</v>
      </c>
      <c r="G55" s="15" t="s">
        <v>331</v>
      </c>
      <c r="H55" s="16" t="s">
        <v>67</v>
      </c>
      <c r="I55" s="18">
        <v>83.65</v>
      </c>
      <c r="J55" s="48">
        <v>42759</v>
      </c>
      <c r="K55" s="58" t="s">
        <v>67</v>
      </c>
      <c r="L55" s="60"/>
      <c r="M55" s="17"/>
      <c r="N55" s="82">
        <v>0</v>
      </c>
      <c r="O55" s="82">
        <f>IF(Tabela232[[#This Row],[Situação2]]=Tabela232[[#This Row],[Situação]],0,1)</f>
        <v>0</v>
      </c>
      <c r="P55" s="81" t="s">
        <v>67</v>
      </c>
      <c r="Q55" s="60">
        <v>83.65</v>
      </c>
      <c r="R55" s="60" t="s">
        <v>59</v>
      </c>
      <c r="S55" s="84">
        <v>0</v>
      </c>
      <c r="T55" s="82"/>
      <c r="U55" s="76" t="s">
        <v>67</v>
      </c>
      <c r="V55" s="76" t="s">
        <v>1203</v>
      </c>
      <c r="W55" s="76" t="s">
        <v>59</v>
      </c>
      <c r="X55" s="82">
        <f>IF(Tabela232[[#This Row],[Situação3]]=Tabela232[[#This Row],[Situação4]],0,1)</f>
        <v>0</v>
      </c>
      <c r="Y55" s="82"/>
      <c r="Z55" s="82">
        <v>1</v>
      </c>
      <c r="AA55" s="82" t="s">
        <v>1443</v>
      </c>
      <c r="AB55" s="189" t="s">
        <v>1699</v>
      </c>
      <c r="AC55" s="189">
        <v>43477</v>
      </c>
      <c r="AD55" s="189" t="s">
        <v>1443</v>
      </c>
      <c r="AE55" s="82" t="s">
        <v>1443</v>
      </c>
      <c r="AF55" s="189" t="s">
        <v>1764</v>
      </c>
      <c r="AG55" s="189">
        <v>43803</v>
      </c>
      <c r="AH55" s="82" t="s">
        <v>1627</v>
      </c>
      <c r="AI55" s="59" t="s">
        <v>1609</v>
      </c>
      <c r="AJ55" s="14" t="s">
        <v>1482</v>
      </c>
      <c r="AK55" s="15" t="s">
        <v>78</v>
      </c>
      <c r="AL55" s="15" t="s">
        <v>60</v>
      </c>
      <c r="AM55" s="15"/>
      <c r="AN55" s="153">
        <f>INDEX('Simec OT - 020718'!$AX$1:$AX$137,MATCH(Tabela232[[#This Row],[ID obra]],'Simec OT - 020718'!$A$1:$A$137,0))</f>
        <v>955917.1</v>
      </c>
      <c r="AO55" s="131">
        <v>1209533.3700000001</v>
      </c>
      <c r="AP55" s="156">
        <f>IF(COUNTIF(AO$2:AO55,AO55)=1,1,0)</f>
        <v>0</v>
      </c>
      <c r="AQ55" s="156">
        <f t="shared" si="0"/>
        <v>4</v>
      </c>
      <c r="AR55" s="129">
        <f>Tabela232[[#This Row],[Saldo da conta 07/2018]]/Tabela232[[#This Row],[formel2]]</f>
        <v>302383.34250000003</v>
      </c>
      <c r="AS55" s="129">
        <f>INDEX('[1]Total repassado por obra'!$D$2:$D$127,MATCH(Tabela232[[#This Row],[ID obra]],'[1]Total repassado por obra'!$B$2:$B$127,0))</f>
        <v>1145442</v>
      </c>
      <c r="AT55" s="129">
        <v>1145442</v>
      </c>
      <c r="AU55" s="32" t="s">
        <v>203</v>
      </c>
      <c r="AV55" s="32" t="s">
        <v>331</v>
      </c>
      <c r="AW55" s="24">
        <v>2013</v>
      </c>
      <c r="AX55" s="32" t="s">
        <v>59</v>
      </c>
      <c r="AY55" s="32"/>
      <c r="AZ55" s="32">
        <f>Tabela232[[#This Row],[Duração final]]-Tabela232[[#This Row],[Duração prevista]]</f>
        <v>780</v>
      </c>
      <c r="BA55" s="32" t="s">
        <v>60</v>
      </c>
      <c r="BB55" s="106" t="s">
        <v>671</v>
      </c>
      <c r="BC55" s="110">
        <v>41614</v>
      </c>
      <c r="BD55" s="110">
        <v>41979</v>
      </c>
      <c r="BE55" s="110">
        <v>42759</v>
      </c>
      <c r="BF55" s="114">
        <f>Tabela232[[#This Row],[Término inicial]]-Tabela232[[#This Row],[Início]]</f>
        <v>365</v>
      </c>
      <c r="BG55" s="114">
        <f>Tabela232[[#This Row],[Término final]]-Tabela232[[#This Row],[Início]]</f>
        <v>1145</v>
      </c>
      <c r="BH55" s="109"/>
      <c r="BI55" s="109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</row>
    <row r="56" spans="1:85">
      <c r="A56" s="14" t="s">
        <v>201</v>
      </c>
      <c r="B56" s="14" t="s">
        <v>202</v>
      </c>
      <c r="C56" s="14" t="s">
        <v>60</v>
      </c>
      <c r="D56" s="14">
        <v>24450</v>
      </c>
      <c r="E56" s="14" t="s">
        <v>62</v>
      </c>
      <c r="F56" s="69" t="s">
        <v>1207</v>
      </c>
      <c r="G56" s="15" t="s">
        <v>331</v>
      </c>
      <c r="H56" s="16" t="s">
        <v>64</v>
      </c>
      <c r="I56" s="18">
        <v>0</v>
      </c>
      <c r="J56" s="48" t="s">
        <v>59</v>
      </c>
      <c r="K56" s="58" t="s">
        <v>64</v>
      </c>
      <c r="L56" s="60"/>
      <c r="M56" s="17"/>
      <c r="N56" s="81">
        <v>1</v>
      </c>
      <c r="O56" s="149">
        <f>IF(Tabela232[[#This Row],[Situação2]]=Tabela232[[#This Row],[Situação]],0,1)</f>
        <v>0</v>
      </c>
      <c r="P56" s="81" t="s">
        <v>204</v>
      </c>
      <c r="Q56" s="60"/>
      <c r="R56" s="60"/>
      <c r="S56" s="84">
        <v>0</v>
      </c>
      <c r="T56" s="82"/>
      <c r="U56" s="76" t="s">
        <v>64</v>
      </c>
      <c r="V56" s="76" t="s">
        <v>988</v>
      </c>
      <c r="W56" s="76" t="s">
        <v>59</v>
      </c>
      <c r="X56" s="82">
        <f>IF(Tabela232[[#This Row],[Situação3]]=Tabela232[[#This Row],[Situação4]],0,1)</f>
        <v>1</v>
      </c>
      <c r="Y56" s="82"/>
      <c r="Z56" s="82"/>
      <c r="AA56" s="82" t="s">
        <v>204</v>
      </c>
      <c r="AB56" s="189" t="s">
        <v>988</v>
      </c>
      <c r="AC56" s="82">
        <v>0</v>
      </c>
      <c r="AD56" s="82" t="str">
        <f>Tabela232[[#This Row],[Situação3]]</f>
        <v>Cancelada</v>
      </c>
      <c r="AE56" s="82" t="s">
        <v>204</v>
      </c>
      <c r="AF56" s="82" t="s">
        <v>988</v>
      </c>
      <c r="AG56" s="82">
        <v>0</v>
      </c>
      <c r="AH56" s="82" t="s">
        <v>1627</v>
      </c>
      <c r="AI56" s="14"/>
      <c r="AJ56" s="14" t="s">
        <v>1540</v>
      </c>
      <c r="AK56" s="15" t="s">
        <v>78</v>
      </c>
      <c r="AL56" s="15" t="s">
        <v>60</v>
      </c>
      <c r="AM56" s="15" t="s">
        <v>60</v>
      </c>
      <c r="AN56" s="153">
        <f>INDEX('Simec OT - 020718'!$AX$1:$AX$137,MATCH(Tabela232[[#This Row],[ID obra]],'Simec OT - 020718'!$A$1:$A$137,0))</f>
        <v>728896.29</v>
      </c>
      <c r="AO56" s="131">
        <v>1209533.3700000001</v>
      </c>
      <c r="AP56" s="156">
        <f>IF(COUNTIF(AO$2:AO56,AO56)=1,1,0)</f>
        <v>0</v>
      </c>
      <c r="AQ56" s="156">
        <f t="shared" si="0"/>
        <v>4</v>
      </c>
      <c r="AR56" s="129">
        <f>Tabela232[[#This Row],[Saldo da conta 07/2018]]/Tabela232[[#This Row],[formel2]]</f>
        <v>302383.34250000003</v>
      </c>
      <c r="AS56" s="129">
        <f>INDEX('[1]Total repassado por obra'!$D$2:$D$127,MATCH(Tabela232[[#This Row],[ID obra]],'[1]Total repassado por obra'!$B$2:$B$127,0))</f>
        <v>968507</v>
      </c>
      <c r="AT56" s="129">
        <v>968507</v>
      </c>
      <c r="AU56" s="32" t="s">
        <v>203</v>
      </c>
      <c r="AV56" s="32" t="s">
        <v>331</v>
      </c>
      <c r="AW56" s="32" t="s">
        <v>59</v>
      </c>
      <c r="AX56" s="32" t="s">
        <v>59</v>
      </c>
      <c r="AY56" s="32"/>
      <c r="AZ56" s="32"/>
      <c r="BA56" s="32" t="s">
        <v>59</v>
      </c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</row>
    <row r="57" spans="1:85">
      <c r="A57" s="14" t="s">
        <v>201</v>
      </c>
      <c r="B57" s="14" t="s">
        <v>202</v>
      </c>
      <c r="C57" s="14" t="s">
        <v>60</v>
      </c>
      <c r="D57" s="14">
        <v>24451</v>
      </c>
      <c r="E57" s="14" t="s">
        <v>65</v>
      </c>
      <c r="F57" s="69" t="s">
        <v>1209</v>
      </c>
      <c r="G57" s="15" t="s">
        <v>331</v>
      </c>
      <c r="H57" s="16" t="s">
        <v>64</v>
      </c>
      <c r="I57" s="18">
        <v>0</v>
      </c>
      <c r="J57" s="48" t="s">
        <v>59</v>
      </c>
      <c r="K57" s="58" t="s">
        <v>64</v>
      </c>
      <c r="L57" s="60"/>
      <c r="M57" s="17"/>
      <c r="N57" s="81">
        <v>1</v>
      </c>
      <c r="O57" s="149">
        <f>IF(Tabela232[[#This Row],[Situação2]]=Tabela232[[#This Row],[Situação]],0,1)</f>
        <v>0</v>
      </c>
      <c r="P57" s="81" t="s">
        <v>204</v>
      </c>
      <c r="Q57" s="60"/>
      <c r="R57" s="60"/>
      <c r="S57" s="84">
        <v>0</v>
      </c>
      <c r="T57" s="82"/>
      <c r="U57" s="76" t="s">
        <v>64</v>
      </c>
      <c r="V57" s="76" t="s">
        <v>988</v>
      </c>
      <c r="W57" s="76" t="s">
        <v>59</v>
      </c>
      <c r="X57" s="82">
        <f>IF(Tabela232[[#This Row],[Situação3]]=Tabela232[[#This Row],[Situação4]],0,1)</f>
        <v>1</v>
      </c>
      <c r="Y57" s="82"/>
      <c r="Z57" s="82"/>
      <c r="AA57" s="82" t="s">
        <v>204</v>
      </c>
      <c r="AB57" s="189" t="s">
        <v>988</v>
      </c>
      <c r="AC57" s="82">
        <v>0</v>
      </c>
      <c r="AD57" s="82" t="str">
        <f>Tabela232[[#This Row],[Situação3]]</f>
        <v>Cancelada</v>
      </c>
      <c r="AE57" s="82" t="s">
        <v>204</v>
      </c>
      <c r="AF57" s="82" t="s">
        <v>988</v>
      </c>
      <c r="AG57" s="82">
        <v>0</v>
      </c>
      <c r="AH57" s="82" t="s">
        <v>1627</v>
      </c>
      <c r="AI57" s="14"/>
      <c r="AJ57" s="14" t="s">
        <v>1539</v>
      </c>
      <c r="AK57" s="15" t="s">
        <v>78</v>
      </c>
      <c r="AL57" s="15" t="s">
        <v>60</v>
      </c>
      <c r="AM57" s="15" t="s">
        <v>60</v>
      </c>
      <c r="AN57" s="153">
        <f>INDEX('Simec OT - 020718'!$AX$1:$AX$137,MATCH(Tabela232[[#This Row],[ID obra]],'Simec OT - 020718'!$A$1:$A$137,0))</f>
        <v>0</v>
      </c>
      <c r="AO57" s="131">
        <v>1209533.3700000001</v>
      </c>
      <c r="AP57" s="156">
        <f>IF(COUNTIF(AO$2:AO57,AO57)=1,1,0)</f>
        <v>0</v>
      </c>
      <c r="AQ57" s="156">
        <f t="shared" si="0"/>
        <v>4</v>
      </c>
      <c r="AR57" s="129">
        <f>Tabela232[[#This Row],[Saldo da conta 07/2018]]/Tabela232[[#This Row],[formel2]]</f>
        <v>302383.34250000003</v>
      </c>
      <c r="AS57" s="126" t="s">
        <v>59</v>
      </c>
      <c r="AT57" s="129" t="s">
        <v>59</v>
      </c>
      <c r="AU57" s="32" t="s">
        <v>203</v>
      </c>
      <c r="AV57" s="32" t="s">
        <v>331</v>
      </c>
      <c r="AW57" s="32" t="s">
        <v>59</v>
      </c>
      <c r="AX57" s="32" t="s">
        <v>59</v>
      </c>
      <c r="AY57" s="32"/>
      <c r="AZ57" s="32">
        <f>Tabela232[[#This Row],[Duração final]]-Tabela232[[#This Row],[Duração prevista]]</f>
        <v>364</v>
      </c>
      <c r="BA57" s="32" t="s">
        <v>60</v>
      </c>
      <c r="BB57" s="115" t="s">
        <v>671</v>
      </c>
      <c r="BC57" s="110">
        <v>41614</v>
      </c>
      <c r="BD57" s="110">
        <v>41979</v>
      </c>
      <c r="BE57" s="110">
        <v>42343</v>
      </c>
      <c r="BF57" s="114">
        <f>Tabela232[[#This Row],[Término inicial]]-Tabela232[[#This Row],[Início]]</f>
        <v>365</v>
      </c>
      <c r="BG57" s="114">
        <f>Tabela232[[#This Row],[Término final]]-Tabela232[[#This Row],[Início]]</f>
        <v>729</v>
      </c>
      <c r="BH57" s="109"/>
      <c r="BI57" s="109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</row>
    <row r="58" spans="1:85">
      <c r="A58" s="14" t="s">
        <v>201</v>
      </c>
      <c r="B58" s="14" t="s">
        <v>202</v>
      </c>
      <c r="C58" s="14" t="s">
        <v>60</v>
      </c>
      <c r="D58" s="14">
        <v>1014625</v>
      </c>
      <c r="E58" s="14" t="s">
        <v>205</v>
      </c>
      <c r="F58" s="69" t="s">
        <v>678</v>
      </c>
      <c r="G58" s="15" t="s">
        <v>332</v>
      </c>
      <c r="H58" s="16" t="s">
        <v>64</v>
      </c>
      <c r="I58" s="18">
        <v>0</v>
      </c>
      <c r="J58" s="48" t="s">
        <v>59</v>
      </c>
      <c r="K58" s="58" t="s">
        <v>64</v>
      </c>
      <c r="L58" s="60"/>
      <c r="M58" s="17"/>
      <c r="N58" s="82">
        <v>1</v>
      </c>
      <c r="O58" s="82">
        <f>IF(Tabela232[[#This Row],[Situação2]]=Tabela232[[#This Row],[Situação]],0,1)</f>
        <v>0</v>
      </c>
      <c r="P58" s="81" t="s">
        <v>64</v>
      </c>
      <c r="Q58" s="60">
        <v>0</v>
      </c>
      <c r="R58" s="60" t="s">
        <v>59</v>
      </c>
      <c r="S58" s="61">
        <v>1</v>
      </c>
      <c r="T58" s="96">
        <f>2018-Tabela232[[#This Row],[Ano do convênio]]</f>
        <v>4</v>
      </c>
      <c r="U58" s="76" t="s">
        <v>64</v>
      </c>
      <c r="V58" s="76" t="s">
        <v>988</v>
      </c>
      <c r="W58" s="76" t="s">
        <v>59</v>
      </c>
      <c r="X58" s="82">
        <f>IF(Tabela232[[#This Row],[Situação3]]=Tabela232[[#This Row],[Situação4]],0,1)</f>
        <v>0</v>
      </c>
      <c r="Y58" s="82"/>
      <c r="Z58" s="82">
        <v>1</v>
      </c>
      <c r="AA58" s="82" t="s">
        <v>204</v>
      </c>
      <c r="AB58" s="189" t="s">
        <v>988</v>
      </c>
      <c r="AC58" s="82">
        <v>0</v>
      </c>
      <c r="AD58" s="82" t="str">
        <f>Tabela232[[#This Row],[Situação3]]</f>
        <v>Não iniciada</v>
      </c>
      <c r="AE58" s="82" t="s">
        <v>204</v>
      </c>
      <c r="AF58" s="82" t="s">
        <v>988</v>
      </c>
      <c r="AG58" s="82">
        <v>0</v>
      </c>
      <c r="AH58" s="82"/>
      <c r="AI58" s="14"/>
      <c r="AJ58" s="14" t="s">
        <v>1484</v>
      </c>
      <c r="AK58" s="15" t="s">
        <v>78</v>
      </c>
      <c r="AL58" s="15" t="s">
        <v>78</v>
      </c>
      <c r="AM58" s="15" t="s">
        <v>60</v>
      </c>
      <c r="AN58" s="153">
        <f>INDEX('Simec OT - 020718'!$AX$1:$AX$137,MATCH(Tabela232[[#This Row],[ID obra]],'Simec OT - 020718'!$A$1:$A$137,0))</f>
        <v>379084.64</v>
      </c>
      <c r="AO58" s="129">
        <v>479994.02</v>
      </c>
      <c r="AP58" s="156">
        <f>IF(COUNTIF(AO$2:AO58,AO58)=1,1,0)</f>
        <v>1</v>
      </c>
      <c r="AQ58" s="156">
        <f t="shared" si="0"/>
        <v>1</v>
      </c>
      <c r="AR58" s="129">
        <f>Tabela232[[#This Row],[Saldo da conta 07/2018]]/Tabela232[[#This Row],[formel2]]</f>
        <v>479994.02</v>
      </c>
      <c r="AS58" s="129">
        <f>INDEX('[1]Total repassado por obra'!$D$2:$D$127,MATCH(Tabela232[[#This Row],[ID obra]],'[1]Total repassado por obra'!$B$2:$B$127,0))</f>
        <v>441276</v>
      </c>
      <c r="AT58" s="129">
        <v>441276</v>
      </c>
      <c r="AU58" s="32" t="s">
        <v>206</v>
      </c>
      <c r="AV58" s="32" t="s">
        <v>332</v>
      </c>
      <c r="AW58" s="32" t="s">
        <v>59</v>
      </c>
      <c r="AX58" s="32" t="s">
        <v>59</v>
      </c>
      <c r="AY58" s="32"/>
      <c r="AZ58" s="32"/>
      <c r="BA58" s="32" t="s">
        <v>59</v>
      </c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</row>
    <row r="59" spans="1:85">
      <c r="A59" s="14" t="s">
        <v>207</v>
      </c>
      <c r="B59" s="14" t="s">
        <v>86</v>
      </c>
      <c r="C59" s="14" t="s">
        <v>60</v>
      </c>
      <c r="D59" s="15">
        <v>17386</v>
      </c>
      <c r="E59" s="14" t="s">
        <v>208</v>
      </c>
      <c r="F59" s="14"/>
      <c r="G59" s="15" t="s">
        <v>333</v>
      </c>
      <c r="H59" s="16" t="s">
        <v>1443</v>
      </c>
      <c r="I59" s="18">
        <v>94.42</v>
      </c>
      <c r="J59" s="100">
        <v>42735</v>
      </c>
      <c r="K59" s="58" t="s">
        <v>67</v>
      </c>
      <c r="L59" s="60"/>
      <c r="M59" s="17"/>
      <c r="N59" s="82">
        <v>0</v>
      </c>
      <c r="O59" s="82">
        <f>IF(Tabela232[[#This Row],[Situação2]]=Tabela232[[#This Row],[Situação]],0,1)</f>
        <v>1</v>
      </c>
      <c r="P59" s="89" t="s">
        <v>67</v>
      </c>
      <c r="Q59" s="60"/>
      <c r="R59" s="60"/>
      <c r="S59" s="84">
        <v>0</v>
      </c>
      <c r="T59" s="82"/>
      <c r="U59" s="76" t="s">
        <v>67</v>
      </c>
      <c r="V59" s="76" t="s">
        <v>1213</v>
      </c>
      <c r="W59" s="76">
        <v>43465</v>
      </c>
      <c r="X59" s="82">
        <f>IF(Tabela232[[#This Row],[Situação3]]=Tabela232[[#This Row],[Situação4]],0,1)</f>
        <v>0</v>
      </c>
      <c r="Y59" s="82"/>
      <c r="Z59" s="82">
        <v>0</v>
      </c>
      <c r="AA59" s="82" t="s">
        <v>67</v>
      </c>
      <c r="AB59" s="189" t="s">
        <v>1213</v>
      </c>
      <c r="AC59" s="189">
        <v>43465</v>
      </c>
      <c r="AD59" s="189" t="str">
        <f>Tabela232[[#This Row],[Situação3]]</f>
        <v>Paralisada</v>
      </c>
      <c r="AE59" s="82" t="s">
        <v>67</v>
      </c>
      <c r="AF59" s="189" t="s">
        <v>1213</v>
      </c>
      <c r="AG59" s="189">
        <v>0</v>
      </c>
      <c r="AH59" s="82"/>
      <c r="AI59" s="59" t="s">
        <v>209</v>
      </c>
      <c r="AJ59" s="14" t="s">
        <v>1541</v>
      </c>
      <c r="AK59" s="15" t="s">
        <v>60</v>
      </c>
      <c r="AL59" s="15" t="s">
        <v>60</v>
      </c>
      <c r="AM59" s="14"/>
      <c r="AN59" s="153">
        <f>INDEX('Simec OT - 020718'!$AX$1:$AX$137,MATCH(Tabela232[[#This Row],[ID obra]],'Simec OT - 020718'!$A$1:$A$137,0))</f>
        <v>0</v>
      </c>
      <c r="AO59" s="130">
        <v>14464.23</v>
      </c>
      <c r="AP59" s="156">
        <f>IF(COUNTIF(AO$2:AO59,AO59)=1,1,0)</f>
        <v>1</v>
      </c>
      <c r="AQ59" s="156">
        <f t="shared" si="0"/>
        <v>1</v>
      </c>
      <c r="AR59" s="129">
        <f>Tabela232[[#This Row],[Saldo da conta 07/2018]]/Tabela232[[#This Row],[formel2]]</f>
        <v>14464.23</v>
      </c>
      <c r="AS59" s="186">
        <f>INDEX('[1]Total repassado por obra'!$D$2:$D$127,MATCH(Tabela232[[#This Row],[ID obra]],'[1]Total repassado por obra'!$B$2:$B$127,0))</f>
        <v>359463</v>
      </c>
      <c r="AT59" s="129">
        <v>359463</v>
      </c>
      <c r="AU59" s="32" t="s">
        <v>210</v>
      </c>
      <c r="AV59" s="32" t="s">
        <v>333</v>
      </c>
      <c r="AW59" s="32">
        <v>2012</v>
      </c>
      <c r="AX59" s="32" t="s">
        <v>59</v>
      </c>
      <c r="AY59" s="32"/>
      <c r="AZ59" s="32">
        <f>Tabela232[[#This Row],[Duração final]]-Tabela232[[#This Row],[Duração prevista]]</f>
        <v>180</v>
      </c>
      <c r="BA59" s="32" t="s">
        <v>60</v>
      </c>
      <c r="BB59" s="106" t="s">
        <v>211</v>
      </c>
      <c r="BC59" s="21">
        <v>41205</v>
      </c>
      <c r="BD59" s="21">
        <v>41790</v>
      </c>
      <c r="BE59" s="21">
        <v>41970</v>
      </c>
      <c r="BF59" s="30">
        <v>585</v>
      </c>
      <c r="BG59" s="30">
        <v>765</v>
      </c>
      <c r="BH59" s="19">
        <v>542811.52</v>
      </c>
      <c r="BI59" s="19">
        <v>667445.68000000005</v>
      </c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</row>
    <row r="60" spans="1:85">
      <c r="A60" s="14" t="s">
        <v>207</v>
      </c>
      <c r="B60" s="14" t="s">
        <v>86</v>
      </c>
      <c r="C60" s="14" t="s">
        <v>60</v>
      </c>
      <c r="D60" s="15">
        <v>25132</v>
      </c>
      <c r="E60" s="14" t="s">
        <v>212</v>
      </c>
      <c r="F60" s="14"/>
      <c r="G60" s="15" t="s">
        <v>334</v>
      </c>
      <c r="H60" s="16" t="s">
        <v>1443</v>
      </c>
      <c r="I60" s="18">
        <v>47.39</v>
      </c>
      <c r="J60" s="100">
        <v>42735</v>
      </c>
      <c r="K60" s="58" t="s">
        <v>67</v>
      </c>
      <c r="L60" s="60"/>
      <c r="M60" s="17"/>
      <c r="N60" s="82">
        <v>0</v>
      </c>
      <c r="O60" s="82">
        <f>IF(Tabela232[[#This Row],[Situação2]]=Tabela232[[#This Row],[Situação]],0,1)</f>
        <v>1</v>
      </c>
      <c r="P60" s="89" t="s">
        <v>89</v>
      </c>
      <c r="Q60" s="60"/>
      <c r="R60" s="60"/>
      <c r="S60" s="84">
        <v>0</v>
      </c>
      <c r="T60" s="82"/>
      <c r="U60" s="76" t="s">
        <v>89</v>
      </c>
      <c r="V60" s="76" t="s">
        <v>1063</v>
      </c>
      <c r="W60" s="76">
        <v>43203</v>
      </c>
      <c r="X60" s="82">
        <f>IF(Tabela232[[#This Row],[Situação3]]=Tabela232[[#This Row],[Situação4]],0,1)</f>
        <v>0</v>
      </c>
      <c r="Y60" s="82"/>
      <c r="Z60" s="82">
        <v>0</v>
      </c>
      <c r="AA60" s="82" t="s">
        <v>89</v>
      </c>
      <c r="AB60" s="189" t="s">
        <v>1063</v>
      </c>
      <c r="AC60" s="189">
        <v>43203</v>
      </c>
      <c r="AD60" s="189" t="str">
        <f>Tabela232[[#This Row],[Situação3]]</f>
        <v>Concluída</v>
      </c>
      <c r="AE60" s="82" t="s">
        <v>89</v>
      </c>
      <c r="AF60" s="189" t="s">
        <v>1063</v>
      </c>
      <c r="AG60" s="189" t="s">
        <v>1765</v>
      </c>
      <c r="AH60" s="82"/>
      <c r="AI60" s="59" t="s">
        <v>213</v>
      </c>
      <c r="AJ60" s="14" t="s">
        <v>1542</v>
      </c>
      <c r="AK60" s="15" t="s">
        <v>60</v>
      </c>
      <c r="AL60" s="15" t="s">
        <v>78</v>
      </c>
      <c r="AM60" s="14"/>
      <c r="AN60" s="153">
        <f>INDEX('Simec OT - 020718'!$AX$1:$AX$137,MATCH(Tabela232[[#This Row],[ID obra]],'Simec OT - 020718'!$A$1:$A$137,0))</f>
        <v>313371.39</v>
      </c>
      <c r="AO60" s="130">
        <v>3337.18</v>
      </c>
      <c r="AP60" s="156">
        <f>IF(COUNTIF(AO$2:AO60,AO60)=1,1,0)</f>
        <v>1</v>
      </c>
      <c r="AQ60" s="156">
        <f t="shared" si="0"/>
        <v>4</v>
      </c>
      <c r="AR60" s="129">
        <f>Tabela232[[#This Row],[Saldo da conta 07/2018]]/Tabela232[[#This Row],[formel2]]</f>
        <v>834.29499999999996</v>
      </c>
      <c r="AS60" s="129">
        <f>INDEX('[1]Total repassado por obra'!$D$2:$D$127,MATCH(Tabela232[[#This Row],[ID obra]],'[1]Total repassado por obra'!$B$2:$B$127,0))</f>
        <v>395004</v>
      </c>
      <c r="AT60" s="129">
        <v>395004</v>
      </c>
      <c r="AU60" s="32" t="s">
        <v>214</v>
      </c>
      <c r="AV60" s="32" t="s">
        <v>334</v>
      </c>
      <c r="AW60" s="32">
        <v>2014</v>
      </c>
      <c r="AX60" s="32">
        <v>2018</v>
      </c>
      <c r="AY60" s="32">
        <f>Tabela232[[#This Row],[Ano de entrega]]-Tabela232[[#This Row],[Ano de início da obra]]</f>
        <v>4</v>
      </c>
      <c r="AZ60" s="32">
        <f>Tabela232[[#This Row],[Duração final]]-Tabela232[[#This Row],[Duração prevista]]</f>
        <v>540</v>
      </c>
      <c r="BA60" s="32" t="s">
        <v>60</v>
      </c>
      <c r="BB60" s="106" t="s">
        <v>215</v>
      </c>
      <c r="BC60" s="21">
        <v>41641</v>
      </c>
      <c r="BD60" s="21">
        <v>41866</v>
      </c>
      <c r="BE60" s="21">
        <v>42406</v>
      </c>
      <c r="BF60" s="30">
        <v>225</v>
      </c>
      <c r="BG60" s="30">
        <v>765</v>
      </c>
      <c r="BH60" s="19">
        <v>608411.02</v>
      </c>
      <c r="BI60" s="19">
        <v>608411.02</v>
      </c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</row>
    <row r="61" spans="1:85">
      <c r="A61" s="14" t="s">
        <v>207</v>
      </c>
      <c r="B61" s="14" t="s">
        <v>86</v>
      </c>
      <c r="C61" s="14" t="s">
        <v>60</v>
      </c>
      <c r="D61" s="15">
        <v>25133</v>
      </c>
      <c r="E61" s="14" t="s">
        <v>216</v>
      </c>
      <c r="F61" s="14"/>
      <c r="G61" s="15" t="s">
        <v>334</v>
      </c>
      <c r="H61" s="16" t="s">
        <v>1443</v>
      </c>
      <c r="I61" s="18">
        <v>48.14</v>
      </c>
      <c r="J61" s="100">
        <v>42735</v>
      </c>
      <c r="K61" s="58" t="s">
        <v>67</v>
      </c>
      <c r="L61" s="60"/>
      <c r="M61" s="17"/>
      <c r="N61" s="82">
        <v>0</v>
      </c>
      <c r="O61" s="82">
        <f>IF(Tabela232[[#This Row],[Situação2]]=Tabela232[[#This Row],[Situação]],0,1)</f>
        <v>1</v>
      </c>
      <c r="P61" s="89" t="s">
        <v>89</v>
      </c>
      <c r="Q61" s="60"/>
      <c r="R61" s="60"/>
      <c r="S61" s="84">
        <v>0</v>
      </c>
      <c r="T61" s="82"/>
      <c r="U61" s="76" t="s">
        <v>89</v>
      </c>
      <c r="V61" s="76" t="s">
        <v>1063</v>
      </c>
      <c r="W61" s="76">
        <v>43203</v>
      </c>
      <c r="X61" s="82">
        <f>IF(Tabela232[[#This Row],[Situação3]]=Tabela232[[#This Row],[Situação4]],0,1)</f>
        <v>0</v>
      </c>
      <c r="Y61" s="82"/>
      <c r="Z61" s="82">
        <v>0</v>
      </c>
      <c r="AA61" s="82" t="s">
        <v>89</v>
      </c>
      <c r="AB61" s="189" t="s">
        <v>1063</v>
      </c>
      <c r="AC61" s="189">
        <v>43203</v>
      </c>
      <c r="AD61" s="189" t="str">
        <f>Tabela232[[#This Row],[Situação3]]</f>
        <v>Concluída</v>
      </c>
      <c r="AE61" s="82" t="s">
        <v>89</v>
      </c>
      <c r="AF61" s="189" t="s">
        <v>1063</v>
      </c>
      <c r="AG61" s="189" t="s">
        <v>1765</v>
      </c>
      <c r="AH61" s="82"/>
      <c r="AI61" s="59" t="s">
        <v>213</v>
      </c>
      <c r="AJ61" s="14" t="s">
        <v>1542</v>
      </c>
      <c r="AK61" s="15" t="s">
        <v>60</v>
      </c>
      <c r="AL61" s="15" t="s">
        <v>78</v>
      </c>
      <c r="AM61" s="14"/>
      <c r="AN61" s="153">
        <f>INDEX('Simec OT - 020718'!$AX$1:$AX$137,MATCH(Tabela232[[#This Row],[ID obra]],'Simec OT - 020718'!$A$1:$A$137,0))</f>
        <v>438719.94</v>
      </c>
      <c r="AO61" s="130">
        <v>3337.18</v>
      </c>
      <c r="AP61" s="156">
        <f>IF(COUNTIF(AO$2:AO61,AO61)=1,1,0)</f>
        <v>0</v>
      </c>
      <c r="AQ61" s="156">
        <f t="shared" si="0"/>
        <v>4</v>
      </c>
      <c r="AR61" s="129">
        <f>Tabela232[[#This Row],[Saldo da conta 07/2018]]/Tabela232[[#This Row],[formel2]]</f>
        <v>834.29499999999996</v>
      </c>
      <c r="AS61" s="129">
        <f>INDEX('[1]Total repassado por obra'!$D$2:$D$127,MATCH(Tabela232[[#This Row],[ID obra]],'[1]Total repassado por obra'!$B$2:$B$127,0))</f>
        <v>544229</v>
      </c>
      <c r="AT61" s="129">
        <v>544229</v>
      </c>
      <c r="AU61" s="32" t="s">
        <v>214</v>
      </c>
      <c r="AV61" s="32" t="s">
        <v>334</v>
      </c>
      <c r="AW61" s="32">
        <v>2014</v>
      </c>
      <c r="AX61" s="32">
        <v>2018</v>
      </c>
      <c r="AY61" s="32">
        <f>Tabela232[[#This Row],[Ano de entrega]]-Tabela232[[#This Row],[Ano de início da obra]]</f>
        <v>4</v>
      </c>
      <c r="AZ61" s="32">
        <f>Tabela232[[#This Row],[Duração final]]-Tabela232[[#This Row],[Duração prevista]]</f>
        <v>540</v>
      </c>
      <c r="BA61" s="32" t="s">
        <v>60</v>
      </c>
      <c r="BB61" s="106" t="s">
        <v>215</v>
      </c>
      <c r="BC61" s="21">
        <v>41641</v>
      </c>
      <c r="BD61" s="21">
        <v>41866</v>
      </c>
      <c r="BE61" s="21">
        <v>42406</v>
      </c>
      <c r="BF61" s="30">
        <v>225</v>
      </c>
      <c r="BG61" s="30">
        <v>765</v>
      </c>
      <c r="BH61" s="19">
        <v>608411.02</v>
      </c>
      <c r="BI61" s="19">
        <v>608411.02</v>
      </c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</row>
    <row r="62" spans="1:85">
      <c r="A62" s="14" t="s">
        <v>207</v>
      </c>
      <c r="B62" s="14" t="s">
        <v>86</v>
      </c>
      <c r="C62" s="14" t="s">
        <v>60</v>
      </c>
      <c r="D62" s="15">
        <v>25134</v>
      </c>
      <c r="E62" s="14" t="s">
        <v>217</v>
      </c>
      <c r="F62" s="14"/>
      <c r="G62" s="15" t="s">
        <v>334</v>
      </c>
      <c r="H62" s="16" t="s">
        <v>1443</v>
      </c>
      <c r="I62" s="18">
        <v>66.959999999999994</v>
      </c>
      <c r="J62" s="100">
        <v>42735</v>
      </c>
      <c r="K62" s="58" t="s">
        <v>67</v>
      </c>
      <c r="L62" s="60"/>
      <c r="M62" s="17"/>
      <c r="N62" s="82">
        <v>0</v>
      </c>
      <c r="O62" s="82">
        <f>IF(Tabela232[[#This Row],[Situação2]]=Tabela232[[#This Row],[Situação]],0,1)</f>
        <v>1</v>
      </c>
      <c r="P62" s="89" t="s">
        <v>89</v>
      </c>
      <c r="Q62" s="60"/>
      <c r="R62" s="60"/>
      <c r="S62" s="84">
        <v>0</v>
      </c>
      <c r="T62" s="82"/>
      <c r="U62" s="76" t="s">
        <v>89</v>
      </c>
      <c r="V62" s="76" t="s">
        <v>1063</v>
      </c>
      <c r="W62" s="76">
        <v>43203</v>
      </c>
      <c r="X62" s="82">
        <f>IF(Tabela232[[#This Row],[Situação3]]=Tabela232[[#This Row],[Situação4]],0,1)</f>
        <v>0</v>
      </c>
      <c r="Y62" s="82"/>
      <c r="Z62" s="82">
        <v>0</v>
      </c>
      <c r="AA62" s="82" t="s">
        <v>89</v>
      </c>
      <c r="AB62" s="189" t="s">
        <v>1063</v>
      </c>
      <c r="AC62" s="189">
        <v>43203</v>
      </c>
      <c r="AD62" s="189" t="str">
        <f>Tabela232[[#This Row],[Situação3]]</f>
        <v>Concluída</v>
      </c>
      <c r="AE62" s="82" t="s">
        <v>89</v>
      </c>
      <c r="AF62" s="189" t="s">
        <v>1063</v>
      </c>
      <c r="AG62" s="189" t="s">
        <v>1765</v>
      </c>
      <c r="AH62" s="82"/>
      <c r="AI62" s="59" t="s">
        <v>213</v>
      </c>
      <c r="AJ62" s="14" t="s">
        <v>1542</v>
      </c>
      <c r="AK62" s="15" t="s">
        <v>60</v>
      </c>
      <c r="AL62" s="15" t="s">
        <v>78</v>
      </c>
      <c r="AM62" s="14"/>
      <c r="AN62" s="153">
        <f>INDEX('Simec OT - 020718'!$AX$1:$AX$137,MATCH(Tabela232[[#This Row],[ID obra]],'Simec OT - 020718'!$A$1:$A$137,0))</f>
        <v>313371.39</v>
      </c>
      <c r="AO62" s="130">
        <v>3337.18</v>
      </c>
      <c r="AP62" s="156">
        <f>IF(COUNTIF(AO$2:AO62,AO62)=1,1,0)</f>
        <v>0</v>
      </c>
      <c r="AQ62" s="156">
        <f t="shared" si="0"/>
        <v>4</v>
      </c>
      <c r="AR62" s="129">
        <f>Tabela232[[#This Row],[Saldo da conta 07/2018]]/Tabela232[[#This Row],[formel2]]</f>
        <v>834.29499999999996</v>
      </c>
      <c r="AS62" s="129">
        <f>INDEX('[1]Total repassado por obra'!$D$2:$D$127,MATCH(Tabela232[[#This Row],[ID obra]],'[1]Total repassado por obra'!$B$2:$B$127,0))</f>
        <v>395004</v>
      </c>
      <c r="AT62" s="129">
        <v>395004</v>
      </c>
      <c r="AU62" s="32" t="s">
        <v>214</v>
      </c>
      <c r="AV62" s="32" t="s">
        <v>334</v>
      </c>
      <c r="AW62" s="32">
        <v>2014</v>
      </c>
      <c r="AX62" s="32">
        <v>2018</v>
      </c>
      <c r="AY62" s="32">
        <f>Tabela232[[#This Row],[Ano de entrega]]-Tabela232[[#This Row],[Ano de início da obra]]</f>
        <v>4</v>
      </c>
      <c r="AZ62" s="32">
        <f>Tabela232[[#This Row],[Duração final]]-Tabela232[[#This Row],[Duração prevista]]</f>
        <v>540</v>
      </c>
      <c r="BA62" s="32" t="s">
        <v>60</v>
      </c>
      <c r="BB62" s="106" t="s">
        <v>215</v>
      </c>
      <c r="BC62" s="21">
        <v>41641</v>
      </c>
      <c r="BD62" s="21">
        <v>41866</v>
      </c>
      <c r="BE62" s="21">
        <v>42406</v>
      </c>
      <c r="BF62" s="30">
        <v>225</v>
      </c>
      <c r="BG62" s="30">
        <v>765</v>
      </c>
      <c r="BH62" s="19">
        <v>608411.02</v>
      </c>
      <c r="BI62" s="19">
        <v>608411.02</v>
      </c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</row>
    <row r="63" spans="1:85">
      <c r="A63" s="14" t="s">
        <v>207</v>
      </c>
      <c r="B63" s="14" t="s">
        <v>86</v>
      </c>
      <c r="C63" s="14" t="s">
        <v>60</v>
      </c>
      <c r="D63" s="15">
        <v>25135</v>
      </c>
      <c r="E63" s="14" t="s">
        <v>218</v>
      </c>
      <c r="F63" s="14"/>
      <c r="G63" s="15" t="s">
        <v>334</v>
      </c>
      <c r="H63" s="16" t="s">
        <v>64</v>
      </c>
      <c r="I63" s="18">
        <v>0</v>
      </c>
      <c r="J63" s="48" t="s">
        <v>59</v>
      </c>
      <c r="K63" s="58" t="s">
        <v>64</v>
      </c>
      <c r="L63" s="60"/>
      <c r="M63" s="17"/>
      <c r="N63" s="81">
        <v>1</v>
      </c>
      <c r="O63" s="149">
        <f>IF(Tabela232[[#This Row],[Situação2]]=Tabela232[[#This Row],[Situação]],0,1)</f>
        <v>0</v>
      </c>
      <c r="P63" s="89" t="s">
        <v>64</v>
      </c>
      <c r="Q63" s="60"/>
      <c r="R63" s="60"/>
      <c r="S63" s="61">
        <v>1</v>
      </c>
      <c r="T63" s="96">
        <f>2018-Tabela232[[#This Row],[Ano do convênio]]</f>
        <v>6</v>
      </c>
      <c r="U63" s="76" t="s">
        <v>64</v>
      </c>
      <c r="V63" s="76" t="s">
        <v>988</v>
      </c>
      <c r="W63" s="76" t="s">
        <v>59</v>
      </c>
      <c r="X63" s="82">
        <f>IF(Tabela232[[#This Row],[Situação3]]=Tabela232[[#This Row],[Situação4]],0,1)</f>
        <v>0</v>
      </c>
      <c r="Y63" s="82"/>
      <c r="Z63" s="82">
        <v>0</v>
      </c>
      <c r="AA63" s="82" t="s">
        <v>204</v>
      </c>
      <c r="AB63" s="189" t="s">
        <v>988</v>
      </c>
      <c r="AC63" s="82">
        <v>0</v>
      </c>
      <c r="AD63" s="82" t="str">
        <f>Tabela232[[#This Row],[Situação3]]</f>
        <v>Não iniciada</v>
      </c>
      <c r="AE63" s="82" t="s">
        <v>204</v>
      </c>
      <c r="AF63" s="82" t="s">
        <v>988</v>
      </c>
      <c r="AG63" s="82">
        <v>0</v>
      </c>
      <c r="AH63" s="82"/>
      <c r="AI63" s="14"/>
      <c r="AJ63" s="14" t="s">
        <v>1543</v>
      </c>
      <c r="AK63" s="15" t="s">
        <v>78</v>
      </c>
      <c r="AL63" s="15" t="s">
        <v>78</v>
      </c>
      <c r="AM63" s="14"/>
      <c r="AN63" s="153">
        <f>INDEX('Simec OT - 020718'!$AX$1:$AX$137,MATCH(Tabela232[[#This Row],[ID obra]],'Simec OT - 020718'!$A$1:$A$137,0))</f>
        <v>286645.45</v>
      </c>
      <c r="AO63" s="129">
        <v>3337.18</v>
      </c>
      <c r="AP63" s="156">
        <f>IF(COUNTIF(AO$2:AO63,AO63)=1,1,0)</f>
        <v>0</v>
      </c>
      <c r="AQ63" s="156">
        <f t="shared" si="0"/>
        <v>4</v>
      </c>
      <c r="AR63" s="129">
        <f>Tabela232[[#This Row],[Saldo da conta 07/2018]]/Tabela232[[#This Row],[formel2]]</f>
        <v>834.29499999999996</v>
      </c>
      <c r="AS63" s="129">
        <f>INDEX('[1]Total repassado por obra'!$D$2:$D$127,MATCH(Tabela232[[#This Row],[ID obra]],'[1]Total repassado por obra'!$B$2:$B$127,0))</f>
        <v>391048</v>
      </c>
      <c r="AT63" s="129">
        <v>391048</v>
      </c>
      <c r="AU63" s="32" t="s">
        <v>214</v>
      </c>
      <c r="AV63" s="32" t="s">
        <v>334</v>
      </c>
      <c r="AW63" s="32" t="s">
        <v>59</v>
      </c>
      <c r="AX63" s="32" t="s">
        <v>59</v>
      </c>
      <c r="AY63" s="32"/>
      <c r="AZ63" s="32"/>
      <c r="BA63" s="32" t="s">
        <v>59</v>
      </c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</row>
    <row r="64" spans="1:85">
      <c r="A64" s="14" t="s">
        <v>207</v>
      </c>
      <c r="B64" s="14" t="s">
        <v>86</v>
      </c>
      <c r="C64" s="14" t="s">
        <v>60</v>
      </c>
      <c r="D64" s="15">
        <v>1006536</v>
      </c>
      <c r="E64" s="14" t="s">
        <v>219</v>
      </c>
      <c r="F64" s="14"/>
      <c r="G64" s="15" t="s">
        <v>331</v>
      </c>
      <c r="H64" s="16" t="s">
        <v>64</v>
      </c>
      <c r="I64" s="18">
        <v>0</v>
      </c>
      <c r="J64" s="48" t="s">
        <v>59</v>
      </c>
      <c r="K64" s="58" t="s">
        <v>64</v>
      </c>
      <c r="L64" s="60"/>
      <c r="M64" s="17"/>
      <c r="N64" s="81">
        <v>1</v>
      </c>
      <c r="O64" s="149">
        <f>IF(Tabela232[[#This Row],[Situação2]]=Tabela232[[#This Row],[Situação]],0,1)</f>
        <v>0</v>
      </c>
      <c r="P64" s="89" t="s">
        <v>64</v>
      </c>
      <c r="Q64" s="60"/>
      <c r="R64" s="60"/>
      <c r="S64" s="61">
        <v>1</v>
      </c>
      <c r="T64" s="96">
        <f>2018-Tabela232[[#This Row],[Ano do convênio]]</f>
        <v>5</v>
      </c>
      <c r="U64" s="76" t="s">
        <v>64</v>
      </c>
      <c r="V64" s="76" t="s">
        <v>988</v>
      </c>
      <c r="W64" s="76" t="s">
        <v>59</v>
      </c>
      <c r="X64" s="82">
        <f>IF(Tabela232[[#This Row],[Situação3]]=Tabela232[[#This Row],[Situação4]],0,1)</f>
        <v>0</v>
      </c>
      <c r="Y64" s="82"/>
      <c r="Z64" s="82">
        <v>1</v>
      </c>
      <c r="AA64" s="82" t="s">
        <v>204</v>
      </c>
      <c r="AB64" s="189" t="s">
        <v>988</v>
      </c>
      <c r="AC64" s="82">
        <v>0</v>
      </c>
      <c r="AD64" s="82" t="str">
        <f>Tabela232[[#This Row],[Situação3]]</f>
        <v>Não iniciada</v>
      </c>
      <c r="AE64" s="82" t="s">
        <v>204</v>
      </c>
      <c r="AF64" s="82" t="s">
        <v>988</v>
      </c>
      <c r="AG64" s="82">
        <v>0</v>
      </c>
      <c r="AH64" s="82"/>
      <c r="AI64" s="14"/>
      <c r="AJ64" s="14" t="s">
        <v>1544</v>
      </c>
      <c r="AK64" s="15" t="s">
        <v>60</v>
      </c>
      <c r="AL64" s="15" t="s">
        <v>78</v>
      </c>
      <c r="AM64" s="14"/>
      <c r="AN64" s="153">
        <f>INDEX('Simec OT - 020718'!$AX$1:$AX$137,MATCH(Tabela232[[#This Row],[ID obra]],'Simec OT - 020718'!$A$1:$A$137,0))</f>
        <v>201702.1</v>
      </c>
      <c r="AO64" s="129">
        <v>7818.32</v>
      </c>
      <c r="AP64" s="156">
        <f>IF(COUNTIF(AO$2:AO64,AO64)=1,1,0)</f>
        <v>1</v>
      </c>
      <c r="AQ64" s="156">
        <f t="shared" si="0"/>
        <v>1</v>
      </c>
      <c r="AR64" s="129">
        <f>Tabela232[[#This Row],[Saldo da conta 07/2018]]/Tabela232[[#This Row],[formel2]]</f>
        <v>7818.32</v>
      </c>
      <c r="AS64" s="129">
        <f>INDEX('[1]Total repassado por obra'!$D$2:$D$127,MATCH(Tabela232[[#This Row],[ID obra]],'[1]Total repassado por obra'!$B$2:$B$127,0))</f>
        <v>247882</v>
      </c>
      <c r="AT64" s="129">
        <v>247882</v>
      </c>
      <c r="AU64" s="32" t="s">
        <v>220</v>
      </c>
      <c r="AV64" s="32" t="s">
        <v>331</v>
      </c>
      <c r="AW64" s="32" t="s">
        <v>59</v>
      </c>
      <c r="AX64" s="32" t="s">
        <v>59</v>
      </c>
      <c r="AY64" s="32"/>
      <c r="AZ64" s="32"/>
      <c r="BA64" s="32" t="s">
        <v>59</v>
      </c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</row>
    <row r="65" spans="1:85">
      <c r="A65" s="14" t="s">
        <v>221</v>
      </c>
      <c r="B65" s="14" t="s">
        <v>55</v>
      </c>
      <c r="C65" s="14" t="s">
        <v>60</v>
      </c>
      <c r="D65" s="14">
        <v>19337</v>
      </c>
      <c r="E65" s="14" t="s">
        <v>222</v>
      </c>
      <c r="F65" s="14"/>
      <c r="G65" s="15" t="s">
        <v>333</v>
      </c>
      <c r="H65" s="16" t="s">
        <v>67</v>
      </c>
      <c r="I65" s="18">
        <v>80.94</v>
      </c>
      <c r="J65" s="48" t="s">
        <v>59</v>
      </c>
      <c r="K65" s="58" t="s">
        <v>1443</v>
      </c>
      <c r="L65" s="60">
        <v>68.430000000000007</v>
      </c>
      <c r="M65" s="63">
        <v>43100</v>
      </c>
      <c r="N65" s="82">
        <v>0</v>
      </c>
      <c r="O65" s="82">
        <f>IF(Tabela232[[#This Row],[Situação2]]=Tabela232[[#This Row],[Situação]],0,1)</f>
        <v>1</v>
      </c>
      <c r="P65" s="89" t="s">
        <v>89</v>
      </c>
      <c r="Q65" s="60"/>
      <c r="R65" s="86"/>
      <c r="S65" s="84">
        <v>0</v>
      </c>
      <c r="T65" s="82"/>
      <c r="U65" s="76" t="s">
        <v>89</v>
      </c>
      <c r="V65" s="76" t="s">
        <v>1233</v>
      </c>
      <c r="W65" s="76" t="s">
        <v>59</v>
      </c>
      <c r="X65" s="82">
        <f>IF(Tabela232[[#This Row],[Situação3]]=Tabela232[[#This Row],[Situação4]],0,1)</f>
        <v>0</v>
      </c>
      <c r="Y65" s="82"/>
      <c r="Z65" s="82">
        <v>0</v>
      </c>
      <c r="AA65" s="82" t="s">
        <v>89</v>
      </c>
      <c r="AB65" s="189" t="s">
        <v>1233</v>
      </c>
      <c r="AC65" s="82">
        <v>0</v>
      </c>
      <c r="AD65" s="82" t="str">
        <f>Tabela232[[#This Row],[Situação3]]</f>
        <v>Concluída</v>
      </c>
      <c r="AE65" s="82" t="s">
        <v>89</v>
      </c>
      <c r="AF65" s="189" t="s">
        <v>1063</v>
      </c>
      <c r="AG65" s="82"/>
      <c r="AH65" s="82"/>
      <c r="AI65" s="59" t="s">
        <v>223</v>
      </c>
      <c r="AJ65" s="14" t="s">
        <v>1545</v>
      </c>
      <c r="AK65" s="15" t="s">
        <v>60</v>
      </c>
      <c r="AL65" s="15" t="s">
        <v>60</v>
      </c>
      <c r="AM65" s="14"/>
      <c r="AN65" s="153">
        <f>INDEX('Simec OT - 020718'!$AX$1:$AX$137,MATCH(Tabela232[[#This Row],[ID obra]],'Simec OT - 020718'!$A$1:$A$137,0))</f>
        <v>961251.39</v>
      </c>
      <c r="AO65" s="130">
        <v>44494.05</v>
      </c>
      <c r="AP65" s="156">
        <f>IF(COUNTIF(AO$2:AO65,AO65)=1,1,0)</f>
        <v>1</v>
      </c>
      <c r="AQ65" s="156">
        <f t="shared" si="0"/>
        <v>1</v>
      </c>
      <c r="AR65" s="129">
        <f>Tabela232[[#This Row],[Saldo da conta 07/2018]]/Tabela232[[#This Row],[formel2]]</f>
        <v>44494.05</v>
      </c>
      <c r="AS65" s="129">
        <f>INDEX('[1]Total repassado por obra'!$D$2:$D$127,MATCH(Tabela232[[#This Row],[ID obra]],'[1]Total repassado por obra'!$B$2:$B$127,0))</f>
        <v>1278351</v>
      </c>
      <c r="AT65" s="129">
        <v>1278351</v>
      </c>
      <c r="AU65" s="32" t="s">
        <v>224</v>
      </c>
      <c r="AV65" s="32" t="s">
        <v>333</v>
      </c>
      <c r="AW65" s="32">
        <v>2012</v>
      </c>
      <c r="AX65" s="32">
        <v>2018</v>
      </c>
      <c r="AY65" s="32">
        <f>Tabela232[[#This Row],[Ano de entrega]]-Tabela232[[#This Row],[Ano de início da obra]]</f>
        <v>6</v>
      </c>
      <c r="AZ65" s="32">
        <f>(BG65-BF65)+(BO65-BN65)+(BW65-BV65)</f>
        <v>758</v>
      </c>
      <c r="BA65" s="32" t="s">
        <v>60</v>
      </c>
      <c r="BB65" s="115" t="s">
        <v>225</v>
      </c>
      <c r="BC65" s="110">
        <v>41066</v>
      </c>
      <c r="BD65" s="110">
        <v>41372</v>
      </c>
      <c r="BE65" s="110">
        <v>41945</v>
      </c>
      <c r="BF65" s="114">
        <f>Tabela232[[#This Row],[Término inicial]]-Tabela232[[#This Row],[Início]]</f>
        <v>306</v>
      </c>
      <c r="BG65" s="114">
        <f>Tabela232[[#This Row],[Término final]]-Tabela232[[#This Row],[Início]]</f>
        <v>879</v>
      </c>
      <c r="BH65" s="109">
        <v>1266234.08</v>
      </c>
      <c r="BI65" s="109">
        <v>1410948.48</v>
      </c>
      <c r="BJ65" s="115" t="s">
        <v>1479</v>
      </c>
      <c r="BK65" s="110">
        <v>42352</v>
      </c>
      <c r="BL65" s="110">
        <v>42717</v>
      </c>
      <c r="BM65" s="110">
        <v>42717</v>
      </c>
      <c r="BN65" s="114">
        <v>365</v>
      </c>
      <c r="BO65" s="114">
        <v>365</v>
      </c>
      <c r="BP65" s="109">
        <v>657454.35</v>
      </c>
      <c r="BQ65" s="109">
        <v>657454.35</v>
      </c>
      <c r="BR65" s="115" t="s">
        <v>226</v>
      </c>
      <c r="BS65" s="110">
        <v>42906</v>
      </c>
      <c r="BT65" s="110">
        <v>43089</v>
      </c>
      <c r="BU65" s="110">
        <v>43270</v>
      </c>
      <c r="BV65" s="114">
        <v>180</v>
      </c>
      <c r="BW65" s="114">
        <v>365</v>
      </c>
      <c r="BX65" s="109">
        <v>546500</v>
      </c>
      <c r="BY65" s="109">
        <v>680742.26</v>
      </c>
      <c r="BZ65" s="27"/>
      <c r="CA65" s="27"/>
      <c r="CB65" s="27"/>
      <c r="CC65" s="27"/>
      <c r="CD65" s="27"/>
      <c r="CE65" s="27"/>
      <c r="CF65" s="27"/>
      <c r="CG65" s="27"/>
    </row>
    <row r="66" spans="1:85">
      <c r="A66" s="14" t="s">
        <v>221</v>
      </c>
      <c r="B66" s="14" t="s">
        <v>55</v>
      </c>
      <c r="C66" s="14" t="s">
        <v>60</v>
      </c>
      <c r="D66" s="14">
        <v>25356</v>
      </c>
      <c r="E66" s="14" t="s">
        <v>227</v>
      </c>
      <c r="F66" s="14"/>
      <c r="G66" s="15" t="s">
        <v>332</v>
      </c>
      <c r="H66" s="16" t="s">
        <v>64</v>
      </c>
      <c r="I66" s="18">
        <v>0</v>
      </c>
      <c r="J66" s="48" t="s">
        <v>59</v>
      </c>
      <c r="K66" s="58" t="s">
        <v>64</v>
      </c>
      <c r="L66" s="60"/>
      <c r="M66" s="17"/>
      <c r="N66" s="81">
        <v>1</v>
      </c>
      <c r="O66" s="149">
        <f>IF(Tabela232[[#This Row],[Situação2]]=Tabela232[[#This Row],[Situação]],0,1)</f>
        <v>0</v>
      </c>
      <c r="P66" s="89" t="s">
        <v>64</v>
      </c>
      <c r="Q66" s="60"/>
      <c r="R66" s="60"/>
      <c r="S66" s="61">
        <v>1</v>
      </c>
      <c r="T66" s="96">
        <f>2018-Tabela232[[#This Row],[Ano do convênio]]</f>
        <v>4</v>
      </c>
      <c r="U66" s="76" t="s">
        <v>64</v>
      </c>
      <c r="V66" s="76" t="s">
        <v>988</v>
      </c>
      <c r="W66" s="76" t="s">
        <v>59</v>
      </c>
      <c r="X66" s="82">
        <f>IF(Tabela232[[#This Row],[Situação3]]=Tabela232[[#This Row],[Situação4]],0,1)</f>
        <v>0</v>
      </c>
      <c r="Y66" s="82">
        <v>1</v>
      </c>
      <c r="Z66" s="82">
        <v>1</v>
      </c>
      <c r="AA66" s="82" t="s">
        <v>204</v>
      </c>
      <c r="AB66" s="189" t="s">
        <v>988</v>
      </c>
      <c r="AC66" s="82">
        <v>0</v>
      </c>
      <c r="AD66" s="82" t="str">
        <f>Tabela232[[#This Row],[Situação3]]</f>
        <v>Não iniciada</v>
      </c>
      <c r="AE66" s="82" t="s">
        <v>204</v>
      </c>
      <c r="AF66" s="82"/>
      <c r="AG66" s="82"/>
      <c r="AH66" s="82"/>
      <c r="AI66" s="14"/>
      <c r="AJ66" s="14" t="s">
        <v>228</v>
      </c>
      <c r="AK66" s="15" t="s">
        <v>78</v>
      </c>
      <c r="AL66" s="15" t="s">
        <v>78</v>
      </c>
      <c r="AM66" s="15" t="s">
        <v>60</v>
      </c>
      <c r="AN66" s="153">
        <f>INDEX('Simec OT - 020718'!$AX$1:$AX$137,MATCH(Tabela232[[#This Row],[ID obra]],'Simec OT - 020718'!$A$1:$A$137,0))</f>
        <v>289956.44</v>
      </c>
      <c r="AO66" s="129">
        <v>2207440.54</v>
      </c>
      <c r="AP66" s="156">
        <f>IF(COUNTIF(AO$2:AO66,AO66)=1,1,0)</f>
        <v>1</v>
      </c>
      <c r="AQ66" s="156">
        <f t="shared" si="0"/>
        <v>5</v>
      </c>
      <c r="AR66" s="129">
        <f>Tabela232[[#This Row],[Saldo da conta 07/2018]]/Tabela232[[#This Row],[formel2]]</f>
        <v>441488.10800000001</v>
      </c>
      <c r="AS66" s="129">
        <f>INDEX('[1]Total repassado por obra'!$D$2:$D$127,MATCH(Tabela232[[#This Row],[ID obra]],'[1]Total repassado por obra'!$B$2:$B$127,0))</f>
        <v>395565</v>
      </c>
      <c r="AT66" s="129">
        <v>395565</v>
      </c>
      <c r="AU66" s="32" t="s">
        <v>229</v>
      </c>
      <c r="AV66" s="32" t="s">
        <v>332</v>
      </c>
      <c r="AW66" s="32" t="s">
        <v>59</v>
      </c>
      <c r="AX66" s="32" t="s">
        <v>59</v>
      </c>
      <c r="AY66" s="32"/>
      <c r="AZ66" s="32"/>
      <c r="BA66" s="32" t="s">
        <v>59</v>
      </c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</row>
    <row r="67" spans="1:85">
      <c r="A67" s="14" t="s">
        <v>221</v>
      </c>
      <c r="B67" s="14" t="s">
        <v>55</v>
      </c>
      <c r="C67" s="14" t="s">
        <v>60</v>
      </c>
      <c r="D67" s="14">
        <v>25357</v>
      </c>
      <c r="E67" s="14" t="s">
        <v>230</v>
      </c>
      <c r="F67" s="14"/>
      <c r="G67" s="15" t="s">
        <v>332</v>
      </c>
      <c r="H67" s="16" t="s">
        <v>64</v>
      </c>
      <c r="I67" s="18">
        <v>0</v>
      </c>
      <c r="J67" s="48" t="s">
        <v>59</v>
      </c>
      <c r="K67" s="58" t="s">
        <v>64</v>
      </c>
      <c r="L67" s="60"/>
      <c r="M67" s="17"/>
      <c r="N67" s="81">
        <v>1</v>
      </c>
      <c r="O67" s="149">
        <f>IF(Tabela232[[#This Row],[Situação2]]=Tabela232[[#This Row],[Situação]],0,1)</f>
        <v>0</v>
      </c>
      <c r="P67" s="89" t="s">
        <v>64</v>
      </c>
      <c r="Q67" s="60"/>
      <c r="R67" s="60"/>
      <c r="S67" s="61">
        <v>1</v>
      </c>
      <c r="T67" s="96">
        <f>2018-Tabela232[[#This Row],[Ano do convênio]]</f>
        <v>4</v>
      </c>
      <c r="U67" s="76" t="s">
        <v>64</v>
      </c>
      <c r="V67" s="76" t="s">
        <v>988</v>
      </c>
      <c r="W67" s="76" t="s">
        <v>59</v>
      </c>
      <c r="X67" s="82">
        <f>IF(Tabela232[[#This Row],[Situação3]]=Tabela232[[#This Row],[Situação4]],0,1)</f>
        <v>0</v>
      </c>
      <c r="Y67" s="82">
        <v>1</v>
      </c>
      <c r="Z67" s="82">
        <v>1</v>
      </c>
      <c r="AA67" s="82" t="s">
        <v>204</v>
      </c>
      <c r="AB67" s="189" t="s">
        <v>988</v>
      </c>
      <c r="AC67" s="82">
        <v>0</v>
      </c>
      <c r="AD67" s="82" t="str">
        <f>Tabela232[[#This Row],[Situação3]]</f>
        <v>Não iniciada</v>
      </c>
      <c r="AE67" s="82" t="s">
        <v>204</v>
      </c>
      <c r="AF67" s="82"/>
      <c r="AG67" s="82"/>
      <c r="AH67" s="82"/>
      <c r="AI67" s="14"/>
      <c r="AJ67" s="14" t="s">
        <v>231</v>
      </c>
      <c r="AK67" s="15" t="s">
        <v>78</v>
      </c>
      <c r="AL67" s="15" t="s">
        <v>78</v>
      </c>
      <c r="AM67" s="15" t="s">
        <v>60</v>
      </c>
      <c r="AN67" s="153">
        <f>INDEX('Simec OT - 020718'!$AX$1:$AX$137,MATCH(Tabela232[[#This Row],[ID obra]],'Simec OT - 020718'!$A$1:$A$137,0))</f>
        <v>289978.53999999998</v>
      </c>
      <c r="AO67" s="129">
        <v>2207440.54</v>
      </c>
      <c r="AP67" s="156">
        <f>IF(COUNTIF(AO$2:AO67,AO67)=1,1,0)</f>
        <v>0</v>
      </c>
      <c r="AQ67" s="156">
        <f t="shared" si="0"/>
        <v>5</v>
      </c>
      <c r="AR67" s="129">
        <f>Tabela232[[#This Row],[Saldo da conta 07/2018]]/Tabela232[[#This Row],[formel2]]</f>
        <v>441488.10800000001</v>
      </c>
      <c r="AS67" s="129">
        <f>INDEX('[1]Total repassado por obra'!$D$2:$D$127,MATCH(Tabela232[[#This Row],[ID obra]],'[1]Total repassado por obra'!$B$2:$B$127,0))</f>
        <v>395595</v>
      </c>
      <c r="AT67" s="129">
        <v>395595</v>
      </c>
      <c r="AU67" s="32" t="s">
        <v>229</v>
      </c>
      <c r="AV67" s="32" t="s">
        <v>332</v>
      </c>
      <c r="AW67" s="32" t="s">
        <v>59</v>
      </c>
      <c r="AX67" s="32" t="s">
        <v>59</v>
      </c>
      <c r="AY67" s="32"/>
      <c r="AZ67" s="32"/>
      <c r="BA67" s="32" t="s">
        <v>59</v>
      </c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</row>
    <row r="68" spans="1:85">
      <c r="A68" s="14" t="s">
        <v>221</v>
      </c>
      <c r="B68" s="14" t="s">
        <v>55</v>
      </c>
      <c r="C68" s="14" t="s">
        <v>60</v>
      </c>
      <c r="D68" s="14">
        <v>25358</v>
      </c>
      <c r="E68" s="14" t="s">
        <v>232</v>
      </c>
      <c r="F68" s="14"/>
      <c r="G68" s="15" t="s">
        <v>332</v>
      </c>
      <c r="H68" s="16" t="s">
        <v>64</v>
      </c>
      <c r="I68" s="18">
        <v>0</v>
      </c>
      <c r="J68" s="48" t="s">
        <v>59</v>
      </c>
      <c r="K68" s="58" t="s">
        <v>64</v>
      </c>
      <c r="L68" s="60"/>
      <c r="M68" s="17"/>
      <c r="N68" s="81">
        <v>1</v>
      </c>
      <c r="O68" s="149">
        <f>IF(Tabela232[[#This Row],[Situação2]]=Tabela232[[#This Row],[Situação]],0,1)</f>
        <v>0</v>
      </c>
      <c r="P68" s="89" t="s">
        <v>64</v>
      </c>
      <c r="Q68" s="60"/>
      <c r="R68" s="60"/>
      <c r="S68" s="61">
        <v>1</v>
      </c>
      <c r="T68" s="96">
        <f>2018-Tabela232[[#This Row],[Ano do convênio]]</f>
        <v>4</v>
      </c>
      <c r="U68" s="76" t="s">
        <v>64</v>
      </c>
      <c r="V68" s="76" t="s">
        <v>988</v>
      </c>
      <c r="W68" s="76" t="s">
        <v>59</v>
      </c>
      <c r="X68" s="82">
        <f>IF(Tabela232[[#This Row],[Situação3]]=Tabela232[[#This Row],[Situação4]],0,1)</f>
        <v>0</v>
      </c>
      <c r="Y68" s="82">
        <v>1</v>
      </c>
      <c r="Z68" s="82">
        <v>1</v>
      </c>
      <c r="AA68" s="82" t="s">
        <v>204</v>
      </c>
      <c r="AB68" s="189" t="s">
        <v>988</v>
      </c>
      <c r="AC68" s="82">
        <v>0</v>
      </c>
      <c r="AD68" s="82" t="str">
        <f>Tabela232[[#This Row],[Situação3]]</f>
        <v>Não iniciada</v>
      </c>
      <c r="AE68" s="82" t="s">
        <v>204</v>
      </c>
      <c r="AF68" s="82"/>
      <c r="AG68" s="82"/>
      <c r="AH68" s="82"/>
      <c r="AI68" s="14"/>
      <c r="AJ68" s="14" t="s">
        <v>228</v>
      </c>
      <c r="AK68" s="15" t="s">
        <v>78</v>
      </c>
      <c r="AL68" s="15" t="s">
        <v>78</v>
      </c>
      <c r="AM68" s="15" t="s">
        <v>60</v>
      </c>
      <c r="AN68" s="153">
        <f>INDEX('Simec OT - 020718'!$AX$1:$AX$137,MATCH(Tabela232[[#This Row],[ID obra]],'Simec OT - 020718'!$A$1:$A$137,0))</f>
        <v>289740.40000000002</v>
      </c>
      <c r="AO68" s="129">
        <v>2207440.54</v>
      </c>
      <c r="AP68" s="156">
        <f>IF(COUNTIF(AO$2:AO68,AO68)=1,1,0)</f>
        <v>0</v>
      </c>
      <c r="AQ68" s="156">
        <f t="shared" si="0"/>
        <v>5</v>
      </c>
      <c r="AR68" s="129">
        <f>Tabela232[[#This Row],[Saldo da conta 07/2018]]/Tabela232[[#This Row],[formel2]]</f>
        <v>441488.10800000001</v>
      </c>
      <c r="AS68" s="129">
        <f>INDEX('[1]Total repassado por obra'!$D$2:$D$127,MATCH(Tabela232[[#This Row],[ID obra]],'[1]Total repassado por obra'!$B$2:$B$127,0))</f>
        <v>395270</v>
      </c>
      <c r="AT68" s="129">
        <v>395270</v>
      </c>
      <c r="AU68" s="32" t="s">
        <v>229</v>
      </c>
      <c r="AV68" s="32" t="s">
        <v>332</v>
      </c>
      <c r="AW68" s="32" t="s">
        <v>59</v>
      </c>
      <c r="AX68" s="32" t="s">
        <v>59</v>
      </c>
      <c r="AY68" s="32"/>
      <c r="AZ68" s="32"/>
      <c r="BA68" s="32" t="s">
        <v>59</v>
      </c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</row>
    <row r="69" spans="1:85">
      <c r="A69" s="14" t="s">
        <v>221</v>
      </c>
      <c r="B69" s="14" t="s">
        <v>55</v>
      </c>
      <c r="C69" s="14" t="s">
        <v>60</v>
      </c>
      <c r="D69" s="14">
        <v>25359</v>
      </c>
      <c r="E69" s="14" t="s">
        <v>233</v>
      </c>
      <c r="F69" s="14"/>
      <c r="G69" s="15" t="s">
        <v>332</v>
      </c>
      <c r="H69" s="16" t="s">
        <v>64</v>
      </c>
      <c r="I69" s="18">
        <v>0</v>
      </c>
      <c r="J69" s="48" t="s">
        <v>59</v>
      </c>
      <c r="K69" s="58" t="s">
        <v>64</v>
      </c>
      <c r="L69" s="62"/>
      <c r="M69" s="17"/>
      <c r="N69" s="81">
        <v>1</v>
      </c>
      <c r="O69" s="149">
        <f>IF(Tabela232[[#This Row],[Situação2]]=Tabela232[[#This Row],[Situação]],0,1)</f>
        <v>0</v>
      </c>
      <c r="P69" s="89" t="s">
        <v>64</v>
      </c>
      <c r="Q69" s="62"/>
      <c r="R69" s="60"/>
      <c r="S69" s="61">
        <v>1</v>
      </c>
      <c r="T69" s="96">
        <f>2018-Tabela232[[#This Row],[Ano do convênio]]</f>
        <v>4</v>
      </c>
      <c r="U69" s="76" t="s">
        <v>64</v>
      </c>
      <c r="V69" s="76" t="s">
        <v>988</v>
      </c>
      <c r="W69" s="76" t="s">
        <v>59</v>
      </c>
      <c r="X69" s="82">
        <f>IF(Tabela232[[#This Row],[Situação3]]=Tabela232[[#This Row],[Situação4]],0,1)</f>
        <v>0</v>
      </c>
      <c r="Y69" s="82">
        <v>1</v>
      </c>
      <c r="Z69" s="82">
        <v>1</v>
      </c>
      <c r="AA69" s="82" t="s">
        <v>204</v>
      </c>
      <c r="AB69" s="189" t="s">
        <v>988</v>
      </c>
      <c r="AC69" s="82">
        <v>0</v>
      </c>
      <c r="AD69" s="82" t="str">
        <f>Tabela232[[#This Row],[Situação3]]</f>
        <v>Não iniciada</v>
      </c>
      <c r="AE69" s="82" t="s">
        <v>204</v>
      </c>
      <c r="AF69" s="82"/>
      <c r="AG69" s="82"/>
      <c r="AH69" s="82"/>
      <c r="AI69" s="14"/>
      <c r="AJ69" s="14" t="s">
        <v>228</v>
      </c>
      <c r="AK69" s="15" t="s">
        <v>78</v>
      </c>
      <c r="AL69" s="15" t="s">
        <v>78</v>
      </c>
      <c r="AM69" s="15" t="s">
        <v>60</v>
      </c>
      <c r="AN69" s="153">
        <f>INDEX('Simec OT - 020718'!$AX$1:$AX$137,MATCH(Tabela232[[#This Row],[ID obra]],'Simec OT - 020718'!$A$1:$A$137,0))</f>
        <v>289984.52</v>
      </c>
      <c r="AO69" s="129">
        <v>2207440.54</v>
      </c>
      <c r="AP69" s="156">
        <f>IF(COUNTIF(AO$2:AO69,AO69)=1,1,0)</f>
        <v>0</v>
      </c>
      <c r="AQ69" s="156">
        <f t="shared" si="0"/>
        <v>5</v>
      </c>
      <c r="AR69" s="129">
        <f>Tabela232[[#This Row],[Saldo da conta 07/2018]]/Tabela232[[#This Row],[formel2]]</f>
        <v>441488.10800000001</v>
      </c>
      <c r="AS69" s="129">
        <f>INDEX('[1]Total repassado por obra'!$D$2:$D$127,MATCH(Tabela232[[#This Row],[ID obra]],'[1]Total repassado por obra'!$B$2:$B$127,0))</f>
        <v>395603</v>
      </c>
      <c r="AT69" s="129">
        <v>395603</v>
      </c>
      <c r="AU69" s="32" t="s">
        <v>229</v>
      </c>
      <c r="AV69" s="32" t="s">
        <v>332</v>
      </c>
      <c r="AW69" s="32" t="s">
        <v>59</v>
      </c>
      <c r="AX69" s="32" t="s">
        <v>59</v>
      </c>
      <c r="AY69" s="32"/>
      <c r="AZ69" s="32"/>
      <c r="BA69" s="32" t="s">
        <v>59</v>
      </c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</row>
    <row r="70" spans="1:85">
      <c r="A70" s="14" t="s">
        <v>221</v>
      </c>
      <c r="B70" s="14" t="s">
        <v>55</v>
      </c>
      <c r="C70" s="14" t="s">
        <v>60</v>
      </c>
      <c r="D70" s="14">
        <v>25360</v>
      </c>
      <c r="E70" s="14" t="s">
        <v>234</v>
      </c>
      <c r="F70" s="14"/>
      <c r="G70" s="15" t="s">
        <v>332</v>
      </c>
      <c r="H70" s="16" t="s">
        <v>64</v>
      </c>
      <c r="I70" s="18">
        <v>0</v>
      </c>
      <c r="J70" s="48" t="s">
        <v>59</v>
      </c>
      <c r="K70" s="58" t="s">
        <v>64</v>
      </c>
      <c r="L70" s="60"/>
      <c r="M70" s="17"/>
      <c r="N70" s="81">
        <v>1</v>
      </c>
      <c r="O70" s="149">
        <f>IF(Tabela232[[#This Row],[Situação2]]=Tabela232[[#This Row],[Situação]],0,1)</f>
        <v>0</v>
      </c>
      <c r="P70" s="89" t="s">
        <v>64</v>
      </c>
      <c r="Q70" s="60"/>
      <c r="R70" s="60"/>
      <c r="S70" s="61">
        <v>1</v>
      </c>
      <c r="T70" s="96">
        <f>2018-Tabela232[[#This Row],[Ano do convênio]]</f>
        <v>4</v>
      </c>
      <c r="U70" s="76" t="s">
        <v>64</v>
      </c>
      <c r="V70" s="76" t="s">
        <v>988</v>
      </c>
      <c r="W70" s="76" t="s">
        <v>59</v>
      </c>
      <c r="X70" s="82">
        <f>IF(Tabela232[[#This Row],[Situação3]]=Tabela232[[#This Row],[Situação4]],0,1)</f>
        <v>0</v>
      </c>
      <c r="Y70" s="82">
        <v>1</v>
      </c>
      <c r="Z70" s="82">
        <v>1</v>
      </c>
      <c r="AA70" s="82" t="s">
        <v>204</v>
      </c>
      <c r="AB70" s="189" t="s">
        <v>988</v>
      </c>
      <c r="AC70" s="82">
        <v>0</v>
      </c>
      <c r="AD70" s="82" t="str">
        <f>Tabela232[[#This Row],[Situação3]]</f>
        <v>Não iniciada</v>
      </c>
      <c r="AE70" s="82" t="s">
        <v>204</v>
      </c>
      <c r="AF70" s="82"/>
      <c r="AG70" s="82"/>
      <c r="AH70" s="82"/>
      <c r="AI70" s="14"/>
      <c r="AJ70" s="14" t="s">
        <v>231</v>
      </c>
      <c r="AK70" s="15" t="s">
        <v>78</v>
      </c>
      <c r="AL70" s="15" t="s">
        <v>78</v>
      </c>
      <c r="AM70" s="15" t="s">
        <v>60</v>
      </c>
      <c r="AN70" s="153">
        <f>INDEX('Simec OT - 020718'!$AX$1:$AX$137,MATCH(Tabela232[[#This Row],[ID obra]],'Simec OT - 020718'!$A$1:$A$137,0))</f>
        <v>289980.53000000003</v>
      </c>
      <c r="AO70" s="129">
        <v>2207440.54</v>
      </c>
      <c r="AP70" s="156">
        <f>IF(COUNTIF(AO$2:AO70,AO70)=1,1,0)</f>
        <v>0</v>
      </c>
      <c r="AQ70" s="156">
        <f t="shared" ref="AQ70:AQ133" si="1">COUNTIF($AO$2:$AO$137,AO70)</f>
        <v>5</v>
      </c>
      <c r="AR70" s="129">
        <f>Tabela232[[#This Row],[Saldo da conta 07/2018]]/Tabela232[[#This Row],[formel2]]</f>
        <v>441488.10800000001</v>
      </c>
      <c r="AS70" s="129">
        <f>INDEX('[1]Total repassado por obra'!$D$2:$D$127,MATCH(Tabela232[[#This Row],[ID obra]],'[1]Total repassado por obra'!$B$2:$B$127,0))</f>
        <v>395598</v>
      </c>
      <c r="AT70" s="129">
        <v>395598</v>
      </c>
      <c r="AU70" s="32" t="s">
        <v>229</v>
      </c>
      <c r="AV70" s="32" t="s">
        <v>332</v>
      </c>
      <c r="AW70" s="32" t="s">
        <v>59</v>
      </c>
      <c r="AX70" s="32" t="s">
        <v>59</v>
      </c>
      <c r="AY70" s="32"/>
      <c r="AZ70" s="32"/>
      <c r="BA70" s="32" t="s">
        <v>59</v>
      </c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</row>
    <row r="71" spans="1:85">
      <c r="A71" s="14" t="s">
        <v>221</v>
      </c>
      <c r="B71" s="14" t="s">
        <v>55</v>
      </c>
      <c r="C71" s="14" t="s">
        <v>60</v>
      </c>
      <c r="D71" s="14">
        <v>1005814</v>
      </c>
      <c r="E71" s="14" t="s">
        <v>235</v>
      </c>
      <c r="F71" s="14"/>
      <c r="G71" s="15" t="s">
        <v>331</v>
      </c>
      <c r="H71" s="16" t="s">
        <v>64</v>
      </c>
      <c r="I71" s="18">
        <v>0</v>
      </c>
      <c r="J71" s="48" t="s">
        <v>59</v>
      </c>
      <c r="K71" s="58" t="s">
        <v>64</v>
      </c>
      <c r="L71" s="60"/>
      <c r="M71" s="17"/>
      <c r="N71" s="81">
        <v>1</v>
      </c>
      <c r="O71" s="149">
        <f>IF(Tabela232[[#This Row],[Situação2]]=Tabela232[[#This Row],[Situação]],0,1)</f>
        <v>0</v>
      </c>
      <c r="P71" s="89" t="s">
        <v>64</v>
      </c>
      <c r="Q71" s="60"/>
      <c r="R71" s="60"/>
      <c r="S71" s="61">
        <v>1</v>
      </c>
      <c r="T71" s="96">
        <f>2018-Tabela232[[#This Row],[Ano do convênio]]</f>
        <v>5</v>
      </c>
      <c r="U71" s="76" t="s">
        <v>64</v>
      </c>
      <c r="V71" s="76" t="s">
        <v>988</v>
      </c>
      <c r="W71" s="76" t="s">
        <v>59</v>
      </c>
      <c r="X71" s="82">
        <f>IF(Tabela232[[#This Row],[Situação3]]=Tabela232[[#This Row],[Situação4]],0,1)</f>
        <v>0</v>
      </c>
      <c r="Y71" s="82">
        <v>1</v>
      </c>
      <c r="Z71" s="82">
        <v>1</v>
      </c>
      <c r="AA71" s="82" t="s">
        <v>204</v>
      </c>
      <c r="AB71" s="189" t="s">
        <v>988</v>
      </c>
      <c r="AC71" s="82">
        <v>0</v>
      </c>
      <c r="AD71" s="82" t="str">
        <f>Tabela232[[#This Row],[Situação3]]</f>
        <v>Não iniciada</v>
      </c>
      <c r="AE71" s="82" t="s">
        <v>204</v>
      </c>
      <c r="AF71" s="82"/>
      <c r="AG71" s="82"/>
      <c r="AH71" s="82"/>
      <c r="AI71" s="14"/>
      <c r="AJ71" s="14" t="s">
        <v>231</v>
      </c>
      <c r="AK71" s="15" t="s">
        <v>78</v>
      </c>
      <c r="AL71" s="15" t="s">
        <v>78</v>
      </c>
      <c r="AM71" s="15" t="s">
        <v>60</v>
      </c>
      <c r="AN71" s="153">
        <f>INDEX('Simec OT - 020718'!$AX$1:$AX$137,MATCH(Tabela232[[#This Row],[ID obra]],'Simec OT - 020718'!$A$1:$A$137,0))</f>
        <v>202443.14</v>
      </c>
      <c r="AO71" s="129">
        <v>270774.44</v>
      </c>
      <c r="AP71" s="156">
        <f>IF(COUNTIF(AO$2:AO71,AO71)=1,1,0)</f>
        <v>1</v>
      </c>
      <c r="AQ71" s="156">
        <f t="shared" si="1"/>
        <v>1</v>
      </c>
      <c r="AR71" s="129">
        <f>Tabela232[[#This Row],[Saldo da conta 07/2018]]/Tabela232[[#This Row],[formel2]]</f>
        <v>270774.44</v>
      </c>
      <c r="AS71" s="129">
        <f>INDEX('[1]Total repassado por obra'!$D$2:$D$127,MATCH(Tabela232[[#This Row],[ID obra]],'[1]Total repassado por obra'!$B$2:$B$127,0))</f>
        <v>246178</v>
      </c>
      <c r="AT71" s="129">
        <v>246178</v>
      </c>
      <c r="AU71" s="32" t="s">
        <v>236</v>
      </c>
      <c r="AV71" s="32" t="s">
        <v>331</v>
      </c>
      <c r="AW71" s="32" t="s">
        <v>59</v>
      </c>
      <c r="AX71" s="32" t="s">
        <v>59</v>
      </c>
      <c r="AY71" s="32"/>
      <c r="AZ71" s="32"/>
      <c r="BA71" s="32" t="s">
        <v>59</v>
      </c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</row>
    <row r="72" spans="1:85">
      <c r="A72" s="14" t="s">
        <v>221</v>
      </c>
      <c r="B72" s="14" t="s">
        <v>55</v>
      </c>
      <c r="C72" s="14" t="s">
        <v>60</v>
      </c>
      <c r="D72" s="14">
        <v>1009214</v>
      </c>
      <c r="E72" s="14" t="s">
        <v>237</v>
      </c>
      <c r="F72" s="14"/>
      <c r="G72" s="15" t="s">
        <v>332</v>
      </c>
      <c r="H72" s="16" t="s">
        <v>64</v>
      </c>
      <c r="I72" s="18">
        <v>0</v>
      </c>
      <c r="J72" s="48" t="s">
        <v>59</v>
      </c>
      <c r="K72" s="58" t="s">
        <v>64</v>
      </c>
      <c r="L72" s="60"/>
      <c r="M72" s="17"/>
      <c r="N72" s="81">
        <v>1</v>
      </c>
      <c r="O72" s="149">
        <f>IF(Tabela232[[#This Row],[Situação2]]=Tabela232[[#This Row],[Situação]],0,1)</f>
        <v>0</v>
      </c>
      <c r="P72" s="89" t="s">
        <v>64</v>
      </c>
      <c r="Q72" s="60"/>
      <c r="R72" s="60"/>
      <c r="S72" s="61">
        <v>1</v>
      </c>
      <c r="T72" s="96">
        <f>2018-Tabela232[[#This Row],[Ano do convênio]]</f>
        <v>4</v>
      </c>
      <c r="U72" s="76" t="s">
        <v>64</v>
      </c>
      <c r="V72" s="76" t="s">
        <v>988</v>
      </c>
      <c r="W72" s="76" t="s">
        <v>59</v>
      </c>
      <c r="X72" s="82">
        <f>IF(Tabela232[[#This Row],[Situação3]]=Tabela232[[#This Row],[Situação4]],0,1)</f>
        <v>0</v>
      </c>
      <c r="Y72" s="82">
        <v>1</v>
      </c>
      <c r="Z72" s="82">
        <v>1</v>
      </c>
      <c r="AA72" s="82" t="s">
        <v>204</v>
      </c>
      <c r="AB72" s="189" t="s">
        <v>988</v>
      </c>
      <c r="AC72" s="82">
        <v>0</v>
      </c>
      <c r="AD72" s="82" t="str">
        <f>Tabela232[[#This Row],[Situação3]]</f>
        <v>Não iniciada</v>
      </c>
      <c r="AE72" s="82" t="s">
        <v>204</v>
      </c>
      <c r="AF72" s="82"/>
      <c r="AG72" s="82"/>
      <c r="AH72" s="82"/>
      <c r="AI72" s="14"/>
      <c r="AJ72" s="14" t="s">
        <v>231</v>
      </c>
      <c r="AK72" s="15" t="s">
        <v>78</v>
      </c>
      <c r="AL72" s="15" t="s">
        <v>78</v>
      </c>
      <c r="AM72" s="15" t="s">
        <v>60</v>
      </c>
      <c r="AN72" s="153">
        <f>INDEX('Simec OT - 020718'!$AX$1:$AX$137,MATCH(Tabela232[[#This Row],[ID obra]],'Simec OT - 020718'!$A$1:$A$137,0))</f>
        <v>202155.89</v>
      </c>
      <c r="AO72" s="129">
        <v>270390.23</v>
      </c>
      <c r="AP72" s="156">
        <f>IF(COUNTIF(AO$2:AO72,AO72)=1,1,0)</f>
        <v>1</v>
      </c>
      <c r="AQ72" s="156">
        <f t="shared" si="1"/>
        <v>1</v>
      </c>
      <c r="AR72" s="129">
        <f>Tabela232[[#This Row],[Saldo da conta 07/2018]]/Tabela232[[#This Row],[formel2]]</f>
        <v>270390.23</v>
      </c>
      <c r="AS72" s="129">
        <f>INDEX('[1]Total repassado por obra'!$D$2:$D$127,MATCH(Tabela232[[#This Row],[ID obra]],'[1]Total repassado por obra'!$B$2:$B$127,0))</f>
        <v>245829</v>
      </c>
      <c r="AT72" s="129">
        <v>245829</v>
      </c>
      <c r="AU72" s="32" t="s">
        <v>238</v>
      </c>
      <c r="AV72" s="32" t="s">
        <v>332</v>
      </c>
      <c r="AW72" s="32" t="s">
        <v>59</v>
      </c>
      <c r="AX72" s="32" t="s">
        <v>59</v>
      </c>
      <c r="AY72" s="32"/>
      <c r="AZ72" s="32"/>
      <c r="BA72" s="32" t="s">
        <v>59</v>
      </c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</row>
    <row r="73" spans="1:85">
      <c r="A73" s="14" t="s">
        <v>240</v>
      </c>
      <c r="B73" s="14" t="s">
        <v>146</v>
      </c>
      <c r="C73" s="14" t="s">
        <v>60</v>
      </c>
      <c r="D73" s="14">
        <v>18129</v>
      </c>
      <c r="E73" s="14" t="s">
        <v>241</v>
      </c>
      <c r="F73" s="14"/>
      <c r="G73" s="15" t="s">
        <v>331</v>
      </c>
      <c r="H73" s="16" t="s">
        <v>64</v>
      </c>
      <c r="I73" s="18">
        <v>0</v>
      </c>
      <c r="J73" s="48" t="s">
        <v>59</v>
      </c>
      <c r="K73" s="58" t="s">
        <v>1443</v>
      </c>
      <c r="L73" s="60">
        <v>10</v>
      </c>
      <c r="M73" s="25">
        <v>43070</v>
      </c>
      <c r="N73" s="82">
        <v>0</v>
      </c>
      <c r="O73" s="82">
        <f>IF(Tabela232[[#This Row],[Situação2]]=Tabela232[[#This Row],[Situação]],0,1)</f>
        <v>1</v>
      </c>
      <c r="P73" s="81" t="s">
        <v>67</v>
      </c>
      <c r="Q73" s="85">
        <v>0.1094</v>
      </c>
      <c r="R73" s="87"/>
      <c r="S73" s="84">
        <v>0</v>
      </c>
      <c r="T73" s="82"/>
      <c r="U73" s="76" t="s">
        <v>1443</v>
      </c>
      <c r="V73" s="76" t="s">
        <v>1255</v>
      </c>
      <c r="W73" s="76">
        <v>43565</v>
      </c>
      <c r="X73" s="82">
        <f>IF(Tabela232[[#This Row],[Situação3]]=Tabela232[[#This Row],[Situação4]],0,1)</f>
        <v>1</v>
      </c>
      <c r="Y73" s="82"/>
      <c r="Z73" s="82">
        <v>1</v>
      </c>
      <c r="AA73" s="82" t="s">
        <v>1443</v>
      </c>
      <c r="AB73" s="189" t="s">
        <v>1255</v>
      </c>
      <c r="AC73" s="189">
        <v>43626</v>
      </c>
      <c r="AD73" s="189" t="s">
        <v>67</v>
      </c>
      <c r="AE73" s="82" t="s">
        <v>1443</v>
      </c>
      <c r="AF73" s="189" t="s">
        <v>1766</v>
      </c>
      <c r="AG73" s="189"/>
      <c r="AH73" s="82" t="s">
        <v>1623</v>
      </c>
      <c r="AI73" s="59" t="s">
        <v>1474</v>
      </c>
      <c r="AJ73" s="14" t="s">
        <v>1546</v>
      </c>
      <c r="AK73" s="15" t="s">
        <v>60</v>
      </c>
      <c r="AL73" s="15" t="s">
        <v>60</v>
      </c>
      <c r="AM73" s="14"/>
      <c r="AN73" s="153">
        <f>INDEX('Simec OT - 020718'!$AX$1:$AX$137,MATCH(Tabela232[[#This Row],[ID obra]],'Simec OT - 020718'!$A$1:$A$137,0))</f>
        <v>171901.53</v>
      </c>
      <c r="AO73" s="130">
        <v>1040878.05</v>
      </c>
      <c r="AP73" s="156">
        <f>IF(COUNTIF(AO$2:AO73,AO73)=1,1,0)</f>
        <v>1</v>
      </c>
      <c r="AQ73" s="156">
        <f t="shared" si="1"/>
        <v>7</v>
      </c>
      <c r="AR73" s="129">
        <f>Tabela232[[#This Row],[Saldo da conta 07/2018]]/Tabela232[[#This Row],[formel2]]</f>
        <v>148696.86428571428</v>
      </c>
      <c r="AS73" s="129">
        <f>INDEX('[1]Total repassado por obra'!$D$2:$D$127,MATCH(Tabela232[[#This Row],[ID obra]],'[1]Total repassado por obra'!$B$2:$B$127,0))</f>
        <v>240260</v>
      </c>
      <c r="AT73" s="129">
        <v>240260</v>
      </c>
      <c r="AU73" s="32" t="s">
        <v>242</v>
      </c>
      <c r="AV73" s="32" t="str">
        <f t="shared" ref="AV73:AV135" si="2">RIGHT(AU73,4)</f>
        <v>2013</v>
      </c>
      <c r="AW73" s="32" t="s">
        <v>1475</v>
      </c>
      <c r="AX73" s="24" t="s">
        <v>59</v>
      </c>
      <c r="AY73" s="24"/>
      <c r="AZ73" s="24">
        <f>Tabela232[[#This Row],[Duração final]]-Tabela232[[#This Row],[Duração prevista]]</f>
        <v>-365</v>
      </c>
      <c r="BA73" s="24" t="s">
        <v>60</v>
      </c>
      <c r="BB73" s="115" t="s">
        <v>152</v>
      </c>
      <c r="BC73" s="110">
        <v>41583</v>
      </c>
      <c r="BD73" s="110">
        <f>Tabela232[[#This Row],[Início]]+Tabela232[[#This Row],[Duração prevista]]</f>
        <v>41948</v>
      </c>
      <c r="BE73" s="110"/>
      <c r="BF73" s="114">
        <v>365</v>
      </c>
      <c r="BG73" s="114"/>
      <c r="BH73" s="109">
        <v>811383.29</v>
      </c>
      <c r="BI73" s="109"/>
      <c r="BJ73" s="106" t="s">
        <v>243</v>
      </c>
      <c r="BK73" s="21">
        <v>42537</v>
      </c>
      <c r="BL73" s="21">
        <v>43116</v>
      </c>
      <c r="BM73" s="21">
        <v>43116</v>
      </c>
      <c r="BN73" s="30">
        <v>579</v>
      </c>
      <c r="BO73" s="30">
        <v>579</v>
      </c>
      <c r="BP73" s="19">
        <v>7600215.0899999999</v>
      </c>
      <c r="BQ73" s="19">
        <v>7600215.0899999999</v>
      </c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</row>
    <row r="74" spans="1:85">
      <c r="A74" s="14" t="s">
        <v>240</v>
      </c>
      <c r="B74" s="14" t="s">
        <v>146</v>
      </c>
      <c r="C74" s="14" t="s">
        <v>60</v>
      </c>
      <c r="D74" s="14">
        <v>19600</v>
      </c>
      <c r="E74" s="14" t="s">
        <v>244</v>
      </c>
      <c r="F74" s="14"/>
      <c r="G74" s="15" t="s">
        <v>331</v>
      </c>
      <c r="H74" s="16" t="s">
        <v>64</v>
      </c>
      <c r="I74" s="18">
        <v>0</v>
      </c>
      <c r="J74" s="48" t="s">
        <v>59</v>
      </c>
      <c r="K74" s="58" t="s">
        <v>1443</v>
      </c>
      <c r="L74" s="60">
        <v>10</v>
      </c>
      <c r="M74" s="25">
        <v>43070</v>
      </c>
      <c r="N74" s="82">
        <v>0</v>
      </c>
      <c r="O74" s="82">
        <f>IF(Tabela232[[#This Row],[Situação2]]=Tabela232[[#This Row],[Situação]],0,1)</f>
        <v>1</v>
      </c>
      <c r="P74" s="81" t="s">
        <v>67</v>
      </c>
      <c r="Q74" s="85">
        <v>0.11</v>
      </c>
      <c r="R74" s="87"/>
      <c r="S74" s="84">
        <v>0</v>
      </c>
      <c r="T74" s="82"/>
      <c r="U74" s="76" t="s">
        <v>1443</v>
      </c>
      <c r="V74" s="76" t="s">
        <v>1255</v>
      </c>
      <c r="W74" s="76">
        <v>43565</v>
      </c>
      <c r="X74" s="82">
        <f>IF(Tabela232[[#This Row],[Situação3]]=Tabela232[[#This Row],[Situação4]],0,1)</f>
        <v>1</v>
      </c>
      <c r="Y74" s="82"/>
      <c r="Z74" s="82">
        <v>1</v>
      </c>
      <c r="AA74" s="82" t="s">
        <v>1443</v>
      </c>
      <c r="AB74" s="189" t="s">
        <v>1255</v>
      </c>
      <c r="AC74" s="189">
        <v>43626</v>
      </c>
      <c r="AD74" s="189" t="str">
        <f>Tabela232[[#This Row],[Situação3]]</f>
        <v>Paralisada</v>
      </c>
      <c r="AE74" s="82" t="s">
        <v>1443</v>
      </c>
      <c r="AF74" s="189" t="s">
        <v>1767</v>
      </c>
      <c r="AG74" s="189"/>
      <c r="AH74" s="82" t="s">
        <v>1623</v>
      </c>
      <c r="AI74" s="59" t="s">
        <v>1471</v>
      </c>
      <c r="AJ74" s="14" t="s">
        <v>1547</v>
      </c>
      <c r="AK74" s="15" t="s">
        <v>60</v>
      </c>
      <c r="AL74" s="15" t="s">
        <v>60</v>
      </c>
      <c r="AM74" s="14"/>
      <c r="AN74" s="153">
        <f>INDEX('Simec OT - 020718'!$AX$1:$AX$137,MATCH(Tabela232[[#This Row],[ID obra]],'Simec OT - 020718'!$A$1:$A$137,0))</f>
        <v>183869.24</v>
      </c>
      <c r="AO74" s="130">
        <v>1040878.05</v>
      </c>
      <c r="AP74" s="156">
        <f>IF(COUNTIF(AO$2:AO74,AO74)=1,1,0)</f>
        <v>0</v>
      </c>
      <c r="AQ74" s="156">
        <f t="shared" si="1"/>
        <v>7</v>
      </c>
      <c r="AR74" s="129">
        <f>Tabela232[[#This Row],[Saldo da conta 07/2018]]/Tabela232[[#This Row],[formel2]]</f>
        <v>148696.86428571428</v>
      </c>
      <c r="AS74" s="129">
        <f>INDEX('[1]Total repassado por obra'!$D$2:$D$127,MATCH(Tabela232[[#This Row],[ID obra]],'[1]Total repassado por obra'!$B$2:$B$127,0))</f>
        <v>252347</v>
      </c>
      <c r="AT74" s="129">
        <v>252347</v>
      </c>
      <c r="AU74" s="32" t="s">
        <v>242</v>
      </c>
      <c r="AV74" s="32" t="str">
        <f t="shared" si="2"/>
        <v>2013</v>
      </c>
      <c r="AW74" s="32" t="s">
        <v>1475</v>
      </c>
      <c r="AX74" s="24" t="s">
        <v>59</v>
      </c>
      <c r="AY74" s="24"/>
      <c r="AZ74" s="24">
        <f>Tabela232[[#This Row],[Duração final]]-Tabela232[[#This Row],[Duração prevista]]</f>
        <v>-365</v>
      </c>
      <c r="BA74" s="24" t="s">
        <v>60</v>
      </c>
      <c r="BB74" s="115" t="s">
        <v>152</v>
      </c>
      <c r="BC74" s="110">
        <v>41583</v>
      </c>
      <c r="BD74" s="110">
        <f>Tabela232[[#This Row],[Início]]+Tabela232[[#This Row],[Duração prevista]]</f>
        <v>41948</v>
      </c>
      <c r="BE74" s="110"/>
      <c r="BF74" s="114">
        <v>365</v>
      </c>
      <c r="BG74" s="114"/>
      <c r="BH74" s="109">
        <v>811383.29</v>
      </c>
      <c r="BI74" s="109"/>
      <c r="BJ74" s="106" t="s">
        <v>243</v>
      </c>
      <c r="BK74" s="21">
        <v>42537</v>
      </c>
      <c r="BL74" s="21">
        <v>43116</v>
      </c>
      <c r="BM74" s="21">
        <v>43116</v>
      </c>
      <c r="BN74" s="30">
        <v>579</v>
      </c>
      <c r="BO74" s="30">
        <v>579</v>
      </c>
      <c r="BP74" s="19">
        <v>7600215.0899999999</v>
      </c>
      <c r="BQ74" s="19">
        <v>7600215.0899999999</v>
      </c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</row>
    <row r="75" spans="1:85">
      <c r="A75" s="14" t="s">
        <v>240</v>
      </c>
      <c r="B75" s="14" t="s">
        <v>146</v>
      </c>
      <c r="C75" s="14" t="s">
        <v>60</v>
      </c>
      <c r="D75" s="14">
        <v>20024</v>
      </c>
      <c r="E75" s="14" t="s">
        <v>245</v>
      </c>
      <c r="F75" s="14"/>
      <c r="G75" s="15" t="s">
        <v>331</v>
      </c>
      <c r="H75" s="16" t="s">
        <v>64</v>
      </c>
      <c r="I75" s="18">
        <v>0</v>
      </c>
      <c r="J75" s="48" t="s">
        <v>59</v>
      </c>
      <c r="K75" s="58" t="s">
        <v>64</v>
      </c>
      <c r="L75" s="60"/>
      <c r="M75" s="17"/>
      <c r="N75" s="81">
        <v>1</v>
      </c>
      <c r="O75" s="149">
        <f>IF(Tabela232[[#This Row],[Situação2]]=Tabela232[[#This Row],[Situação]],0,1)</f>
        <v>0</v>
      </c>
      <c r="P75" s="81" t="s">
        <v>67</v>
      </c>
      <c r="Q75" s="60">
        <v>2.0299999999999998</v>
      </c>
      <c r="R75" s="60"/>
      <c r="S75" s="84">
        <v>0</v>
      </c>
      <c r="T75" s="82"/>
      <c r="U75" s="76" t="s">
        <v>64</v>
      </c>
      <c r="V75" s="76" t="s">
        <v>988</v>
      </c>
      <c r="W75" s="76" t="s">
        <v>59</v>
      </c>
      <c r="X75" s="82">
        <f>IF(Tabela232[[#This Row],[Situação3]]=Tabela232[[#This Row],[Situação4]],0,1)</f>
        <v>1</v>
      </c>
      <c r="Y75" s="82"/>
      <c r="Z75" s="82">
        <v>1</v>
      </c>
      <c r="AA75" s="82" t="s">
        <v>204</v>
      </c>
      <c r="AB75" s="189" t="s">
        <v>988</v>
      </c>
      <c r="AC75" s="82">
        <v>0</v>
      </c>
      <c r="AD75" s="82" t="str">
        <f>Tabela232[[#This Row],[Situação3]]</f>
        <v>Paralisada</v>
      </c>
      <c r="AE75" s="82" t="s">
        <v>204</v>
      </c>
      <c r="AF75" s="82" t="s">
        <v>988</v>
      </c>
      <c r="AG75" s="82">
        <v>0</v>
      </c>
      <c r="AH75" s="82"/>
      <c r="AI75" s="59" t="s">
        <v>1472</v>
      </c>
      <c r="AJ75" s="14" t="s">
        <v>1548</v>
      </c>
      <c r="AK75" s="15" t="s">
        <v>60</v>
      </c>
      <c r="AL75" s="15" t="s">
        <v>60</v>
      </c>
      <c r="AM75" s="14"/>
      <c r="AN75" s="153">
        <f>INDEX('Simec OT - 020718'!$AX$1:$AX$137,MATCH(Tabela232[[#This Row],[ID obra]],'Simec OT - 020718'!$A$1:$A$137,0))</f>
        <v>122786.81</v>
      </c>
      <c r="AO75" s="130">
        <v>1040878.05</v>
      </c>
      <c r="AP75" s="156">
        <f>IF(COUNTIF(AO$2:AO75,AO75)=1,1,0)</f>
        <v>0</v>
      </c>
      <c r="AQ75" s="156">
        <f t="shared" si="1"/>
        <v>7</v>
      </c>
      <c r="AR75" s="129">
        <f>Tabela232[[#This Row],[Saldo da conta 07/2018]]/Tabela232[[#This Row],[formel2]]</f>
        <v>148696.86428571428</v>
      </c>
      <c r="AS75" s="129">
        <f>INDEX('[1]Total repassado por obra'!$D$2:$D$127,MATCH(Tabela232[[#This Row],[ID obra]],'[1]Total repassado por obra'!$B$2:$B$127,0))</f>
        <v>171614</v>
      </c>
      <c r="AT75" s="129">
        <v>171614</v>
      </c>
      <c r="AU75" s="32" t="s">
        <v>242</v>
      </c>
      <c r="AV75" s="32" t="str">
        <f t="shared" si="2"/>
        <v>2013</v>
      </c>
      <c r="AW75" s="32">
        <v>2014</v>
      </c>
      <c r="AX75" s="24" t="s">
        <v>59</v>
      </c>
      <c r="AY75" s="24"/>
      <c r="AZ75" s="24">
        <f>Tabela232[[#This Row],[Duração final]]-Tabela232[[#This Row],[Duração prevista]]</f>
        <v>-365</v>
      </c>
      <c r="BA75" s="24" t="s">
        <v>60</v>
      </c>
      <c r="BB75" s="115" t="s">
        <v>152</v>
      </c>
      <c r="BC75" s="110">
        <v>41583</v>
      </c>
      <c r="BD75" s="110">
        <f>Tabela232[[#This Row],[Início]]+Tabela232[[#This Row],[Duração prevista]]</f>
        <v>41948</v>
      </c>
      <c r="BE75" s="110"/>
      <c r="BF75" s="114">
        <v>365</v>
      </c>
      <c r="BG75" s="114"/>
      <c r="BH75" s="109">
        <v>811383.29</v>
      </c>
      <c r="BI75" s="109"/>
      <c r="BJ75" s="53"/>
      <c r="BK75" s="27"/>
      <c r="BL75" s="27"/>
      <c r="BM75" s="27"/>
      <c r="BN75" s="27"/>
      <c r="BO75" s="27"/>
      <c r="BP75" s="19"/>
      <c r="BQ75" s="19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</row>
    <row r="76" spans="1:85">
      <c r="A76" s="14" t="s">
        <v>240</v>
      </c>
      <c r="B76" s="14" t="s">
        <v>146</v>
      </c>
      <c r="C76" s="14" t="s">
        <v>60</v>
      </c>
      <c r="D76" s="14">
        <v>20029</v>
      </c>
      <c r="E76" s="14" t="s">
        <v>246</v>
      </c>
      <c r="F76" s="14"/>
      <c r="G76" s="15" t="s">
        <v>331</v>
      </c>
      <c r="H76" s="16" t="s">
        <v>64</v>
      </c>
      <c r="I76" s="18">
        <v>0</v>
      </c>
      <c r="J76" s="48" t="s">
        <v>59</v>
      </c>
      <c r="K76" s="58" t="s">
        <v>1443</v>
      </c>
      <c r="L76" s="60">
        <v>15</v>
      </c>
      <c r="M76" s="25">
        <v>43070</v>
      </c>
      <c r="N76" s="82">
        <v>0</v>
      </c>
      <c r="O76" s="82">
        <f>IF(Tabela232[[#This Row],[Situação2]]=Tabela232[[#This Row],[Situação]],0,1)</f>
        <v>1</v>
      </c>
      <c r="P76" s="81" t="s">
        <v>67</v>
      </c>
      <c r="Q76" s="85">
        <v>0.1283</v>
      </c>
      <c r="R76" s="87"/>
      <c r="S76" s="84">
        <v>0</v>
      </c>
      <c r="T76" s="82"/>
      <c r="U76" s="76" t="s">
        <v>1443</v>
      </c>
      <c r="V76" s="76" t="s">
        <v>1263</v>
      </c>
      <c r="W76" s="76">
        <v>43565</v>
      </c>
      <c r="X76" s="82">
        <f>IF(Tabela232[[#This Row],[Situação3]]=Tabela232[[#This Row],[Situação4]],0,1)</f>
        <v>1</v>
      </c>
      <c r="Y76" s="82"/>
      <c r="Z76" s="82">
        <v>1</v>
      </c>
      <c r="AA76" s="82" t="s">
        <v>1443</v>
      </c>
      <c r="AB76" s="189" t="s">
        <v>1263</v>
      </c>
      <c r="AC76" s="189">
        <v>43626</v>
      </c>
      <c r="AD76" s="189" t="s">
        <v>67</v>
      </c>
      <c r="AE76" s="82" t="s">
        <v>1443</v>
      </c>
      <c r="AF76" s="189" t="s">
        <v>1263</v>
      </c>
      <c r="AG76" s="189"/>
      <c r="AH76" s="82" t="s">
        <v>1623</v>
      </c>
      <c r="AI76" s="59" t="s">
        <v>1474</v>
      </c>
      <c r="AJ76" s="14" t="s">
        <v>1550</v>
      </c>
      <c r="AK76" s="15" t="s">
        <v>60</v>
      </c>
      <c r="AL76" s="15" t="s">
        <v>60</v>
      </c>
      <c r="AM76" s="14"/>
      <c r="AN76" s="153">
        <f>INDEX('Simec OT - 020718'!$AX$1:$AX$137,MATCH(Tabela232[[#This Row],[ID obra]],'Simec OT - 020718'!$A$1:$A$137,0))</f>
        <v>183869.24</v>
      </c>
      <c r="AO76" s="130">
        <v>1040878.05</v>
      </c>
      <c r="AP76" s="156">
        <f>IF(COUNTIF(AO$2:AO76,AO76)=1,1,0)</f>
        <v>0</v>
      </c>
      <c r="AQ76" s="156">
        <f t="shared" si="1"/>
        <v>7</v>
      </c>
      <c r="AR76" s="129">
        <f>Tabela232[[#This Row],[Saldo da conta 07/2018]]/Tabela232[[#This Row],[formel2]]</f>
        <v>148696.86428571428</v>
      </c>
      <c r="AS76" s="129">
        <f>INDEX('[1]Total repassado por obra'!$D$2:$D$127,MATCH(Tabela232[[#This Row],[ID obra]],'[1]Total repassado por obra'!$B$2:$B$127,0))</f>
        <v>252347</v>
      </c>
      <c r="AT76" s="129">
        <v>252347</v>
      </c>
      <c r="AU76" s="32" t="s">
        <v>242</v>
      </c>
      <c r="AV76" s="32" t="str">
        <f t="shared" si="2"/>
        <v>2013</v>
      </c>
      <c r="AW76" s="32" t="s">
        <v>1475</v>
      </c>
      <c r="AX76" s="24" t="s">
        <v>59</v>
      </c>
      <c r="AY76" s="24"/>
      <c r="AZ76" s="24">
        <f>Tabela232[[#This Row],[Duração final]]-Tabela232[[#This Row],[Duração prevista]]</f>
        <v>-365</v>
      </c>
      <c r="BA76" s="24" t="s">
        <v>60</v>
      </c>
      <c r="BB76" s="115" t="s">
        <v>152</v>
      </c>
      <c r="BC76" s="110">
        <v>41583</v>
      </c>
      <c r="BD76" s="110">
        <f>Tabela232[[#This Row],[Início]]+Tabela232[[#This Row],[Duração prevista]]</f>
        <v>41948</v>
      </c>
      <c r="BE76" s="110"/>
      <c r="BF76" s="114">
        <v>365</v>
      </c>
      <c r="BG76" s="114"/>
      <c r="BH76" s="109">
        <v>811383.29</v>
      </c>
      <c r="BI76" s="109"/>
      <c r="BJ76" s="106" t="s">
        <v>243</v>
      </c>
      <c r="BK76" s="21">
        <v>42537</v>
      </c>
      <c r="BL76" s="21">
        <v>43116</v>
      </c>
      <c r="BM76" s="21">
        <v>43116</v>
      </c>
      <c r="BN76" s="30">
        <v>579</v>
      </c>
      <c r="BO76" s="30">
        <v>579</v>
      </c>
      <c r="BP76" s="19">
        <v>7600215.0899999999</v>
      </c>
      <c r="BQ76" s="19">
        <v>7600215.0899999999</v>
      </c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</row>
    <row r="77" spans="1:85">
      <c r="A77" s="14" t="s">
        <v>240</v>
      </c>
      <c r="B77" s="14" t="s">
        <v>146</v>
      </c>
      <c r="C77" s="14" t="s">
        <v>60</v>
      </c>
      <c r="D77" s="14">
        <v>20033</v>
      </c>
      <c r="E77" s="14" t="s">
        <v>247</v>
      </c>
      <c r="F77" s="14"/>
      <c r="G77" s="15" t="s">
        <v>331</v>
      </c>
      <c r="H77" s="16" t="s">
        <v>64</v>
      </c>
      <c r="I77" s="18">
        <v>0</v>
      </c>
      <c r="J77" s="48" t="s">
        <v>59</v>
      </c>
      <c r="K77" s="58" t="s">
        <v>1443</v>
      </c>
      <c r="L77" s="60">
        <v>7</v>
      </c>
      <c r="M77" s="25">
        <v>43070</v>
      </c>
      <c r="N77" s="82">
        <v>0</v>
      </c>
      <c r="O77" s="82">
        <f>IF(Tabela232[[#This Row],[Situação2]]=Tabela232[[#This Row],[Situação]],0,1)</f>
        <v>1</v>
      </c>
      <c r="P77" s="81" t="s">
        <v>67</v>
      </c>
      <c r="Q77" s="85">
        <v>4.9599999999999998E-2</v>
      </c>
      <c r="R77" s="87"/>
      <c r="S77" s="84">
        <v>0</v>
      </c>
      <c r="T77" s="82"/>
      <c r="U77" s="76" t="s">
        <v>1443</v>
      </c>
      <c r="V77" s="76" t="s">
        <v>1265</v>
      </c>
      <c r="W77" s="76">
        <v>43565</v>
      </c>
      <c r="X77" s="82">
        <f>IF(Tabela232[[#This Row],[Situação3]]=Tabela232[[#This Row],[Situação4]],0,1)</f>
        <v>1</v>
      </c>
      <c r="Y77" s="82"/>
      <c r="Z77" s="82">
        <v>1</v>
      </c>
      <c r="AA77" s="82" t="s">
        <v>1443</v>
      </c>
      <c r="AB77" s="189" t="s">
        <v>1265</v>
      </c>
      <c r="AC77" s="189">
        <v>43626</v>
      </c>
      <c r="AD77" s="189" t="str">
        <f>Tabela232[[#This Row],[Situação3]]</f>
        <v>Paralisada</v>
      </c>
      <c r="AE77" s="82" t="s">
        <v>1443</v>
      </c>
      <c r="AF77" s="189" t="s">
        <v>1265</v>
      </c>
      <c r="AG77" s="189"/>
      <c r="AH77" s="82" t="s">
        <v>1623</v>
      </c>
      <c r="AI77" s="59" t="s">
        <v>1471</v>
      </c>
      <c r="AJ77" s="14" t="s">
        <v>1551</v>
      </c>
      <c r="AK77" s="15" t="s">
        <v>60</v>
      </c>
      <c r="AL77" s="15" t="s">
        <v>60</v>
      </c>
      <c r="AM77" s="14"/>
      <c r="AN77" s="153">
        <f>INDEX('Simec OT - 020718'!$AX$1:$AX$137,MATCH(Tabela232[[#This Row],[ID obra]],'Simec OT - 020718'!$A$1:$A$137,0))</f>
        <v>183869.24</v>
      </c>
      <c r="AO77" s="130">
        <v>1040878.05</v>
      </c>
      <c r="AP77" s="156">
        <f>IF(COUNTIF(AO$2:AO77,AO77)=1,1,0)</f>
        <v>0</v>
      </c>
      <c r="AQ77" s="156">
        <f t="shared" si="1"/>
        <v>7</v>
      </c>
      <c r="AR77" s="129">
        <f>Tabela232[[#This Row],[Saldo da conta 07/2018]]/Tabela232[[#This Row],[formel2]]</f>
        <v>148696.86428571428</v>
      </c>
      <c r="AS77" s="129">
        <f>INDEX('[1]Total repassado por obra'!$D$2:$D$127,MATCH(Tabela232[[#This Row],[ID obra]],'[1]Total repassado por obra'!$B$2:$B$127,0))</f>
        <v>252347</v>
      </c>
      <c r="AT77" s="129">
        <v>252347</v>
      </c>
      <c r="AU77" s="32" t="s">
        <v>242</v>
      </c>
      <c r="AV77" s="32" t="str">
        <f t="shared" si="2"/>
        <v>2013</v>
      </c>
      <c r="AW77" s="32" t="s">
        <v>1475</v>
      </c>
      <c r="AX77" s="24" t="s">
        <v>59</v>
      </c>
      <c r="AY77" s="24"/>
      <c r="AZ77" s="24">
        <f>Tabela232[[#This Row],[Duração final]]-Tabela232[[#This Row],[Duração prevista]]</f>
        <v>-365</v>
      </c>
      <c r="BA77" s="24" t="s">
        <v>60</v>
      </c>
      <c r="BB77" s="115" t="s">
        <v>152</v>
      </c>
      <c r="BC77" s="110">
        <v>41583</v>
      </c>
      <c r="BD77" s="110">
        <f>Tabela232[[#This Row],[Início]]+Tabela232[[#This Row],[Duração prevista]]</f>
        <v>41948</v>
      </c>
      <c r="BE77" s="110"/>
      <c r="BF77" s="114">
        <v>365</v>
      </c>
      <c r="BG77" s="114"/>
      <c r="BH77" s="109">
        <v>811383.29</v>
      </c>
      <c r="BI77" s="109"/>
      <c r="BJ77" s="106" t="s">
        <v>243</v>
      </c>
      <c r="BK77" s="21">
        <v>42537</v>
      </c>
      <c r="BL77" s="21">
        <v>43116</v>
      </c>
      <c r="BM77" s="21">
        <v>43116</v>
      </c>
      <c r="BN77" s="30">
        <v>579</v>
      </c>
      <c r="BO77" s="30">
        <v>579</v>
      </c>
      <c r="BP77" s="19">
        <v>7600215.0899999999</v>
      </c>
      <c r="BQ77" s="19">
        <v>7600215.0899999999</v>
      </c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</row>
    <row r="78" spans="1:85">
      <c r="A78" s="14" t="s">
        <v>240</v>
      </c>
      <c r="B78" s="14" t="s">
        <v>146</v>
      </c>
      <c r="C78" s="14" t="s">
        <v>60</v>
      </c>
      <c r="D78" s="14">
        <v>20061</v>
      </c>
      <c r="E78" s="14" t="s">
        <v>248</v>
      </c>
      <c r="F78" s="14"/>
      <c r="G78" s="15" t="s">
        <v>331</v>
      </c>
      <c r="H78" s="16" t="s">
        <v>64</v>
      </c>
      <c r="I78" s="18">
        <v>0</v>
      </c>
      <c r="J78" s="48" t="s">
        <v>59</v>
      </c>
      <c r="K78" s="58" t="s">
        <v>64</v>
      </c>
      <c r="L78" s="60"/>
      <c r="M78" s="17"/>
      <c r="N78" s="81">
        <v>1</v>
      </c>
      <c r="O78" s="149">
        <f>IF(Tabela232[[#This Row],[Situação2]]=Tabela232[[#This Row],[Situação]],0,1)</f>
        <v>0</v>
      </c>
      <c r="P78" s="81" t="s">
        <v>67</v>
      </c>
      <c r="Q78" s="60">
        <v>2.0299999999999998</v>
      </c>
      <c r="R78" s="60"/>
      <c r="S78" s="84">
        <v>0</v>
      </c>
      <c r="T78" s="82"/>
      <c r="U78" s="76" t="s">
        <v>64</v>
      </c>
      <c r="V78" s="76" t="s">
        <v>988</v>
      </c>
      <c r="W78" s="76" t="s">
        <v>59</v>
      </c>
      <c r="X78" s="82">
        <f>IF(Tabela232[[#This Row],[Situação3]]=Tabela232[[#This Row],[Situação4]],0,1)</f>
        <v>1</v>
      </c>
      <c r="Y78" s="82"/>
      <c r="Z78" s="82">
        <v>1</v>
      </c>
      <c r="AA78" s="82" t="s">
        <v>204</v>
      </c>
      <c r="AB78" s="189" t="s">
        <v>988</v>
      </c>
      <c r="AC78" s="82">
        <v>0</v>
      </c>
      <c r="AD78" s="82" t="str">
        <f>Tabela232[[#This Row],[Situação3]]</f>
        <v>Paralisada</v>
      </c>
      <c r="AE78" s="82" t="s">
        <v>204</v>
      </c>
      <c r="AF78" s="82" t="s">
        <v>988</v>
      </c>
      <c r="AG78" s="82">
        <v>0</v>
      </c>
      <c r="AH78" s="82"/>
      <c r="AI78" s="59" t="s">
        <v>1472</v>
      </c>
      <c r="AJ78" s="14" t="s">
        <v>1552</v>
      </c>
      <c r="AK78" s="124" t="s">
        <v>60</v>
      </c>
      <c r="AL78" s="124" t="s">
        <v>60</v>
      </c>
      <c r="AM78" s="14"/>
      <c r="AN78" s="153">
        <f>INDEX('Simec OT - 020718'!$AX$1:$AX$137,MATCH(Tabela232[[#This Row],[ID obra]],'Simec OT - 020718'!$A$1:$A$137,0))</f>
        <v>122786.81</v>
      </c>
      <c r="AO78" s="130">
        <v>1040878.05</v>
      </c>
      <c r="AP78" s="156">
        <f>IF(COUNTIF(AO$2:AO78,AO78)=1,1,0)</f>
        <v>0</v>
      </c>
      <c r="AQ78" s="156">
        <f t="shared" si="1"/>
        <v>7</v>
      </c>
      <c r="AR78" s="129">
        <f>Tabela232[[#This Row],[Saldo da conta 07/2018]]/Tabela232[[#This Row],[formel2]]</f>
        <v>148696.86428571428</v>
      </c>
      <c r="AS78" s="129">
        <f>INDEX('[1]Total repassado por obra'!$D$2:$D$127,MATCH(Tabela232[[#This Row],[ID obra]],'[1]Total repassado por obra'!$B$2:$B$127,0))</f>
        <v>171614</v>
      </c>
      <c r="AT78" s="129">
        <v>171614</v>
      </c>
      <c r="AU78" s="32" t="s">
        <v>242</v>
      </c>
      <c r="AV78" s="32" t="str">
        <f t="shared" si="2"/>
        <v>2013</v>
      </c>
      <c r="AW78" s="32">
        <v>2014</v>
      </c>
      <c r="AX78" s="24" t="s">
        <v>59</v>
      </c>
      <c r="AY78" s="24"/>
      <c r="AZ78" s="24">
        <f>Tabela232[[#This Row],[Duração final]]-Tabela232[[#This Row],[Duração prevista]]</f>
        <v>-365</v>
      </c>
      <c r="BA78" s="24" t="s">
        <v>60</v>
      </c>
      <c r="BB78" s="115" t="s">
        <v>152</v>
      </c>
      <c r="BC78" s="110">
        <v>41583</v>
      </c>
      <c r="BD78" s="110">
        <f>Tabela232[[#This Row],[Início]]+Tabela232[[#This Row],[Duração prevista]]</f>
        <v>41948</v>
      </c>
      <c r="BE78" s="110"/>
      <c r="BF78" s="114">
        <v>365</v>
      </c>
      <c r="BG78" s="114"/>
      <c r="BH78" s="109">
        <v>811383.29</v>
      </c>
      <c r="BI78" s="109"/>
      <c r="BJ78" s="53"/>
      <c r="BK78" s="27"/>
      <c r="BL78" s="27"/>
      <c r="BM78" s="27"/>
      <c r="BN78" s="27"/>
      <c r="BO78" s="27"/>
      <c r="BP78" s="19"/>
      <c r="BQ78" s="19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</row>
    <row r="79" spans="1:85">
      <c r="A79" s="14" t="s">
        <v>240</v>
      </c>
      <c r="B79" s="14" t="s">
        <v>146</v>
      </c>
      <c r="C79" s="14" t="s">
        <v>60</v>
      </c>
      <c r="D79" s="14">
        <v>20179</v>
      </c>
      <c r="E79" s="14" t="s">
        <v>249</v>
      </c>
      <c r="F79" s="14"/>
      <c r="G79" s="15" t="s">
        <v>331</v>
      </c>
      <c r="H79" s="16" t="s">
        <v>64</v>
      </c>
      <c r="I79" s="18">
        <v>0</v>
      </c>
      <c r="J79" s="48" t="s">
        <v>59</v>
      </c>
      <c r="K79" s="58" t="s">
        <v>1443</v>
      </c>
      <c r="L79" s="60">
        <v>15</v>
      </c>
      <c r="M79" s="25">
        <v>43070</v>
      </c>
      <c r="N79" s="82">
        <v>0</v>
      </c>
      <c r="O79" s="82">
        <f>IF(Tabela232[[#This Row],[Situação2]]=Tabela232[[#This Row],[Situação]],0,1)</f>
        <v>1</v>
      </c>
      <c r="P79" s="81" t="s">
        <v>67</v>
      </c>
      <c r="Q79" s="85">
        <v>0.1158</v>
      </c>
      <c r="R79" s="87"/>
      <c r="S79" s="84">
        <v>0</v>
      </c>
      <c r="T79" s="82"/>
      <c r="U79" s="76" t="s">
        <v>1443</v>
      </c>
      <c r="V79" s="76" t="s">
        <v>1266</v>
      </c>
      <c r="W79" s="76">
        <v>43565</v>
      </c>
      <c r="X79" s="82">
        <f>IF(Tabela232[[#This Row],[Situação3]]=Tabela232[[#This Row],[Situação4]],0,1)</f>
        <v>1</v>
      </c>
      <c r="Y79" s="82"/>
      <c r="Z79" s="82">
        <v>1</v>
      </c>
      <c r="AA79" s="82" t="s">
        <v>1443</v>
      </c>
      <c r="AB79" s="189" t="s">
        <v>1266</v>
      </c>
      <c r="AC79" s="189">
        <v>43626</v>
      </c>
      <c r="AD79" s="189" t="s">
        <v>67</v>
      </c>
      <c r="AE79" s="82" t="s">
        <v>1443</v>
      </c>
      <c r="AF79" s="189" t="s">
        <v>1266</v>
      </c>
      <c r="AG79" s="189"/>
      <c r="AH79" s="82" t="s">
        <v>1623</v>
      </c>
      <c r="AI79" s="59" t="s">
        <v>1474</v>
      </c>
      <c r="AJ79" s="14" t="s">
        <v>1553</v>
      </c>
      <c r="AK79" s="124" t="s">
        <v>60</v>
      </c>
      <c r="AL79" s="124" t="s">
        <v>60</v>
      </c>
      <c r="AM79" s="14"/>
      <c r="AN79" s="153">
        <f>INDEX('Simec OT - 020718'!$AX$1:$AX$137,MATCH(Tabela232[[#This Row],[ID obra]],'Simec OT - 020718'!$A$1:$A$137,0))</f>
        <v>183869.26</v>
      </c>
      <c r="AO79" s="130">
        <v>1040878.05</v>
      </c>
      <c r="AP79" s="156">
        <f>IF(COUNTIF(AO$2:AO79,AO79)=1,1,0)</f>
        <v>0</v>
      </c>
      <c r="AQ79" s="156">
        <f t="shared" si="1"/>
        <v>7</v>
      </c>
      <c r="AR79" s="129">
        <f>Tabela232[[#This Row],[Saldo da conta 07/2018]]/Tabela232[[#This Row],[formel2]]</f>
        <v>148696.86428571428</v>
      </c>
      <c r="AS79" s="129">
        <f>INDEX('[1]Total repassado por obra'!$D$2:$D$127,MATCH(Tabela232[[#This Row],[ID obra]],'[1]Total repassado por obra'!$B$2:$B$127,0))</f>
        <v>252347</v>
      </c>
      <c r="AT79" s="129">
        <v>252347</v>
      </c>
      <c r="AU79" s="32" t="s">
        <v>242</v>
      </c>
      <c r="AV79" s="32" t="str">
        <f t="shared" si="2"/>
        <v>2013</v>
      </c>
      <c r="AW79" s="32" t="s">
        <v>1475</v>
      </c>
      <c r="AX79" s="24" t="s">
        <v>59</v>
      </c>
      <c r="AY79" s="24"/>
      <c r="AZ79" s="24">
        <f>Tabela232[[#This Row],[Duração final]]-Tabela232[[#This Row],[Duração prevista]]</f>
        <v>-365</v>
      </c>
      <c r="BA79" s="24" t="s">
        <v>60</v>
      </c>
      <c r="BB79" s="115" t="s">
        <v>152</v>
      </c>
      <c r="BC79" s="110">
        <v>41583</v>
      </c>
      <c r="BD79" s="110">
        <f>Tabela232[[#This Row],[Início]]+Tabela232[[#This Row],[Duração prevista]]</f>
        <v>41948</v>
      </c>
      <c r="BE79" s="110"/>
      <c r="BF79" s="114">
        <v>365</v>
      </c>
      <c r="BG79" s="114"/>
      <c r="BH79" s="109">
        <v>811383.29</v>
      </c>
      <c r="BI79" s="109"/>
      <c r="BJ79" s="106" t="s">
        <v>243</v>
      </c>
      <c r="BK79" s="21">
        <v>42537</v>
      </c>
      <c r="BL79" s="21">
        <v>43116</v>
      </c>
      <c r="BM79" s="21">
        <v>43116</v>
      </c>
      <c r="BN79" s="30">
        <v>579</v>
      </c>
      <c r="BO79" s="30">
        <v>579</v>
      </c>
      <c r="BP79" s="19">
        <v>7600215.0899999999</v>
      </c>
      <c r="BQ79" s="19">
        <v>7600215.0899999999</v>
      </c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</row>
    <row r="80" spans="1:85">
      <c r="A80" s="14" t="s">
        <v>240</v>
      </c>
      <c r="B80" s="14" t="s">
        <v>146</v>
      </c>
      <c r="C80" s="14" t="s">
        <v>60</v>
      </c>
      <c r="D80" s="14">
        <v>24619</v>
      </c>
      <c r="E80" s="14" t="s">
        <v>250</v>
      </c>
      <c r="F80" s="14"/>
      <c r="G80" s="15" t="s">
        <v>331</v>
      </c>
      <c r="H80" s="16" t="s">
        <v>67</v>
      </c>
      <c r="I80" s="18">
        <v>7.3</v>
      </c>
      <c r="J80" s="48">
        <v>43081</v>
      </c>
      <c r="K80" s="58" t="s">
        <v>67</v>
      </c>
      <c r="L80" s="60"/>
      <c r="M80" s="17"/>
      <c r="N80" s="82">
        <v>0</v>
      </c>
      <c r="O80" s="82">
        <f>IF(Tabela232[[#This Row],[Situação2]]=Tabela232[[#This Row],[Situação]],0,1)</f>
        <v>0</v>
      </c>
      <c r="P80" s="81" t="s">
        <v>67</v>
      </c>
      <c r="Q80" s="60">
        <v>7.49</v>
      </c>
      <c r="R80" s="60"/>
      <c r="S80" s="84">
        <v>0</v>
      </c>
      <c r="T80" s="82"/>
      <c r="U80" s="76" t="s">
        <v>67</v>
      </c>
      <c r="V80" s="76" t="s">
        <v>1267</v>
      </c>
      <c r="W80" s="76">
        <v>43081</v>
      </c>
      <c r="X80" s="82">
        <f>IF(Tabela232[[#This Row],[Situação3]]=Tabela232[[#This Row],[Situação4]],0,1)</f>
        <v>0</v>
      </c>
      <c r="Y80" s="82"/>
      <c r="Z80" s="82">
        <v>1</v>
      </c>
      <c r="AA80" s="82" t="s">
        <v>67</v>
      </c>
      <c r="AB80" s="76" t="s">
        <v>1267</v>
      </c>
      <c r="AC80" s="189">
        <v>43081</v>
      </c>
      <c r="AD80" s="189" t="str">
        <f>Tabela232[[#This Row],[Situação3]]</f>
        <v>Paralisada</v>
      </c>
      <c r="AE80" s="82" t="s">
        <v>67</v>
      </c>
      <c r="AF80" s="189" t="s">
        <v>1267</v>
      </c>
      <c r="AG80" s="189"/>
      <c r="AH80" s="82"/>
      <c r="AI80" s="59" t="s">
        <v>1472</v>
      </c>
      <c r="AJ80" s="14" t="s">
        <v>1554</v>
      </c>
      <c r="AK80" s="15" t="s">
        <v>60</v>
      </c>
      <c r="AL80" s="124" t="s">
        <v>60</v>
      </c>
      <c r="AM80" s="14"/>
      <c r="AN80" s="153">
        <f>INDEX('Simec OT - 020718'!$AX$1:$AX$137,MATCH(Tabela232[[#This Row],[ID obra]],'Simec OT - 020718'!$A$1:$A$137,0))</f>
        <v>676367.26</v>
      </c>
      <c r="AO80" s="130">
        <v>1153358.79</v>
      </c>
      <c r="AP80" s="156">
        <f>IF(COUNTIF(AO$2:AO80,AO80)=1,1,0)</f>
        <v>1</v>
      </c>
      <c r="AQ80" s="156">
        <f t="shared" si="1"/>
        <v>5</v>
      </c>
      <c r="AR80" s="129">
        <f>Tabela232[[#This Row],[Saldo da conta 07/2018]]/Tabela232[[#This Row],[formel2]]</f>
        <v>230671.758</v>
      </c>
      <c r="AS80" s="129">
        <f>INDEX('[1]Total repassado por obra'!$D$2:$D$127,MATCH(Tabela232[[#This Row],[ID obra]],'[1]Total repassado por obra'!$B$2:$B$127,0))</f>
        <v>850318</v>
      </c>
      <c r="AT80" s="129">
        <v>850318</v>
      </c>
      <c r="AU80" s="32" t="s">
        <v>251</v>
      </c>
      <c r="AV80" s="32" t="str">
        <f t="shared" si="2"/>
        <v>2013</v>
      </c>
      <c r="AW80" s="24">
        <v>2014</v>
      </c>
      <c r="AX80" s="24" t="s">
        <v>59</v>
      </c>
      <c r="AY80" s="24"/>
      <c r="AZ80" s="24">
        <f>Tabela232[[#This Row],[Duração final]]-Tabela232[[#This Row],[Duração prevista]]</f>
        <v>87</v>
      </c>
      <c r="BA80" s="24" t="s">
        <v>60</v>
      </c>
      <c r="BB80" s="117" t="s">
        <v>1478</v>
      </c>
      <c r="BC80" s="118">
        <v>41586</v>
      </c>
      <c r="BD80" s="110">
        <f>Tabela232[[#This Row],[Início]]+Tabela232[[#This Row],[Duração prevista]]</f>
        <v>41951</v>
      </c>
      <c r="BE80" s="21">
        <v>42038</v>
      </c>
      <c r="BF80" s="114">
        <v>365</v>
      </c>
      <c r="BG80" s="30">
        <v>452</v>
      </c>
      <c r="BH80" s="119">
        <v>1522329.37</v>
      </c>
      <c r="BI80" s="19">
        <v>1522329.37</v>
      </c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</row>
    <row r="81" spans="1:85">
      <c r="A81" s="14" t="s">
        <v>240</v>
      </c>
      <c r="B81" s="14" t="s">
        <v>146</v>
      </c>
      <c r="C81" s="14" t="s">
        <v>60</v>
      </c>
      <c r="D81" s="14">
        <v>24620</v>
      </c>
      <c r="E81" s="14" t="s">
        <v>252</v>
      </c>
      <c r="F81" s="14"/>
      <c r="G81" s="15" t="s">
        <v>331</v>
      </c>
      <c r="H81" s="16" t="s">
        <v>64</v>
      </c>
      <c r="I81" s="18">
        <v>0</v>
      </c>
      <c r="J81" s="48" t="s">
        <v>59</v>
      </c>
      <c r="K81" s="58" t="s">
        <v>64</v>
      </c>
      <c r="L81" s="60"/>
      <c r="M81" s="17"/>
      <c r="N81" s="81">
        <v>1</v>
      </c>
      <c r="O81" s="149">
        <f>IF(Tabela232[[#This Row],[Situação2]]=Tabela232[[#This Row],[Situação]],0,1)</f>
        <v>0</v>
      </c>
      <c r="P81" s="81" t="s">
        <v>64</v>
      </c>
      <c r="Q81" s="60">
        <v>0</v>
      </c>
      <c r="R81" s="60"/>
      <c r="S81" s="61">
        <v>1</v>
      </c>
      <c r="T81" s="96">
        <f>2018-Tabela232[[#This Row],[Ano do convênio]]</f>
        <v>5</v>
      </c>
      <c r="U81" s="76" t="s">
        <v>64</v>
      </c>
      <c r="V81" s="76" t="s">
        <v>988</v>
      </c>
      <c r="W81" s="76" t="s">
        <v>59</v>
      </c>
      <c r="X81" s="82">
        <f>IF(Tabela232[[#This Row],[Situação3]]=Tabela232[[#This Row],[Situação4]],0,1)</f>
        <v>0</v>
      </c>
      <c r="Y81" s="82">
        <v>1</v>
      </c>
      <c r="Z81" s="82">
        <v>1</v>
      </c>
      <c r="AA81" s="82" t="s">
        <v>204</v>
      </c>
      <c r="AB81" s="189" t="s">
        <v>988</v>
      </c>
      <c r="AC81" s="82">
        <v>0</v>
      </c>
      <c r="AD81" s="82" t="str">
        <f>Tabela232[[#This Row],[Situação3]]</f>
        <v>Não iniciada</v>
      </c>
      <c r="AE81" s="82" t="s">
        <v>204</v>
      </c>
      <c r="AF81" s="82" t="s">
        <v>988</v>
      </c>
      <c r="AG81" s="82">
        <v>0</v>
      </c>
      <c r="AH81" s="82"/>
      <c r="AI81" s="59" t="s">
        <v>1472</v>
      </c>
      <c r="AJ81" s="14" t="s">
        <v>1473</v>
      </c>
      <c r="AK81" s="15" t="s">
        <v>78</v>
      </c>
      <c r="AL81" s="15" t="s">
        <v>78</v>
      </c>
      <c r="AM81" s="14"/>
      <c r="AN81" s="153">
        <f>INDEX('Simec OT - 020718'!$AX$1:$AX$137,MATCH(Tabela232[[#This Row],[ID obra]],'Simec OT - 020718'!$A$1:$A$137,0))</f>
        <v>415377.33</v>
      </c>
      <c r="AO81" s="129">
        <v>1153358.79</v>
      </c>
      <c r="AP81" s="156">
        <f>IF(COUNTIF(AO$2:AO81,AO81)=1,1,0)</f>
        <v>0</v>
      </c>
      <c r="AQ81" s="156">
        <f t="shared" si="1"/>
        <v>5</v>
      </c>
      <c r="AR81" s="129">
        <f>Tabela232[[#This Row],[Saldo da conta 07/2018]]/Tabela232[[#This Row],[formel2]]</f>
        <v>230671.758</v>
      </c>
      <c r="AS81" s="129">
        <f>INDEX('[1]Total repassado por obra'!$D$2:$D$127,MATCH(Tabela232[[#This Row],[ID obra]],'[1]Total repassado por obra'!$B$2:$B$127,0))</f>
        <v>539519</v>
      </c>
      <c r="AT81" s="129">
        <v>539519</v>
      </c>
      <c r="AU81" s="32" t="s">
        <v>251</v>
      </c>
      <c r="AV81" s="32" t="str">
        <f t="shared" si="2"/>
        <v>2013</v>
      </c>
      <c r="AW81" s="24" t="s">
        <v>59</v>
      </c>
      <c r="AX81" s="24" t="s">
        <v>59</v>
      </c>
      <c r="AY81" s="24"/>
      <c r="AZ81" s="24">
        <f>Tabela232[[#This Row],[Duração final]]-Tabela232[[#This Row],[Duração prevista]]</f>
        <v>-365</v>
      </c>
      <c r="BA81" s="24" t="s">
        <v>60</v>
      </c>
      <c r="BB81" s="115" t="s">
        <v>152</v>
      </c>
      <c r="BC81" s="110">
        <v>41586</v>
      </c>
      <c r="BD81" s="110">
        <f>Tabela232[[#This Row],[Início]]+Tabela232[[#This Row],[Duração prevista]]</f>
        <v>41951</v>
      </c>
      <c r="BE81" s="110"/>
      <c r="BF81" s="114">
        <v>365</v>
      </c>
      <c r="BG81" s="114"/>
      <c r="BH81" s="109">
        <v>1526930.41</v>
      </c>
      <c r="BI81" s="109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</row>
    <row r="82" spans="1:85">
      <c r="A82" s="14" t="s">
        <v>240</v>
      </c>
      <c r="B82" s="14" t="s">
        <v>146</v>
      </c>
      <c r="C82" s="14" t="s">
        <v>60</v>
      </c>
      <c r="D82" s="14">
        <v>24621</v>
      </c>
      <c r="E82" s="14" t="s">
        <v>253</v>
      </c>
      <c r="F82" s="14"/>
      <c r="G82" s="15" t="s">
        <v>331</v>
      </c>
      <c r="H82" s="16" t="s">
        <v>64</v>
      </c>
      <c r="I82" s="18">
        <v>0</v>
      </c>
      <c r="J82" s="48" t="s">
        <v>59</v>
      </c>
      <c r="K82" s="58" t="s">
        <v>1443</v>
      </c>
      <c r="L82" s="60">
        <v>30</v>
      </c>
      <c r="M82" s="25">
        <v>43070</v>
      </c>
      <c r="N82" s="82">
        <v>0</v>
      </c>
      <c r="O82" s="82">
        <f>IF(Tabela232[[#This Row],[Situação2]]=Tabela232[[#This Row],[Situação]],0,1)</f>
        <v>1</v>
      </c>
      <c r="P82" s="81" t="s">
        <v>1443</v>
      </c>
      <c r="Q82" s="85">
        <v>0.79369999999999996</v>
      </c>
      <c r="R82" s="86">
        <v>43235</v>
      </c>
      <c r="S82" s="84">
        <v>0</v>
      </c>
      <c r="T82" s="82"/>
      <c r="U82" s="76" t="s">
        <v>64</v>
      </c>
      <c r="V82" s="76" t="s">
        <v>988</v>
      </c>
      <c r="W82" s="76" t="s">
        <v>59</v>
      </c>
      <c r="X82" s="82">
        <f>IF(Tabela232[[#This Row],[Situação3]]=Tabela232[[#This Row],[Situação4]],0,1)</f>
        <v>1</v>
      </c>
      <c r="Y82" s="82"/>
      <c r="Z82" s="82">
        <v>1</v>
      </c>
      <c r="AA82" s="82" t="s">
        <v>204</v>
      </c>
      <c r="AB82" s="189" t="s">
        <v>988</v>
      </c>
      <c r="AC82" s="82">
        <v>0</v>
      </c>
      <c r="AD82" s="82" t="s">
        <v>67</v>
      </c>
      <c r="AE82" s="82" t="s">
        <v>67</v>
      </c>
      <c r="AF82" s="82" t="s">
        <v>1768</v>
      </c>
      <c r="AG82" s="82"/>
      <c r="AH82" s="82"/>
      <c r="AI82" s="59" t="s">
        <v>1476</v>
      </c>
      <c r="AJ82" s="14" t="s">
        <v>1555</v>
      </c>
      <c r="AK82" s="15" t="s">
        <v>60</v>
      </c>
      <c r="AL82" s="15" t="s">
        <v>60</v>
      </c>
      <c r="AM82" s="14"/>
      <c r="AN82" s="153">
        <f>INDEX('Simec OT - 020718'!$AX$1:$AX$137,MATCH(Tabela232[[#This Row],[ID obra]],'Simec OT - 020718'!$A$1:$A$137,0))</f>
        <v>405341.22</v>
      </c>
      <c r="AO82" s="129">
        <v>1153358.79</v>
      </c>
      <c r="AP82" s="156">
        <f>IF(COUNTIF(AO$2:AO82,AO82)=1,1,0)</f>
        <v>0</v>
      </c>
      <c r="AQ82" s="156">
        <f t="shared" si="1"/>
        <v>5</v>
      </c>
      <c r="AR82" s="129">
        <f>Tabela232[[#This Row],[Saldo da conta 07/2018]]/Tabela232[[#This Row],[formel2]]</f>
        <v>230671.758</v>
      </c>
      <c r="AS82" s="129">
        <f>INDEX('[1]Total repassado por obra'!$D$2:$D$127,MATCH(Tabela232[[#This Row],[ID obra]],'[1]Total repassado por obra'!$B$2:$B$127,0))</f>
        <v>527329</v>
      </c>
      <c r="AT82" s="129">
        <v>527329</v>
      </c>
      <c r="AU82" s="32" t="s">
        <v>251</v>
      </c>
      <c r="AV82" s="32" t="str">
        <f t="shared" si="2"/>
        <v>2013</v>
      </c>
      <c r="AW82" s="32" t="s">
        <v>1475</v>
      </c>
      <c r="AX82" s="24" t="s">
        <v>59</v>
      </c>
      <c r="AY82" s="24"/>
      <c r="AZ82" s="24">
        <f>Tabela232[[#This Row],[Duração final]]-Tabela232[[#This Row],[Duração prevista]]</f>
        <v>-365</v>
      </c>
      <c r="BA82" s="24" t="s">
        <v>60</v>
      </c>
      <c r="BB82" s="115" t="s">
        <v>152</v>
      </c>
      <c r="BC82" s="110">
        <v>41586</v>
      </c>
      <c r="BD82" s="110">
        <f>Tabela232[[#This Row],[Início]]+Tabela232[[#This Row],[Duração prevista]]</f>
        <v>41951</v>
      </c>
      <c r="BE82" s="110"/>
      <c r="BF82" s="114">
        <v>365</v>
      </c>
      <c r="BG82" s="114"/>
      <c r="BH82" s="109">
        <v>1515462.9</v>
      </c>
      <c r="BI82" s="109"/>
      <c r="BJ82" s="107" t="s">
        <v>1477</v>
      </c>
      <c r="BK82" s="110">
        <v>42671</v>
      </c>
      <c r="BL82" s="110">
        <f>Tabela232[[#This Row],[Início13]]+365</f>
        <v>43036</v>
      </c>
      <c r="BM82" s="110">
        <v>43493</v>
      </c>
      <c r="BN82" s="114">
        <v>365</v>
      </c>
      <c r="BO82" s="114">
        <f>Tabela232[[#This Row],[Término final15]]-Tabela232[[#This Row],[Início13]]</f>
        <v>822</v>
      </c>
      <c r="BP82" s="109">
        <v>5122650.45</v>
      </c>
      <c r="BQ82" s="109">
        <f>Tabela232[[#This Row],[Valor inicial18]]+128013.29</f>
        <v>5250663.74</v>
      </c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</row>
    <row r="83" spans="1:85">
      <c r="A83" s="14" t="s">
        <v>240</v>
      </c>
      <c r="B83" s="14" t="s">
        <v>146</v>
      </c>
      <c r="C83" s="14" t="s">
        <v>60</v>
      </c>
      <c r="D83" s="14">
        <v>24622</v>
      </c>
      <c r="E83" s="14" t="s">
        <v>254</v>
      </c>
      <c r="F83" s="14"/>
      <c r="G83" s="15" t="s">
        <v>331</v>
      </c>
      <c r="H83" s="16" t="s">
        <v>64</v>
      </c>
      <c r="I83" s="18">
        <v>0</v>
      </c>
      <c r="J83" s="48" t="s">
        <v>59</v>
      </c>
      <c r="K83" s="58" t="s">
        <v>64</v>
      </c>
      <c r="L83" s="60"/>
      <c r="M83" s="17"/>
      <c r="N83" s="81">
        <v>1</v>
      </c>
      <c r="O83" s="149">
        <f>IF(Tabela232[[#This Row],[Situação2]]=Tabela232[[#This Row],[Situação]],0,1)</f>
        <v>0</v>
      </c>
      <c r="P83" s="81" t="s">
        <v>67</v>
      </c>
      <c r="Q83" s="60">
        <v>1.84</v>
      </c>
      <c r="R83" s="60"/>
      <c r="S83" s="84">
        <v>0</v>
      </c>
      <c r="T83" s="82"/>
      <c r="U83" s="76" t="s">
        <v>64</v>
      </c>
      <c r="V83" s="76" t="s">
        <v>988</v>
      </c>
      <c r="W83" s="76" t="s">
        <v>59</v>
      </c>
      <c r="X83" s="82">
        <f>IF(Tabela232[[#This Row],[Situação3]]=Tabela232[[#This Row],[Situação4]],0,1)</f>
        <v>1</v>
      </c>
      <c r="Y83" s="82"/>
      <c r="Z83" s="82">
        <v>1</v>
      </c>
      <c r="AA83" s="82" t="s">
        <v>204</v>
      </c>
      <c r="AB83" s="189" t="s">
        <v>988</v>
      </c>
      <c r="AC83" s="82">
        <v>0</v>
      </c>
      <c r="AD83" s="82" t="str">
        <f>Tabela232[[#This Row],[Situação3]]</f>
        <v>Paralisada</v>
      </c>
      <c r="AE83" s="82" t="s">
        <v>204</v>
      </c>
      <c r="AF83" s="82" t="s">
        <v>988</v>
      </c>
      <c r="AG83" s="82">
        <v>0</v>
      </c>
      <c r="AH83" s="82"/>
      <c r="AI83" s="59" t="s">
        <v>1472</v>
      </c>
      <c r="AJ83" s="14" t="s">
        <v>1558</v>
      </c>
      <c r="AK83" s="15" t="s">
        <v>60</v>
      </c>
      <c r="AL83" s="15" t="s">
        <v>60</v>
      </c>
      <c r="AM83" s="15" t="s">
        <v>60</v>
      </c>
      <c r="AN83" s="153">
        <f>INDEX('Simec OT - 020718'!$AX$1:$AX$137,MATCH(Tabela232[[#This Row],[ID obra]],'Simec OT - 020718'!$A$1:$A$137,0))</f>
        <v>415490.76</v>
      </c>
      <c r="AO83" s="129">
        <v>1153358.79</v>
      </c>
      <c r="AP83" s="156">
        <f>IF(COUNTIF(AO$2:AO83,AO83)=1,1,0)</f>
        <v>0</v>
      </c>
      <c r="AQ83" s="156">
        <f t="shared" si="1"/>
        <v>5</v>
      </c>
      <c r="AR83" s="129">
        <f>Tabela232[[#This Row],[Saldo da conta 07/2018]]/Tabela232[[#This Row],[formel2]]</f>
        <v>230671.758</v>
      </c>
      <c r="AS83" s="129">
        <f>INDEX('[1]Total repassado por obra'!$D$2:$D$127,MATCH(Tabela232[[#This Row],[ID obra]],'[1]Total repassado por obra'!$B$2:$B$127,0))</f>
        <v>539635</v>
      </c>
      <c r="AT83" s="129">
        <v>539635</v>
      </c>
      <c r="AU83" s="32" t="s">
        <v>251</v>
      </c>
      <c r="AV83" s="32" t="str">
        <f t="shared" si="2"/>
        <v>2013</v>
      </c>
      <c r="AW83" s="24">
        <v>2014</v>
      </c>
      <c r="AX83" s="24" t="s">
        <v>59</v>
      </c>
      <c r="AY83" s="24"/>
      <c r="AZ83" s="24">
        <f>Tabela232[[#This Row],[Duração final]]-Tabela232[[#This Row],[Duração prevista]]</f>
        <v>-365</v>
      </c>
      <c r="BA83" s="24" t="s">
        <v>60</v>
      </c>
      <c r="BB83" s="115" t="s">
        <v>152</v>
      </c>
      <c r="BC83" s="110">
        <v>41586</v>
      </c>
      <c r="BD83" s="110">
        <f>Tabela232[[#This Row],[Início]]+Tabela232[[#This Row],[Duração prevista]]</f>
        <v>41951</v>
      </c>
      <c r="BE83" s="110"/>
      <c r="BF83" s="114">
        <v>365</v>
      </c>
      <c r="BG83" s="114"/>
      <c r="BH83" s="109">
        <v>1526930.41</v>
      </c>
      <c r="BI83" s="109"/>
      <c r="BJ83" s="27"/>
      <c r="BK83" s="21"/>
      <c r="BL83" s="21"/>
      <c r="BM83" s="21"/>
      <c r="BN83" s="30"/>
      <c r="BO83" s="30"/>
      <c r="BP83" s="19"/>
      <c r="BQ83" s="19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</row>
    <row r="84" spans="1:85">
      <c r="A84" s="14" t="s">
        <v>240</v>
      </c>
      <c r="B84" s="14" t="s">
        <v>146</v>
      </c>
      <c r="C84" s="14" t="s">
        <v>60</v>
      </c>
      <c r="D84" s="14">
        <v>24623</v>
      </c>
      <c r="E84" s="14" t="s">
        <v>255</v>
      </c>
      <c r="F84" s="14"/>
      <c r="G84" s="15" t="s">
        <v>331</v>
      </c>
      <c r="H84" s="16" t="s">
        <v>67</v>
      </c>
      <c r="I84" s="18">
        <v>8.19</v>
      </c>
      <c r="J84" s="48">
        <v>43081</v>
      </c>
      <c r="K84" s="58" t="s">
        <v>67</v>
      </c>
      <c r="L84" s="60"/>
      <c r="M84" s="17"/>
      <c r="N84" s="82">
        <v>0</v>
      </c>
      <c r="O84" s="82">
        <f>IF(Tabela232[[#This Row],[Situação2]]=Tabela232[[#This Row],[Situação]],0,1)</f>
        <v>0</v>
      </c>
      <c r="P84" s="81" t="s">
        <v>67</v>
      </c>
      <c r="Q84" s="60">
        <v>6.95</v>
      </c>
      <c r="R84" s="60"/>
      <c r="S84" s="84">
        <v>0</v>
      </c>
      <c r="T84" s="82"/>
      <c r="U84" s="76" t="s">
        <v>67</v>
      </c>
      <c r="V84" s="76" t="s">
        <v>1272</v>
      </c>
      <c r="W84" s="76">
        <v>43081</v>
      </c>
      <c r="X84" s="82">
        <f>IF(Tabela232[[#This Row],[Situação3]]=Tabela232[[#This Row],[Situação4]],0,1)</f>
        <v>0</v>
      </c>
      <c r="Y84" s="82"/>
      <c r="Z84" s="82">
        <v>1</v>
      </c>
      <c r="AA84" s="82" t="s">
        <v>67</v>
      </c>
      <c r="AB84" s="76" t="s">
        <v>1272</v>
      </c>
      <c r="AC84" s="189">
        <v>43081</v>
      </c>
      <c r="AD84" s="189" t="str">
        <f>Tabela232[[#This Row],[Situação3]]</f>
        <v>Paralisada</v>
      </c>
      <c r="AE84" s="82" t="s">
        <v>67</v>
      </c>
      <c r="AF84" s="189" t="s">
        <v>1272</v>
      </c>
      <c r="AG84" s="189"/>
      <c r="AH84" s="82"/>
      <c r="AI84" s="59" t="s">
        <v>1472</v>
      </c>
      <c r="AJ84" s="14" t="s">
        <v>1559</v>
      </c>
      <c r="AK84" s="15" t="s">
        <v>60</v>
      </c>
      <c r="AL84" s="15" t="s">
        <v>60</v>
      </c>
      <c r="AM84" s="15" t="s">
        <v>60</v>
      </c>
      <c r="AN84" s="153">
        <f>INDEX('Simec OT - 020718'!$AX$1:$AX$137,MATCH(Tabela232[[#This Row],[ID obra]],'Simec OT - 020718'!$A$1:$A$137,0))</f>
        <v>685148.3</v>
      </c>
      <c r="AO84" s="129">
        <v>1153358.79</v>
      </c>
      <c r="AP84" s="156">
        <f>IF(COUNTIF(AO$2:AO84,AO84)=1,1,0)</f>
        <v>0</v>
      </c>
      <c r="AQ84" s="156">
        <f t="shared" si="1"/>
        <v>5</v>
      </c>
      <c r="AR84" s="129">
        <f>Tabela232[[#This Row],[Saldo da conta 07/2018]]/Tabela232[[#This Row],[formel2]]</f>
        <v>230671.758</v>
      </c>
      <c r="AS84" s="129">
        <f>INDEX('[1]Total repassado por obra'!$D$2:$D$127,MATCH(Tabela232[[#This Row],[ID obra]],'[1]Total repassado por obra'!$B$2:$B$127,0))</f>
        <v>860660</v>
      </c>
      <c r="AT84" s="129">
        <v>860660</v>
      </c>
      <c r="AU84" s="32" t="s">
        <v>251</v>
      </c>
      <c r="AV84" s="32" t="str">
        <f t="shared" si="2"/>
        <v>2013</v>
      </c>
      <c r="AW84" s="24">
        <v>2014</v>
      </c>
      <c r="AX84" s="24" t="s">
        <v>59</v>
      </c>
      <c r="AY84" s="24"/>
      <c r="AZ84" s="24">
        <f>Tabela232[[#This Row],[Duração final]]-Tabela232[[#This Row],[Duração prevista]]</f>
        <v>-365</v>
      </c>
      <c r="BA84" s="24" t="s">
        <v>60</v>
      </c>
      <c r="BB84" s="115" t="s">
        <v>152</v>
      </c>
      <c r="BC84" s="110">
        <v>41586</v>
      </c>
      <c r="BD84" s="110">
        <f>Tabela232[[#This Row],[Início]]+Tabela232[[#This Row],[Duração prevista]]</f>
        <v>41951</v>
      </c>
      <c r="BE84" s="110"/>
      <c r="BF84" s="114">
        <v>365</v>
      </c>
      <c r="BG84" s="114"/>
      <c r="BH84" s="109">
        <v>1531110.41</v>
      </c>
      <c r="BI84" s="109"/>
      <c r="BJ84" s="27"/>
      <c r="BK84" s="21"/>
      <c r="BL84" s="21"/>
      <c r="BM84" s="21"/>
      <c r="BN84" s="30"/>
      <c r="BO84" s="30"/>
      <c r="BP84" s="19"/>
      <c r="BQ84" s="19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</row>
    <row r="85" spans="1:85">
      <c r="A85" s="14" t="s">
        <v>240</v>
      </c>
      <c r="B85" s="14" t="s">
        <v>146</v>
      </c>
      <c r="C85" s="14" t="s">
        <v>60</v>
      </c>
      <c r="D85" s="14">
        <v>1009321</v>
      </c>
      <c r="E85" s="14" t="s">
        <v>256</v>
      </c>
      <c r="F85" s="14"/>
      <c r="G85" s="15" t="s">
        <v>332</v>
      </c>
      <c r="H85" s="16" t="s">
        <v>64</v>
      </c>
      <c r="I85" s="18">
        <v>0</v>
      </c>
      <c r="J85" s="48" t="s">
        <v>59</v>
      </c>
      <c r="K85" s="58" t="s">
        <v>64</v>
      </c>
      <c r="L85" s="60">
        <v>0</v>
      </c>
      <c r="M85" s="17"/>
      <c r="N85" s="81">
        <v>1</v>
      </c>
      <c r="O85" s="149">
        <f>IF(Tabela232[[#This Row],[Situação2]]=Tabela232[[#This Row],[Situação]],0,1)</f>
        <v>0</v>
      </c>
      <c r="P85" s="81" t="s">
        <v>1443</v>
      </c>
      <c r="Q85" s="60">
        <v>35.51</v>
      </c>
      <c r="R85" s="86">
        <v>43432</v>
      </c>
      <c r="S85" s="84">
        <v>0</v>
      </c>
      <c r="T85" s="82"/>
      <c r="U85" s="76" t="s">
        <v>64</v>
      </c>
      <c r="V85" s="76" t="s">
        <v>988</v>
      </c>
      <c r="W85" s="76" t="s">
        <v>59</v>
      </c>
      <c r="X85" s="82">
        <f>IF(Tabela232[[#This Row],[Situação3]]=Tabela232[[#This Row],[Situação4]],0,1)</f>
        <v>1</v>
      </c>
      <c r="Y85" s="82"/>
      <c r="Z85" s="82">
        <v>1</v>
      </c>
      <c r="AA85" s="82" t="s">
        <v>204</v>
      </c>
      <c r="AB85" s="189" t="s">
        <v>988</v>
      </c>
      <c r="AC85" s="82">
        <v>0</v>
      </c>
      <c r="AD85" s="82" t="s">
        <v>67</v>
      </c>
      <c r="AE85" s="82" t="s">
        <v>1443</v>
      </c>
      <c r="AF85" s="82" t="s">
        <v>1769</v>
      </c>
      <c r="AG85" s="82"/>
      <c r="AH85" s="82"/>
      <c r="AI85" s="59" t="s">
        <v>1476</v>
      </c>
      <c r="AJ85" s="14" t="s">
        <v>1557</v>
      </c>
      <c r="AK85" s="15" t="s">
        <v>78</v>
      </c>
      <c r="AL85" s="15" t="s">
        <v>60</v>
      </c>
      <c r="AM85" s="15" t="s">
        <v>78</v>
      </c>
      <c r="AN85" s="153">
        <f>INDEX('Simec OT - 020718'!$AX$1:$AX$137,MATCH(Tabela232[[#This Row],[ID obra]],'Simec OT - 020718'!$A$1:$A$137,0))</f>
        <v>0</v>
      </c>
      <c r="AO85" s="127">
        <v>0</v>
      </c>
      <c r="AP85" s="156">
        <f>IF(COUNTIF(AO$2:AO85,AO85)=1,1,0)</f>
        <v>0</v>
      </c>
      <c r="AQ85" s="156">
        <f t="shared" si="1"/>
        <v>25</v>
      </c>
      <c r="AR85" s="129">
        <f>Tabela232[[#This Row],[Saldo da conta 07/2018]]/Tabela232[[#This Row],[formel2]]</f>
        <v>0</v>
      </c>
      <c r="AS85" s="126" t="s">
        <v>59</v>
      </c>
      <c r="AT85" s="129" t="s">
        <v>59</v>
      </c>
      <c r="AU85" s="32" t="s">
        <v>257</v>
      </c>
      <c r="AV85" s="32" t="str">
        <f t="shared" si="2"/>
        <v>2014</v>
      </c>
      <c r="AW85" s="32" t="s">
        <v>1475</v>
      </c>
      <c r="AX85" s="24" t="s">
        <v>59</v>
      </c>
      <c r="AY85" s="24"/>
      <c r="AZ85" s="24">
        <f>Tabela232[[#This Row],[Duração final]]-Tabela232[[#This Row],[Duração prevista]]</f>
        <v>-365</v>
      </c>
      <c r="BA85" s="24" t="s">
        <v>60</v>
      </c>
      <c r="BB85" s="115" t="s">
        <v>152</v>
      </c>
      <c r="BC85" s="110">
        <v>41583</v>
      </c>
      <c r="BD85" s="110">
        <f>Tabela232[[#This Row],[Início]]+Tabela232[[#This Row],[Duração prevista]]</f>
        <v>41948</v>
      </c>
      <c r="BE85" s="110"/>
      <c r="BF85" s="114">
        <v>365</v>
      </c>
      <c r="BG85" s="114"/>
      <c r="BH85" s="109">
        <v>811383.29</v>
      </c>
      <c r="BI85" s="109"/>
      <c r="BJ85" s="107" t="s">
        <v>1477</v>
      </c>
      <c r="BK85" s="110">
        <v>42671</v>
      </c>
      <c r="BL85" s="110">
        <f>Tabela232[[#This Row],[Início13]]+365</f>
        <v>43036</v>
      </c>
      <c r="BM85" s="110">
        <v>43493</v>
      </c>
      <c r="BN85" s="114">
        <v>365</v>
      </c>
      <c r="BO85" s="114">
        <f>Tabela232[[#This Row],[Término final15]]-Tabela232[[#This Row],[Início13]]</f>
        <v>822</v>
      </c>
      <c r="BP85" s="109">
        <v>5122650.45</v>
      </c>
      <c r="BQ85" s="109">
        <f>Tabela232[[#This Row],[Valor inicial18]]+128013.29</f>
        <v>5250663.74</v>
      </c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</row>
    <row r="86" spans="1:85">
      <c r="A86" s="14" t="s">
        <v>240</v>
      </c>
      <c r="B86" s="14" t="s">
        <v>146</v>
      </c>
      <c r="C86" s="14" t="s">
        <v>60</v>
      </c>
      <c r="D86" s="14">
        <v>1009322</v>
      </c>
      <c r="E86" s="14" t="s">
        <v>258</v>
      </c>
      <c r="F86" s="14"/>
      <c r="G86" s="15" t="s">
        <v>332</v>
      </c>
      <c r="H86" s="16" t="s">
        <v>64</v>
      </c>
      <c r="I86" s="18">
        <v>0</v>
      </c>
      <c r="J86" s="48" t="s">
        <v>59</v>
      </c>
      <c r="K86" s="58" t="s">
        <v>64</v>
      </c>
      <c r="L86" s="60">
        <v>0</v>
      </c>
      <c r="M86" s="17"/>
      <c r="N86" s="81">
        <v>1</v>
      </c>
      <c r="O86" s="149">
        <f>IF(Tabela232[[#This Row],[Situação2]]=Tabela232[[#This Row],[Situação]],0,1)</f>
        <v>0</v>
      </c>
      <c r="P86" s="81" t="s">
        <v>1443</v>
      </c>
      <c r="Q86" s="60">
        <v>25.31</v>
      </c>
      <c r="R86" s="86">
        <v>43432</v>
      </c>
      <c r="S86" s="84">
        <v>0</v>
      </c>
      <c r="T86" s="82"/>
      <c r="U86" s="76" t="s">
        <v>64</v>
      </c>
      <c r="V86" s="76" t="s">
        <v>988</v>
      </c>
      <c r="W86" s="76" t="s">
        <v>59</v>
      </c>
      <c r="X86" s="82">
        <f>IF(Tabela232[[#This Row],[Situação3]]=Tabela232[[#This Row],[Situação4]],0,1)</f>
        <v>1</v>
      </c>
      <c r="Y86" s="82"/>
      <c r="Z86" s="82">
        <v>1</v>
      </c>
      <c r="AA86" s="82" t="s">
        <v>204</v>
      </c>
      <c r="AB86" s="189" t="s">
        <v>988</v>
      </c>
      <c r="AC86" s="82">
        <v>0</v>
      </c>
      <c r="AD86" s="82" t="s">
        <v>67</v>
      </c>
      <c r="AE86" s="82" t="s">
        <v>1443</v>
      </c>
      <c r="AF86" s="82" t="s">
        <v>1770</v>
      </c>
      <c r="AG86" s="82"/>
      <c r="AH86" s="82"/>
      <c r="AI86" s="59" t="s">
        <v>1476</v>
      </c>
      <c r="AJ86" s="125" t="s">
        <v>1557</v>
      </c>
      <c r="AK86" s="15" t="s">
        <v>78</v>
      </c>
      <c r="AL86" s="15" t="s">
        <v>60</v>
      </c>
      <c r="AM86" s="15" t="s">
        <v>78</v>
      </c>
      <c r="AN86" s="153">
        <f>INDEX('Simec OT - 020718'!$AX$1:$AX$137,MATCH(Tabela232[[#This Row],[ID obra]],'Simec OT - 020718'!$A$1:$A$137,0))</f>
        <v>0</v>
      </c>
      <c r="AO86" s="127">
        <v>0</v>
      </c>
      <c r="AP86" s="156">
        <f>IF(COUNTIF(AO$2:AO86,AO86)=1,1,0)</f>
        <v>0</v>
      </c>
      <c r="AQ86" s="156">
        <f t="shared" si="1"/>
        <v>25</v>
      </c>
      <c r="AR86" s="129">
        <f>Tabela232[[#This Row],[Saldo da conta 07/2018]]/Tabela232[[#This Row],[formel2]]</f>
        <v>0</v>
      </c>
      <c r="AS86" s="126" t="s">
        <v>59</v>
      </c>
      <c r="AT86" s="129" t="s">
        <v>59</v>
      </c>
      <c r="AU86" s="32" t="s">
        <v>257</v>
      </c>
      <c r="AV86" s="32" t="str">
        <f t="shared" si="2"/>
        <v>2014</v>
      </c>
      <c r="AW86" s="32" t="s">
        <v>1475</v>
      </c>
      <c r="AX86" s="24" t="s">
        <v>59</v>
      </c>
      <c r="AY86" s="24"/>
      <c r="AZ86" s="24">
        <f>Tabela232[[#This Row],[Duração final]]-Tabela232[[#This Row],[Duração prevista]]</f>
        <v>-365</v>
      </c>
      <c r="BA86" s="24" t="s">
        <v>60</v>
      </c>
      <c r="BB86" s="115" t="s">
        <v>152</v>
      </c>
      <c r="BC86" s="110">
        <v>41583</v>
      </c>
      <c r="BD86" s="110">
        <f>Tabela232[[#This Row],[Início]]+Tabela232[[#This Row],[Duração prevista]]</f>
        <v>41948</v>
      </c>
      <c r="BE86" s="110"/>
      <c r="BF86" s="114">
        <v>365</v>
      </c>
      <c r="BG86" s="114"/>
      <c r="BH86" s="109">
        <v>811383.29</v>
      </c>
      <c r="BI86" s="109"/>
      <c r="BJ86" s="107" t="s">
        <v>1477</v>
      </c>
      <c r="BK86" s="110">
        <v>42671</v>
      </c>
      <c r="BL86" s="110">
        <f>Tabela232[[#This Row],[Início13]]+365</f>
        <v>43036</v>
      </c>
      <c r="BM86" s="110">
        <v>43493</v>
      </c>
      <c r="BN86" s="114">
        <v>365</v>
      </c>
      <c r="BO86" s="114">
        <f>Tabela232[[#This Row],[Término final15]]-Tabela232[[#This Row],[Início13]]</f>
        <v>822</v>
      </c>
      <c r="BP86" s="109">
        <v>5122650.45</v>
      </c>
      <c r="BQ86" s="109">
        <f>Tabela232[[#This Row],[Valor inicial18]]+128013.29</f>
        <v>5250663.74</v>
      </c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</row>
    <row r="87" spans="1:85">
      <c r="A87" s="14" t="s">
        <v>259</v>
      </c>
      <c r="B87" s="14" t="s">
        <v>55</v>
      </c>
      <c r="C87" s="14" t="s">
        <v>60</v>
      </c>
      <c r="D87" s="14">
        <v>17717</v>
      </c>
      <c r="E87" s="14" t="s">
        <v>260</v>
      </c>
      <c r="F87" s="14"/>
      <c r="G87" s="15" t="s">
        <v>333</v>
      </c>
      <c r="H87" s="16" t="s">
        <v>64</v>
      </c>
      <c r="I87" s="18">
        <v>0</v>
      </c>
      <c r="J87" s="48">
        <v>41744</v>
      </c>
      <c r="K87" s="58" t="s">
        <v>64</v>
      </c>
      <c r="L87" s="60">
        <v>0</v>
      </c>
      <c r="M87" s="17"/>
      <c r="N87" s="81">
        <v>1</v>
      </c>
      <c r="O87" s="150">
        <f>IF(Tabela232[[#This Row],[Situação2]]=Tabela232[[#This Row],[Situação]],0,1)</f>
        <v>0</v>
      </c>
      <c r="P87" s="60" t="s">
        <v>64</v>
      </c>
      <c r="Q87" s="60"/>
      <c r="R87" s="60"/>
      <c r="S87" s="61">
        <v>1</v>
      </c>
      <c r="T87" s="96">
        <f>2018-Tabela232[[#This Row],[Ano do convênio]]</f>
        <v>7</v>
      </c>
      <c r="U87" s="76" t="s">
        <v>64</v>
      </c>
      <c r="V87" s="76" t="s">
        <v>988</v>
      </c>
      <c r="W87" s="76">
        <v>41744</v>
      </c>
      <c r="X87" s="82">
        <f>IF(Tabela232[[#This Row],[Situação3]]=Tabela232[[#This Row],[Situação4]],0,1)</f>
        <v>0</v>
      </c>
      <c r="Y87" s="82">
        <v>1</v>
      </c>
      <c r="Z87" s="82">
        <v>0</v>
      </c>
      <c r="AA87" s="82" t="s">
        <v>64</v>
      </c>
      <c r="AB87" s="189" t="s">
        <v>988</v>
      </c>
      <c r="AC87" s="189">
        <v>41744</v>
      </c>
      <c r="AD87" s="189" t="str">
        <f>Tabela232[[#This Row],[Situação3]]</f>
        <v>Não iniciada</v>
      </c>
      <c r="AE87" s="82" t="s">
        <v>64</v>
      </c>
      <c r="AF87" s="189"/>
      <c r="AG87" s="189"/>
      <c r="AH87" s="82"/>
      <c r="AI87" s="14" t="s">
        <v>1560</v>
      </c>
      <c r="AJ87" s="14" t="s">
        <v>1562</v>
      </c>
      <c r="AK87" s="15" t="s">
        <v>60</v>
      </c>
      <c r="AL87" s="15" t="s">
        <v>60</v>
      </c>
      <c r="AM87" s="15" t="s">
        <v>1475</v>
      </c>
      <c r="AN87" s="153">
        <f>INDEX('Simec OT - 020718'!$AX$1:$AX$137,MATCH(Tabela232[[#This Row],[ID obra]],'Simec OT - 020718'!$A$1:$A$137,0))</f>
        <v>0</v>
      </c>
      <c r="AO87" s="129">
        <v>5906020.8399999999</v>
      </c>
      <c r="AP87" s="156">
        <f>IF(COUNTIF(AO$2:AO87,AO87)=1,1,0)</f>
        <v>1</v>
      </c>
      <c r="AQ87" s="156">
        <f t="shared" si="1"/>
        <v>3</v>
      </c>
      <c r="AR87" s="129">
        <f>Tabela232[[#This Row],[Saldo da conta 07/2018]]/Tabela232[[#This Row],[formel2]]</f>
        <v>1968673.6133333333</v>
      </c>
      <c r="AS87" s="186">
        <f>INDEX('[1]Total repassado por obra'!$D$2:$D$127,MATCH(Tabela232[[#This Row],[ID obra]],'[1]Total repassado por obra'!$B$2:$B$127,0))</f>
        <v>7216521</v>
      </c>
      <c r="AT87" s="187">
        <f>Tabela232[[#This Row],[Valor pago (corrente, ago2018)]]/8</f>
        <v>902065.125</v>
      </c>
      <c r="AU87" s="32" t="s">
        <v>261</v>
      </c>
      <c r="AV87" s="32" t="str">
        <f t="shared" si="2"/>
        <v>2011</v>
      </c>
      <c r="AW87" s="24" t="s">
        <v>59</v>
      </c>
      <c r="AX87" s="24" t="s">
        <v>59</v>
      </c>
      <c r="AY87" s="24"/>
      <c r="AZ87" s="24">
        <f>Tabela232[[#This Row],[Duração final]]-Tabela232[[#This Row],[Duração prevista]]</f>
        <v>0</v>
      </c>
      <c r="BA87" s="24" t="s">
        <v>60</v>
      </c>
      <c r="BB87" s="53" t="s">
        <v>771</v>
      </c>
      <c r="BC87" s="21">
        <v>41193</v>
      </c>
      <c r="BD87" s="21">
        <v>41504</v>
      </c>
      <c r="BE87" s="21">
        <v>41504</v>
      </c>
      <c r="BF87" s="30">
        <v>311</v>
      </c>
      <c r="BG87" s="30">
        <v>311</v>
      </c>
      <c r="BH87" s="19">
        <v>1183303.1000000001</v>
      </c>
      <c r="BI87" s="19">
        <v>1183303.1000000001</v>
      </c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</row>
    <row r="88" spans="1:85">
      <c r="A88" s="14" t="s">
        <v>259</v>
      </c>
      <c r="B88" s="14" t="s">
        <v>55</v>
      </c>
      <c r="C88" s="14" t="s">
        <v>60</v>
      </c>
      <c r="D88" s="14">
        <v>17718</v>
      </c>
      <c r="E88" s="14" t="s">
        <v>262</v>
      </c>
      <c r="F88" s="14"/>
      <c r="G88" s="15" t="s">
        <v>333</v>
      </c>
      <c r="H88" s="16" t="s">
        <v>64</v>
      </c>
      <c r="I88" s="18">
        <v>0</v>
      </c>
      <c r="J88" s="48">
        <v>41744</v>
      </c>
      <c r="K88" s="58" t="s">
        <v>64</v>
      </c>
      <c r="L88" s="60"/>
      <c r="M88" s="17"/>
      <c r="N88" s="81">
        <v>1</v>
      </c>
      <c r="O88" s="150">
        <f>IF(Tabela232[[#This Row],[Situação2]]=Tabela232[[#This Row],[Situação]],0,1)</f>
        <v>0</v>
      </c>
      <c r="P88" s="60" t="s">
        <v>64</v>
      </c>
      <c r="Q88" s="60"/>
      <c r="R88" s="60"/>
      <c r="S88" s="61">
        <v>1</v>
      </c>
      <c r="T88" s="96">
        <f>2018-Tabela232[[#This Row],[Ano do convênio]]</f>
        <v>7</v>
      </c>
      <c r="U88" s="76" t="s">
        <v>64</v>
      </c>
      <c r="V88" s="76" t="s">
        <v>988</v>
      </c>
      <c r="W88" s="76">
        <v>41744</v>
      </c>
      <c r="X88" s="82">
        <f>IF(Tabela232[[#This Row],[Situação3]]=Tabela232[[#This Row],[Situação4]],0,1)</f>
        <v>0</v>
      </c>
      <c r="Y88" s="82"/>
      <c r="Z88" s="82">
        <v>0</v>
      </c>
      <c r="AA88" s="82" t="s">
        <v>64</v>
      </c>
      <c r="AB88" s="189" t="s">
        <v>988</v>
      </c>
      <c r="AC88" s="189">
        <v>41744</v>
      </c>
      <c r="AD88" s="189" t="str">
        <f>Tabela232[[#This Row],[Situação3]]</f>
        <v>Não iniciada</v>
      </c>
      <c r="AE88" s="82" t="s">
        <v>64</v>
      </c>
      <c r="AF88" s="189"/>
      <c r="AG88" s="189"/>
      <c r="AH88" s="82"/>
      <c r="AI88" s="14" t="s">
        <v>1560</v>
      </c>
      <c r="AJ88" s="14" t="s">
        <v>1562</v>
      </c>
      <c r="AK88" s="15" t="s">
        <v>60</v>
      </c>
      <c r="AL88" s="15" t="s">
        <v>60</v>
      </c>
      <c r="AM88" s="15" t="s">
        <v>1475</v>
      </c>
      <c r="AN88" s="153">
        <f>INDEX('Simec OT - 020718'!$AX$1:$AX$137,MATCH(Tabela232[[#This Row],[ID obra]],'Simec OT - 020718'!$A$1:$A$137,0))</f>
        <v>0</v>
      </c>
      <c r="AO88" s="129">
        <v>5906020.8399999999</v>
      </c>
      <c r="AP88" s="156">
        <f>IF(COUNTIF(AO$2:AO88,AO88)=1,1,0)</f>
        <v>0</v>
      </c>
      <c r="AQ88" s="156">
        <f t="shared" si="1"/>
        <v>3</v>
      </c>
      <c r="AR88" s="129">
        <f>Tabela232[[#This Row],[Saldo da conta 07/2018]]/Tabela232[[#This Row],[formel2]]</f>
        <v>1968673.6133333333</v>
      </c>
      <c r="AS88" s="186">
        <f>INDEX('[1]Total repassado por obra'!$D$2:$D$127,MATCH(Tabela232[[#This Row],[ID obra]],'[1]Total repassado por obra'!$B$2:$B$127,0))</f>
        <v>7216521</v>
      </c>
      <c r="AT88" s="187">
        <f>Tabela232[[#This Row],[Valor pago (corrente, ago2018)]]/8</f>
        <v>902065.125</v>
      </c>
      <c r="AU88" s="32" t="s">
        <v>261</v>
      </c>
      <c r="AV88" s="32" t="str">
        <f t="shared" si="2"/>
        <v>2011</v>
      </c>
      <c r="AW88" s="24" t="s">
        <v>59</v>
      </c>
      <c r="AX88" s="24" t="s">
        <v>59</v>
      </c>
      <c r="AY88" s="24"/>
      <c r="AZ88" s="24">
        <f>Tabela232[[#This Row],[Duração final]]-Tabela232[[#This Row],[Duração prevista]]</f>
        <v>0</v>
      </c>
      <c r="BA88" s="24" t="s">
        <v>60</v>
      </c>
      <c r="BB88" s="53" t="s">
        <v>776</v>
      </c>
      <c r="BC88" s="21">
        <v>41193</v>
      </c>
      <c r="BD88" s="21">
        <v>41504</v>
      </c>
      <c r="BE88" s="21">
        <v>41504</v>
      </c>
      <c r="BF88" s="30">
        <v>311</v>
      </c>
      <c r="BG88" s="30">
        <v>311</v>
      </c>
      <c r="BH88" s="19">
        <v>1275694</v>
      </c>
      <c r="BI88" s="19">
        <v>1275694</v>
      </c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</row>
    <row r="89" spans="1:85">
      <c r="A89" s="14" t="s">
        <v>259</v>
      </c>
      <c r="B89" s="14" t="s">
        <v>55</v>
      </c>
      <c r="C89" s="14" t="s">
        <v>60</v>
      </c>
      <c r="D89" s="14">
        <v>17720</v>
      </c>
      <c r="E89" s="14" t="s">
        <v>263</v>
      </c>
      <c r="F89" s="14" t="s">
        <v>777</v>
      </c>
      <c r="G89" s="15" t="s">
        <v>333</v>
      </c>
      <c r="H89" s="16" t="s">
        <v>67</v>
      </c>
      <c r="I89" s="18">
        <v>15.78</v>
      </c>
      <c r="J89" s="48">
        <v>43355</v>
      </c>
      <c r="K89" s="58" t="s">
        <v>1443</v>
      </c>
      <c r="L89" s="60">
        <v>60</v>
      </c>
      <c r="M89" s="17"/>
      <c r="N89" s="82">
        <v>0</v>
      </c>
      <c r="O89" s="82">
        <f>IF(Tabela232[[#This Row],[Situação2]]=Tabela232[[#This Row],[Situação]],0,1)</f>
        <v>1</v>
      </c>
      <c r="P89" s="81" t="s">
        <v>89</v>
      </c>
      <c r="Q89" s="60">
        <v>100</v>
      </c>
      <c r="R89" s="60"/>
      <c r="S89" s="84">
        <v>0</v>
      </c>
      <c r="T89" s="82"/>
      <c r="U89" s="76" t="s">
        <v>67</v>
      </c>
      <c r="V89" s="76" t="s">
        <v>1282</v>
      </c>
      <c r="W89" s="76">
        <v>43443</v>
      </c>
      <c r="X89" s="82">
        <f>IF(Tabela232[[#This Row],[Situação3]]=Tabela232[[#This Row],[Situação4]],0,1)</f>
        <v>1</v>
      </c>
      <c r="Y89" s="82"/>
      <c r="Z89" s="82">
        <v>0</v>
      </c>
      <c r="AA89" s="82" t="s">
        <v>67</v>
      </c>
      <c r="AB89" s="189" t="s">
        <v>1282</v>
      </c>
      <c r="AC89" s="189">
        <v>43443</v>
      </c>
      <c r="AD89" s="189" t="str">
        <f>Tabela232[[#This Row],[Situação3]]</f>
        <v>Concluída</v>
      </c>
      <c r="AE89" s="82" t="s">
        <v>89</v>
      </c>
      <c r="AF89" s="189" t="s">
        <v>1063</v>
      </c>
      <c r="AG89" s="189"/>
      <c r="AH89" s="82"/>
      <c r="AI89" s="59" t="s">
        <v>1469</v>
      </c>
      <c r="AJ89" s="59" t="s">
        <v>1590</v>
      </c>
      <c r="AK89" s="60" t="s">
        <v>60</v>
      </c>
      <c r="AL89" s="60" t="s">
        <v>60</v>
      </c>
      <c r="AM89" s="15" t="s">
        <v>1475</v>
      </c>
      <c r="AN89" s="153">
        <f>INDEX('Simec OT - 020718'!$AX$1:$AX$137,MATCH(Tabela232[[#This Row],[ID obra]],'Simec OT - 020718'!$A$1:$A$137,0))</f>
        <v>0</v>
      </c>
      <c r="AO89" s="129">
        <v>5906020.8399999999</v>
      </c>
      <c r="AP89" s="156">
        <f>IF(COUNTIF(AO$2:AO89,AO89)=1,1,0)</f>
        <v>0</v>
      </c>
      <c r="AQ89" s="156">
        <f t="shared" si="1"/>
        <v>3</v>
      </c>
      <c r="AR89" s="129">
        <f>Tabela232[[#This Row],[Saldo da conta 07/2018]]/Tabela232[[#This Row],[formel2]]</f>
        <v>1968673.6133333333</v>
      </c>
      <c r="AS89" s="186">
        <f>INDEX('[1]Total repassado por obra'!$D$2:$D$127,MATCH(Tabela232[[#This Row],[ID obra]],'[1]Total repassado por obra'!$B$2:$B$127,0))</f>
        <v>7216521</v>
      </c>
      <c r="AT89" s="187">
        <f>Tabela232[[#This Row],[Valor pago (corrente, ago2018)]]/8</f>
        <v>902065.125</v>
      </c>
      <c r="AU89" s="32" t="s">
        <v>261</v>
      </c>
      <c r="AV89" s="32" t="str">
        <f t="shared" si="2"/>
        <v>2011</v>
      </c>
      <c r="AW89" s="24">
        <v>2012</v>
      </c>
      <c r="AX89" s="24">
        <v>2018</v>
      </c>
      <c r="AY89" s="24">
        <f>Tabela232[[#This Row],[Ano de entrega]]-Tabela232[[#This Row],[Ano de início da obra]]</f>
        <v>6</v>
      </c>
      <c r="AZ89" s="32">
        <f>BO89-BN89</f>
        <v>960</v>
      </c>
      <c r="BA89" s="24" t="s">
        <v>60</v>
      </c>
      <c r="BB89" s="53" t="s">
        <v>778</v>
      </c>
      <c r="BC89" s="21">
        <v>41009</v>
      </c>
      <c r="BD89" s="21">
        <v>41317</v>
      </c>
      <c r="BE89" s="21">
        <v>41317</v>
      </c>
      <c r="BF89" s="30">
        <v>308</v>
      </c>
      <c r="BG89" s="30">
        <v>308</v>
      </c>
      <c r="BH89" s="19">
        <v>1258559.3899999999</v>
      </c>
      <c r="BI89" s="19">
        <v>1258559.3899999999</v>
      </c>
      <c r="BJ89" s="116" t="s">
        <v>1470</v>
      </c>
      <c r="BK89" s="110">
        <v>42026</v>
      </c>
      <c r="BL89" s="110">
        <v>42535</v>
      </c>
      <c r="BM89" s="110">
        <v>43495</v>
      </c>
      <c r="BN89" s="111">
        <f>Tabela232[[#This Row],[Término inicial14]]-Tabela232[[#This Row],[Início13]]</f>
        <v>509</v>
      </c>
      <c r="BO89" s="111">
        <f>Tabela232[[#This Row],[Término final15]]-Tabela232[[#This Row],[Início13]]</f>
        <v>1469</v>
      </c>
      <c r="BP89" s="109">
        <v>1902021.31</v>
      </c>
      <c r="BQ89" s="109">
        <v>2347675.1800000002</v>
      </c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</row>
    <row r="90" spans="1:85">
      <c r="A90" s="14" t="s">
        <v>259</v>
      </c>
      <c r="B90" s="14" t="s">
        <v>55</v>
      </c>
      <c r="C90" s="14" t="s">
        <v>60</v>
      </c>
      <c r="D90" s="14">
        <v>19529</v>
      </c>
      <c r="E90" s="14" t="s">
        <v>264</v>
      </c>
      <c r="F90" s="14"/>
      <c r="G90" s="15" t="s">
        <v>332</v>
      </c>
      <c r="H90" s="16" t="s">
        <v>64</v>
      </c>
      <c r="I90" s="18">
        <v>0</v>
      </c>
      <c r="J90" s="48" t="s">
        <v>59</v>
      </c>
      <c r="K90" s="58" t="s">
        <v>64</v>
      </c>
      <c r="L90" s="60">
        <v>0</v>
      </c>
      <c r="M90" s="17"/>
      <c r="N90" s="81">
        <v>1</v>
      </c>
      <c r="O90" s="150">
        <f>IF(Tabela232[[#This Row],[Situação2]]=Tabela232[[#This Row],[Situação]],0,1)</f>
        <v>0</v>
      </c>
      <c r="P90" s="60" t="s">
        <v>64</v>
      </c>
      <c r="Q90" s="60"/>
      <c r="R90" s="60"/>
      <c r="S90" s="61">
        <v>1</v>
      </c>
      <c r="T90" s="96">
        <f>2018-Tabela232[[#This Row],[Ano do convênio]]</f>
        <v>4</v>
      </c>
      <c r="U90" s="76" t="s">
        <v>64</v>
      </c>
      <c r="V90" s="76" t="s">
        <v>988</v>
      </c>
      <c r="W90" s="76" t="s">
        <v>59</v>
      </c>
      <c r="X90" s="82">
        <f>IF(Tabela232[[#This Row],[Situação3]]=Tabela232[[#This Row],[Situação4]],0,1)</f>
        <v>0</v>
      </c>
      <c r="Y90" s="82"/>
      <c r="Z90" s="82">
        <v>1</v>
      </c>
      <c r="AA90" s="82" t="s">
        <v>204</v>
      </c>
      <c r="AB90" s="189" t="s">
        <v>988</v>
      </c>
      <c r="AC90" s="82">
        <v>0</v>
      </c>
      <c r="AD90" s="82" t="str">
        <f>Tabela232[[#This Row],[Situação3]]</f>
        <v>Não iniciada</v>
      </c>
      <c r="AE90" s="82" t="s">
        <v>204</v>
      </c>
      <c r="AF90" s="82"/>
      <c r="AG90" s="82"/>
      <c r="AH90" s="82"/>
      <c r="AI90" s="14" t="s">
        <v>1587</v>
      </c>
      <c r="AJ90" s="14" t="s">
        <v>1588</v>
      </c>
      <c r="AK90" s="15" t="s">
        <v>60</v>
      </c>
      <c r="AL90" s="15" t="s">
        <v>60</v>
      </c>
      <c r="AM90" s="15" t="s">
        <v>60</v>
      </c>
      <c r="AN90" s="153">
        <f>INDEX('Simec OT - 020718'!$AX$1:$AX$137,MATCH(Tabela232[[#This Row],[ID obra]],'Simec OT - 020718'!$A$1:$A$137,0))</f>
        <v>879291.23</v>
      </c>
      <c r="AO90" s="129">
        <v>1562425.86</v>
      </c>
      <c r="AP90" s="156">
        <f>IF(COUNTIF(AO$2:AO90,AO90)=1,1,0)</f>
        <v>1</v>
      </c>
      <c r="AQ90" s="156">
        <f t="shared" si="1"/>
        <v>3</v>
      </c>
      <c r="AR90" s="129">
        <f>Tabela232[[#This Row],[Saldo da conta 07/2018]]/Tabela232[[#This Row],[formel2]]</f>
        <v>520808.62000000005</v>
      </c>
      <c r="AS90" s="129">
        <f>INDEX('[1]Total repassado por obra'!$D$2:$D$127,MATCH(Tabela232[[#This Row],[ID obra]],'[1]Total repassado por obra'!$B$2:$B$127,0))</f>
        <v>1118052</v>
      </c>
      <c r="AT90" s="129">
        <v>1118052</v>
      </c>
      <c r="AU90" s="32" t="s">
        <v>265</v>
      </c>
      <c r="AV90" s="32" t="str">
        <f t="shared" si="2"/>
        <v>2014</v>
      </c>
      <c r="AW90" s="24" t="s">
        <v>59</v>
      </c>
      <c r="AX90" s="24" t="s">
        <v>59</v>
      </c>
      <c r="AY90" s="24"/>
      <c r="AZ90" s="24">
        <f>Tabela232[[#This Row],[Duração final]]-Tabela232[[#This Row],[Duração prevista]]</f>
        <v>0</v>
      </c>
      <c r="BA90" s="138" t="s">
        <v>60</v>
      </c>
      <c r="BB90" s="53" t="s">
        <v>776</v>
      </c>
      <c r="BC90" s="21">
        <v>41193</v>
      </c>
      <c r="BD90" s="21">
        <v>41673</v>
      </c>
      <c r="BE90" s="21">
        <v>41673</v>
      </c>
      <c r="BF90" s="30">
        <v>480</v>
      </c>
      <c r="BG90" s="30">
        <v>480</v>
      </c>
      <c r="BH90" s="19">
        <v>1180730</v>
      </c>
      <c r="BI90" s="19">
        <v>1180730</v>
      </c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</row>
    <row r="91" spans="1:85">
      <c r="A91" s="14" t="s">
        <v>259</v>
      </c>
      <c r="B91" s="14" t="s">
        <v>55</v>
      </c>
      <c r="C91" s="14" t="s">
        <v>60</v>
      </c>
      <c r="D91" s="14">
        <v>19531</v>
      </c>
      <c r="E91" s="14" t="s">
        <v>266</v>
      </c>
      <c r="F91" s="14"/>
      <c r="G91" s="15" t="s">
        <v>332</v>
      </c>
      <c r="H91" s="16" t="s">
        <v>64</v>
      </c>
      <c r="I91" s="18">
        <v>0</v>
      </c>
      <c r="J91" s="48" t="s">
        <v>59</v>
      </c>
      <c r="K91" s="58" t="s">
        <v>64</v>
      </c>
      <c r="L91" s="60">
        <v>0</v>
      </c>
      <c r="M91" s="17"/>
      <c r="N91" s="81">
        <v>1</v>
      </c>
      <c r="O91" s="150">
        <f>IF(Tabela232[[#This Row],[Situação2]]=Tabela232[[#This Row],[Situação]],0,1)</f>
        <v>0</v>
      </c>
      <c r="P91" s="60" t="s">
        <v>64</v>
      </c>
      <c r="Q91" s="60"/>
      <c r="R91" s="60"/>
      <c r="S91" s="61">
        <v>1</v>
      </c>
      <c r="T91" s="96">
        <f>2018-Tabela232[[#This Row],[Ano do convênio]]</f>
        <v>4</v>
      </c>
      <c r="U91" s="76" t="s">
        <v>64</v>
      </c>
      <c r="V91" s="76" t="s">
        <v>988</v>
      </c>
      <c r="W91" s="76" t="s">
        <v>59</v>
      </c>
      <c r="X91" s="82">
        <f>IF(Tabela232[[#This Row],[Situação3]]=Tabela232[[#This Row],[Situação4]],0,1)</f>
        <v>0</v>
      </c>
      <c r="Y91" s="82"/>
      <c r="Z91" s="82">
        <v>1</v>
      </c>
      <c r="AA91" s="82" t="s">
        <v>204</v>
      </c>
      <c r="AB91" s="189" t="s">
        <v>988</v>
      </c>
      <c r="AC91" s="82">
        <v>0</v>
      </c>
      <c r="AD91" s="82" t="str">
        <f>Tabela232[[#This Row],[Situação3]]</f>
        <v>Não iniciada</v>
      </c>
      <c r="AE91" s="82" t="s">
        <v>204</v>
      </c>
      <c r="AF91" s="82"/>
      <c r="AG91" s="82"/>
      <c r="AH91" s="82"/>
      <c r="AI91" s="14" t="s">
        <v>1587</v>
      </c>
      <c r="AJ91" s="14" t="s">
        <v>1588</v>
      </c>
      <c r="AK91" s="15" t="s">
        <v>60</v>
      </c>
      <c r="AL91" s="15" t="s">
        <v>60</v>
      </c>
      <c r="AM91" s="15" t="s">
        <v>60</v>
      </c>
      <c r="AN91" s="153">
        <f>INDEX('Simec OT - 020718'!$AX$1:$AX$137,MATCH(Tabela232[[#This Row],[ID obra]],'Simec OT - 020718'!$A$1:$A$137,0))</f>
        <v>308250.07</v>
      </c>
      <c r="AO91" s="129">
        <v>1562425.86</v>
      </c>
      <c r="AP91" s="156">
        <f>IF(COUNTIF(AO$2:AO91,AO91)=1,1,0)</f>
        <v>0</v>
      </c>
      <c r="AQ91" s="156">
        <f t="shared" si="1"/>
        <v>3</v>
      </c>
      <c r="AR91" s="129">
        <f>Tabela232[[#This Row],[Saldo da conta 07/2018]]/Tabela232[[#This Row],[formel2]]</f>
        <v>520808.62000000005</v>
      </c>
      <c r="AS91" s="129">
        <f>INDEX('[1]Total repassado por obra'!$D$2:$D$127,MATCH(Tabela232[[#This Row],[ID obra]],'[1]Total repassado por obra'!$B$2:$B$127,0))</f>
        <v>426997</v>
      </c>
      <c r="AT91" s="129">
        <v>426997</v>
      </c>
      <c r="AU91" s="32" t="s">
        <v>265</v>
      </c>
      <c r="AV91" s="32" t="str">
        <f t="shared" si="2"/>
        <v>2014</v>
      </c>
      <c r="AW91" s="24" t="s">
        <v>59</v>
      </c>
      <c r="AX91" s="24" t="s">
        <v>59</v>
      </c>
      <c r="AY91" s="24"/>
      <c r="AZ91" s="24">
        <f>Tabela232[[#This Row],[Duração final]]-Tabela232[[#This Row],[Duração prevista]]</f>
        <v>0</v>
      </c>
      <c r="BA91" s="138" t="s">
        <v>60</v>
      </c>
      <c r="BB91" s="53" t="s">
        <v>776</v>
      </c>
      <c r="BC91" s="21">
        <v>41193</v>
      </c>
      <c r="BD91" s="21">
        <v>41504</v>
      </c>
      <c r="BE91" s="21">
        <v>41504</v>
      </c>
      <c r="BF91" s="30">
        <v>311</v>
      </c>
      <c r="BG91" s="30">
        <v>311</v>
      </c>
      <c r="BH91" s="19">
        <v>596616</v>
      </c>
      <c r="BI91" s="19">
        <v>596616</v>
      </c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</row>
    <row r="92" spans="1:85">
      <c r="A92" s="14" t="s">
        <v>259</v>
      </c>
      <c r="B92" s="14" t="s">
        <v>55</v>
      </c>
      <c r="C92" s="14" t="s">
        <v>60</v>
      </c>
      <c r="D92" s="14">
        <v>19536</v>
      </c>
      <c r="E92" s="14" t="s">
        <v>267</v>
      </c>
      <c r="F92" s="14"/>
      <c r="G92" s="15" t="s">
        <v>332</v>
      </c>
      <c r="H92" s="16" t="s">
        <v>64</v>
      </c>
      <c r="I92" s="18">
        <v>0</v>
      </c>
      <c r="J92" s="48" t="s">
        <v>59</v>
      </c>
      <c r="K92" s="58" t="s">
        <v>64</v>
      </c>
      <c r="L92" s="60"/>
      <c r="M92" s="17"/>
      <c r="N92" s="81">
        <v>1</v>
      </c>
      <c r="O92" s="150">
        <f>IF(Tabela232[[#This Row],[Situação2]]=Tabela232[[#This Row],[Situação]],0,1)</f>
        <v>0</v>
      </c>
      <c r="P92" s="60" t="s">
        <v>64</v>
      </c>
      <c r="Q92" s="60"/>
      <c r="R92" s="60"/>
      <c r="S92" s="61">
        <v>1</v>
      </c>
      <c r="T92" s="96">
        <f>2018-Tabela232[[#This Row],[Ano do convênio]]</f>
        <v>4</v>
      </c>
      <c r="U92" s="76" t="s">
        <v>64</v>
      </c>
      <c r="V92" s="76" t="s">
        <v>988</v>
      </c>
      <c r="W92" s="76" t="s">
        <v>59</v>
      </c>
      <c r="X92" s="82">
        <f>IF(Tabela232[[#This Row],[Situação3]]=Tabela232[[#This Row],[Situação4]],0,1)</f>
        <v>0</v>
      </c>
      <c r="Y92" s="82"/>
      <c r="Z92" s="82">
        <v>1</v>
      </c>
      <c r="AA92" s="82" t="s">
        <v>204</v>
      </c>
      <c r="AB92" s="189" t="s">
        <v>988</v>
      </c>
      <c r="AC92" s="82">
        <v>0</v>
      </c>
      <c r="AD92" s="82" t="str">
        <f>Tabela232[[#This Row],[Situação3]]</f>
        <v>Não iniciada</v>
      </c>
      <c r="AE92" s="82" t="s">
        <v>204</v>
      </c>
      <c r="AF92" s="82"/>
      <c r="AG92" s="82"/>
      <c r="AH92" s="82"/>
      <c r="AI92" s="137" t="s">
        <v>1587</v>
      </c>
      <c r="AJ92" s="14" t="s">
        <v>1589</v>
      </c>
      <c r="AK92" s="15" t="s">
        <v>78</v>
      </c>
      <c r="AL92" s="15" t="s">
        <v>78</v>
      </c>
      <c r="AM92" s="15" t="s">
        <v>60</v>
      </c>
      <c r="AN92" s="153">
        <f>INDEX('Simec OT - 020718'!$AX$1:$AX$137,MATCH(Tabela232[[#This Row],[ID obra]],'Simec OT - 020718'!$A$1:$A$137,0))</f>
        <v>308250.12</v>
      </c>
      <c r="AO92" s="129">
        <v>1562425.86</v>
      </c>
      <c r="AP92" s="156">
        <f>IF(COUNTIF(AO$2:AO92,AO92)=1,1,0)</f>
        <v>0</v>
      </c>
      <c r="AQ92" s="156">
        <f t="shared" si="1"/>
        <v>3</v>
      </c>
      <c r="AR92" s="129">
        <f>Tabela232[[#This Row],[Saldo da conta 07/2018]]/Tabela232[[#This Row],[formel2]]</f>
        <v>520808.62000000005</v>
      </c>
      <c r="AS92" s="129">
        <f>INDEX('[1]Total repassado por obra'!$D$2:$D$127,MATCH(Tabela232[[#This Row],[ID obra]],'[1]Total repassado por obra'!$B$2:$B$127,0))</f>
        <v>427101</v>
      </c>
      <c r="AT92" s="129">
        <v>427101</v>
      </c>
      <c r="AU92" s="32" t="s">
        <v>265</v>
      </c>
      <c r="AV92" s="32" t="str">
        <f t="shared" si="2"/>
        <v>2014</v>
      </c>
      <c r="AW92" s="24" t="s">
        <v>59</v>
      </c>
      <c r="AX92" s="24" t="s">
        <v>59</v>
      </c>
      <c r="AY92" s="24"/>
      <c r="AZ92" s="24">
        <f>Tabela232[[#This Row],[Duração final]]-Tabela232[[#This Row],[Duração prevista]]</f>
        <v>0</v>
      </c>
      <c r="BA92" s="138" t="s">
        <v>60</v>
      </c>
      <c r="BB92" s="113" t="s">
        <v>776</v>
      </c>
      <c r="BC92" s="27"/>
      <c r="BD92" s="27"/>
      <c r="BE92" s="27"/>
      <c r="BF92" s="27"/>
      <c r="BG92" s="27"/>
      <c r="BH92" s="109">
        <v>588860</v>
      </c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</row>
    <row r="93" spans="1:85">
      <c r="A93" s="14" t="s">
        <v>259</v>
      </c>
      <c r="B93" s="14" t="s">
        <v>55</v>
      </c>
      <c r="C93" s="14" t="s">
        <v>60</v>
      </c>
      <c r="D93" s="14">
        <v>25309</v>
      </c>
      <c r="E93" s="14" t="s">
        <v>268</v>
      </c>
      <c r="F93" s="14"/>
      <c r="G93" s="15" t="s">
        <v>332</v>
      </c>
      <c r="H93" s="16" t="s">
        <v>64</v>
      </c>
      <c r="I93" s="18">
        <v>0</v>
      </c>
      <c r="J93" s="48">
        <v>41733</v>
      </c>
      <c r="K93" s="91" t="s">
        <v>64</v>
      </c>
      <c r="L93" s="60">
        <v>0</v>
      </c>
      <c r="M93" s="17"/>
      <c r="N93" s="82">
        <v>1</v>
      </c>
      <c r="O93" s="82">
        <f>IF(Tabela232[[#This Row],[Situação2]]=Tabela232[[#This Row],[Situação]],0,1)</f>
        <v>0</v>
      </c>
      <c r="P93" s="60" t="s">
        <v>64</v>
      </c>
      <c r="Q93" s="60"/>
      <c r="R93" s="60"/>
      <c r="S93" s="61">
        <v>1</v>
      </c>
      <c r="T93" s="96">
        <f>2018-Tabela232[[#This Row],[Ano do convênio]]</f>
        <v>4</v>
      </c>
      <c r="U93" s="76" t="s">
        <v>64</v>
      </c>
      <c r="V93" s="76" t="s">
        <v>988</v>
      </c>
      <c r="W93" s="76">
        <v>41733</v>
      </c>
      <c r="X93" s="82">
        <f>IF(Tabela232[[#This Row],[Situação3]]=Tabela232[[#This Row],[Situação4]],0,1)</f>
        <v>0</v>
      </c>
      <c r="Y93" s="82"/>
      <c r="Z93" s="82">
        <v>1</v>
      </c>
      <c r="AA93" s="82" t="s">
        <v>204</v>
      </c>
      <c r="AB93" s="189" t="s">
        <v>988</v>
      </c>
      <c r="AC93" s="189">
        <v>41733</v>
      </c>
      <c r="AD93" s="189" t="str">
        <f>Tabela232[[#This Row],[Situação3]]</f>
        <v>Não iniciada</v>
      </c>
      <c r="AE93" s="82" t="s">
        <v>204</v>
      </c>
      <c r="AF93" s="189"/>
      <c r="AG93" s="189"/>
      <c r="AH93" s="82"/>
      <c r="AI93" s="14" t="s">
        <v>1584</v>
      </c>
      <c r="AJ93" s="14" t="s">
        <v>1586</v>
      </c>
      <c r="AK93" s="15" t="s">
        <v>60</v>
      </c>
      <c r="AL93" s="15" t="s">
        <v>60</v>
      </c>
      <c r="AM93" s="15" t="s">
        <v>60</v>
      </c>
      <c r="AN93" s="153">
        <f>INDEX('Simec OT - 020718'!$AX$1:$AX$137,MATCH(Tabela232[[#This Row],[ID obra]],'Simec OT - 020718'!$A$1:$A$137,0))</f>
        <v>727500</v>
      </c>
      <c r="AO93" s="129">
        <v>2105217.98</v>
      </c>
      <c r="AP93" s="156">
        <f>IF(COUNTIF(AO$2:AO93,AO93)=1,1,0)</f>
        <v>1</v>
      </c>
      <c r="AQ93" s="156">
        <f t="shared" si="1"/>
        <v>3</v>
      </c>
      <c r="AR93" s="129">
        <f>Tabela232[[#This Row],[Saldo da conta 07/2018]]/Tabela232[[#This Row],[formel2]]</f>
        <v>701739.32666666666</v>
      </c>
      <c r="AS93" s="129">
        <f>INDEX('[1]Total repassado por obra'!$D$2:$D$127,MATCH(Tabela232[[#This Row],[ID obra]],'[1]Total repassado por obra'!$B$2:$B$127,0))</f>
        <v>969501</v>
      </c>
      <c r="AT93" s="129">
        <v>969501</v>
      </c>
      <c r="AU93" s="32" t="s">
        <v>269</v>
      </c>
      <c r="AV93" s="32" t="str">
        <f t="shared" si="2"/>
        <v>2014</v>
      </c>
      <c r="AW93" s="24" t="s">
        <v>59</v>
      </c>
      <c r="AX93" s="24" t="s">
        <v>59</v>
      </c>
      <c r="AY93" s="24"/>
      <c r="AZ93" s="24">
        <f>Tabela232[[#This Row],[Duração final]]-Tabela232[[#This Row],[Duração prevista]]</f>
        <v>0</v>
      </c>
      <c r="BA93" s="24" t="s">
        <v>60</v>
      </c>
      <c r="BB93" s="53" t="s">
        <v>790</v>
      </c>
      <c r="BC93" s="21">
        <v>41240</v>
      </c>
      <c r="BD93" s="21">
        <v>41540</v>
      </c>
      <c r="BE93" s="21">
        <v>41540</v>
      </c>
      <c r="BF93" s="30">
        <v>300</v>
      </c>
      <c r="BG93" s="30">
        <v>300</v>
      </c>
      <c r="BH93" s="19">
        <v>1425490.08</v>
      </c>
      <c r="BI93" s="19">
        <v>1425490.08</v>
      </c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</row>
    <row r="94" spans="1:85">
      <c r="A94" s="14" t="s">
        <v>259</v>
      </c>
      <c r="B94" s="14" t="s">
        <v>55</v>
      </c>
      <c r="C94" s="14" t="s">
        <v>60</v>
      </c>
      <c r="D94" s="14">
        <v>25311</v>
      </c>
      <c r="E94" s="14" t="s">
        <v>270</v>
      </c>
      <c r="F94" s="14"/>
      <c r="G94" s="15" t="s">
        <v>332</v>
      </c>
      <c r="H94" s="16" t="s">
        <v>64</v>
      </c>
      <c r="I94" s="18">
        <v>0</v>
      </c>
      <c r="J94" s="48" t="s">
        <v>59</v>
      </c>
      <c r="K94" s="58" t="s">
        <v>64</v>
      </c>
      <c r="L94" s="60">
        <v>0</v>
      </c>
      <c r="M94" s="17"/>
      <c r="N94" s="81">
        <v>1</v>
      </c>
      <c r="O94" s="150">
        <f>IF(Tabela232[[#This Row],[Situação2]]=Tabela232[[#This Row],[Situação]],0,1)</f>
        <v>0</v>
      </c>
      <c r="P94" s="60" t="s">
        <v>64</v>
      </c>
      <c r="Q94" s="60"/>
      <c r="R94" s="60"/>
      <c r="S94" s="61">
        <v>1</v>
      </c>
      <c r="T94" s="96">
        <f>2018-Tabela232[[#This Row],[Ano do convênio]]</f>
        <v>4</v>
      </c>
      <c r="U94" s="76" t="s">
        <v>64</v>
      </c>
      <c r="V94" s="76" t="s">
        <v>988</v>
      </c>
      <c r="W94" s="76" t="s">
        <v>59</v>
      </c>
      <c r="X94" s="82">
        <f>IF(Tabela232[[#This Row],[Situação3]]=Tabela232[[#This Row],[Situação4]],0,1)</f>
        <v>0</v>
      </c>
      <c r="Y94" s="82"/>
      <c r="Z94" s="82">
        <v>1</v>
      </c>
      <c r="AA94" s="82" t="s">
        <v>204</v>
      </c>
      <c r="AB94" s="189" t="s">
        <v>988</v>
      </c>
      <c r="AC94" s="82">
        <v>0</v>
      </c>
      <c r="AD94" s="82" t="str">
        <f>Tabela232[[#This Row],[Situação3]]</f>
        <v>Não iniciada</v>
      </c>
      <c r="AE94" s="82" t="s">
        <v>204</v>
      </c>
      <c r="AF94" s="82"/>
      <c r="AG94" s="82"/>
      <c r="AH94" s="82"/>
      <c r="AI94" s="14" t="s">
        <v>1584</v>
      </c>
      <c r="AJ94" s="14" t="s">
        <v>1585</v>
      </c>
      <c r="AK94" s="15" t="s">
        <v>60</v>
      </c>
      <c r="AL94" s="15" t="s">
        <v>60</v>
      </c>
      <c r="AM94" s="15" t="s">
        <v>60</v>
      </c>
      <c r="AN94" s="153">
        <f>INDEX('Simec OT - 020718'!$AX$1:$AX$137,MATCH(Tabela232[[#This Row],[ID obra]],'Simec OT - 020718'!$A$1:$A$137,0))</f>
        <v>727500</v>
      </c>
      <c r="AO94" s="129">
        <v>2105217.98</v>
      </c>
      <c r="AP94" s="156">
        <f>IF(COUNTIF(AO$2:AO94,AO94)=1,1,0)</f>
        <v>0</v>
      </c>
      <c r="AQ94" s="156">
        <f t="shared" si="1"/>
        <v>3</v>
      </c>
      <c r="AR94" s="129">
        <f>Tabela232[[#This Row],[Saldo da conta 07/2018]]/Tabela232[[#This Row],[formel2]]</f>
        <v>701739.32666666666</v>
      </c>
      <c r="AS94" s="129">
        <f>INDEX('[1]Total repassado por obra'!$D$2:$D$127,MATCH(Tabela232[[#This Row],[ID obra]],'[1]Total repassado por obra'!$B$2:$B$127,0))</f>
        <v>969501</v>
      </c>
      <c r="AT94" s="129">
        <v>969501</v>
      </c>
      <c r="AU94" s="32" t="s">
        <v>269</v>
      </c>
      <c r="AV94" s="32" t="str">
        <f t="shared" si="2"/>
        <v>2014</v>
      </c>
      <c r="AW94" s="24" t="s">
        <v>59</v>
      </c>
      <c r="AX94" s="24" t="s">
        <v>59</v>
      </c>
      <c r="AY94" s="24"/>
      <c r="AZ94" s="24">
        <f>Tabela232[[#This Row],[Duração final]]-Tabela232[[#This Row],[Duração prevista]]</f>
        <v>0</v>
      </c>
      <c r="BA94" s="24" t="s">
        <v>60</v>
      </c>
      <c r="BB94" s="53" t="s">
        <v>771</v>
      </c>
      <c r="BC94" s="21">
        <v>41240</v>
      </c>
      <c r="BD94" s="21">
        <v>41542</v>
      </c>
      <c r="BE94" s="21">
        <v>41542</v>
      </c>
      <c r="BF94" s="30">
        <v>302</v>
      </c>
      <c r="BG94" s="30">
        <v>302</v>
      </c>
      <c r="BH94" s="19">
        <v>1357739.88</v>
      </c>
      <c r="BI94" s="19">
        <v>1357739.88</v>
      </c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</row>
    <row r="95" spans="1:85">
      <c r="A95" s="14" t="s">
        <v>259</v>
      </c>
      <c r="B95" s="14" t="s">
        <v>55</v>
      </c>
      <c r="C95" s="14" t="s">
        <v>60</v>
      </c>
      <c r="D95" s="14">
        <v>25312</v>
      </c>
      <c r="E95" s="14" t="s">
        <v>271</v>
      </c>
      <c r="F95" s="14"/>
      <c r="G95" s="15" t="s">
        <v>332</v>
      </c>
      <c r="H95" s="16" t="s">
        <v>64</v>
      </c>
      <c r="I95" s="18">
        <v>0</v>
      </c>
      <c r="J95" s="48" t="s">
        <v>59</v>
      </c>
      <c r="K95" s="58" t="s">
        <v>64</v>
      </c>
      <c r="L95" s="60"/>
      <c r="M95" s="17"/>
      <c r="N95" s="82">
        <v>1</v>
      </c>
      <c r="O95" s="82">
        <f>IF(Tabela232[[#This Row],[Situação2]]=Tabela232[[#This Row],[Situação]],0,1)</f>
        <v>0</v>
      </c>
      <c r="P95" s="60" t="s">
        <v>64</v>
      </c>
      <c r="Q95" s="60"/>
      <c r="R95" s="60"/>
      <c r="S95" s="61">
        <v>1</v>
      </c>
      <c r="T95" s="96">
        <f>2018-Tabela232[[#This Row],[Ano do convênio]]</f>
        <v>4</v>
      </c>
      <c r="U95" s="76" t="s">
        <v>64</v>
      </c>
      <c r="V95" s="76" t="s">
        <v>988</v>
      </c>
      <c r="W95" s="76" t="s">
        <v>59</v>
      </c>
      <c r="X95" s="82">
        <f>IF(Tabela232[[#This Row],[Situação3]]=Tabela232[[#This Row],[Situação4]],0,1)</f>
        <v>0</v>
      </c>
      <c r="Y95" s="82">
        <v>1</v>
      </c>
      <c r="Z95" s="82">
        <v>1</v>
      </c>
      <c r="AA95" s="82" t="s">
        <v>204</v>
      </c>
      <c r="AB95" s="189" t="s">
        <v>988</v>
      </c>
      <c r="AC95" s="82">
        <v>0</v>
      </c>
      <c r="AD95" s="82" t="str">
        <f>Tabela232[[#This Row],[Situação3]]</f>
        <v>Não iniciada</v>
      </c>
      <c r="AE95" s="82" t="s">
        <v>204</v>
      </c>
      <c r="AF95" s="82"/>
      <c r="AG95" s="82"/>
      <c r="AH95" s="82"/>
      <c r="AI95" s="14" t="s">
        <v>1584</v>
      </c>
      <c r="AJ95" s="14" t="s">
        <v>1585</v>
      </c>
      <c r="AK95" s="15" t="s">
        <v>60</v>
      </c>
      <c r="AL95" s="15" t="s">
        <v>60</v>
      </c>
      <c r="AM95" s="15" t="s">
        <v>60</v>
      </c>
      <c r="AN95" s="153">
        <f>INDEX('Simec OT - 020718'!$AX$1:$AX$137,MATCH(Tabela232[[#This Row],[ID obra]],'Simec OT - 020718'!$A$1:$A$137,0))</f>
        <v>340000</v>
      </c>
      <c r="AO95" s="129">
        <v>2105217.98</v>
      </c>
      <c r="AP95" s="156">
        <f>IF(COUNTIF(AO$2:AO95,AO95)=1,1,0)</f>
        <v>0</v>
      </c>
      <c r="AQ95" s="156">
        <f t="shared" si="1"/>
        <v>3</v>
      </c>
      <c r="AR95" s="129">
        <f>Tabela232[[#This Row],[Saldo da conta 07/2018]]/Tabela232[[#This Row],[formel2]]</f>
        <v>701739.32666666666</v>
      </c>
      <c r="AS95" s="129">
        <f>INDEX('[1]Total repassado por obra'!$D$2:$D$127,MATCH(Tabela232[[#This Row],[ID obra]],'[1]Total repassado por obra'!$B$2:$B$127,0))</f>
        <v>453100</v>
      </c>
      <c r="AT95" s="129">
        <v>453100</v>
      </c>
      <c r="AU95" s="32" t="s">
        <v>269</v>
      </c>
      <c r="AV95" s="32" t="str">
        <f t="shared" si="2"/>
        <v>2014</v>
      </c>
      <c r="AW95" s="24" t="s">
        <v>59</v>
      </c>
      <c r="AX95" s="24" t="s">
        <v>59</v>
      </c>
      <c r="AY95" s="24"/>
      <c r="AZ95" s="24">
        <f>Tabela232[[#This Row],[Duração final]]-Tabela232[[#This Row],[Duração prevista]]</f>
        <v>0</v>
      </c>
      <c r="BA95" s="24" t="s">
        <v>60</v>
      </c>
      <c r="BB95" s="53" t="s">
        <v>790</v>
      </c>
      <c r="BC95" s="136">
        <f>Tabela232[[#This Row],[Término inicial]]-Tabela232[[#This Row],[Duração prevista]]</f>
        <v>41240</v>
      </c>
      <c r="BD95" s="21">
        <v>41542</v>
      </c>
      <c r="BE95" s="21">
        <v>41542</v>
      </c>
      <c r="BF95" s="30">
        <v>302</v>
      </c>
      <c r="BG95" s="30">
        <v>302</v>
      </c>
      <c r="BH95" s="19">
        <v>639364.07999999996</v>
      </c>
      <c r="BI95" s="19">
        <v>639364.07999999996</v>
      </c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</row>
    <row r="96" spans="1:85">
      <c r="A96" s="14" t="s">
        <v>272</v>
      </c>
      <c r="B96" s="14" t="s">
        <v>146</v>
      </c>
      <c r="C96" s="14" t="s">
        <v>60</v>
      </c>
      <c r="D96" s="14">
        <v>8969</v>
      </c>
      <c r="E96" s="14" t="s">
        <v>273</v>
      </c>
      <c r="F96" s="14"/>
      <c r="G96" s="15" t="s">
        <v>1446</v>
      </c>
      <c r="H96" s="16" t="s">
        <v>1443</v>
      </c>
      <c r="I96" s="18">
        <v>47.62</v>
      </c>
      <c r="J96" s="148">
        <v>42885</v>
      </c>
      <c r="K96" s="58" t="s">
        <v>59</v>
      </c>
      <c r="L96" s="60"/>
      <c r="M96" s="17"/>
      <c r="N96" s="82">
        <v>0</v>
      </c>
      <c r="O96" s="82" t="s">
        <v>59</v>
      </c>
      <c r="P96" s="81" t="s">
        <v>1615</v>
      </c>
      <c r="Q96" s="62">
        <v>93.18</v>
      </c>
      <c r="R96" s="86">
        <v>43251</v>
      </c>
      <c r="S96" s="84">
        <v>0</v>
      </c>
      <c r="T96" s="82"/>
      <c r="U96" s="76" t="s">
        <v>1616</v>
      </c>
      <c r="V96" s="76" t="s">
        <v>1304</v>
      </c>
      <c r="W96" s="76">
        <v>43258</v>
      </c>
      <c r="X96" s="82">
        <f>IF(Tabela232[[#This Row],[Situação3]]=Tabela232[[#This Row],[Situação4]],0,1)</f>
        <v>1</v>
      </c>
      <c r="Y96" s="82"/>
      <c r="Z96" s="82">
        <v>0</v>
      </c>
      <c r="AA96" s="82" t="s">
        <v>67</v>
      </c>
      <c r="AB96" s="189" t="s">
        <v>1304</v>
      </c>
      <c r="AC96" s="189">
        <v>43258</v>
      </c>
      <c r="AD96" s="189" t="str">
        <f>Tabela232[[#This Row],[Situação3]]</f>
        <v>(Em andamento)</v>
      </c>
      <c r="AE96" s="82" t="s">
        <v>67</v>
      </c>
      <c r="AF96" s="189" t="s">
        <v>1771</v>
      </c>
      <c r="AG96" s="189" t="s">
        <v>1772</v>
      </c>
      <c r="AH96" s="82"/>
      <c r="AI96" s="14" t="s">
        <v>1463</v>
      </c>
      <c r="AJ96" s="125" t="s">
        <v>1593</v>
      </c>
      <c r="AK96" s="15" t="s">
        <v>60</v>
      </c>
      <c r="AL96" s="15" t="s">
        <v>60</v>
      </c>
      <c r="AM96" s="15" t="s">
        <v>60</v>
      </c>
      <c r="AN96" s="153">
        <f>INDEX('Simec OT - 020718'!$AX$1:$AX$137,MATCH(Tabela232[[#This Row],[ID obra]],'Simec OT - 020718'!$A$1:$A$137,0))</f>
        <v>0</v>
      </c>
      <c r="AO96" s="130">
        <v>31174.58</v>
      </c>
      <c r="AP96" s="156">
        <f>IF(COUNTIF(AO$2:AO96,AO96)=1,1,0)</f>
        <v>1</v>
      </c>
      <c r="AQ96" s="156">
        <f t="shared" si="1"/>
        <v>1</v>
      </c>
      <c r="AR96" s="129">
        <f>Tabela232[[#This Row],[Saldo da conta 07/2018]]/Tabela232[[#This Row],[formel2]]</f>
        <v>31174.58</v>
      </c>
      <c r="AS96" s="186">
        <f>INDEX('[1]Total repassado por obra'!$D$2:$D$127,MATCH(Tabela232[[#This Row],[ID obra]],'[1]Total repassado por obra'!$B$2:$B$127,0))</f>
        <v>1404673</v>
      </c>
      <c r="AT96" s="129">
        <v>1404673</v>
      </c>
      <c r="AU96" s="32" t="s">
        <v>274</v>
      </c>
      <c r="AV96" s="32" t="str">
        <f t="shared" si="2"/>
        <v>2009</v>
      </c>
      <c r="AW96" s="138">
        <v>2011</v>
      </c>
      <c r="AX96" s="24" t="s">
        <v>59</v>
      </c>
      <c r="AY96" s="24"/>
      <c r="AZ96" s="24">
        <f>Tabela232[[#This Row],[Duração final]]-Tabela232[[#This Row],[Duração prevista]]</f>
        <v>0</v>
      </c>
      <c r="BA96" s="24" t="s">
        <v>60</v>
      </c>
      <c r="BB96" s="53" t="s">
        <v>1591</v>
      </c>
      <c r="BC96" s="27"/>
      <c r="BD96" s="27"/>
      <c r="BE96" s="27"/>
      <c r="BF96" s="27"/>
      <c r="BG96" s="27"/>
      <c r="BH96" s="27"/>
      <c r="BI96" s="27"/>
      <c r="BJ96" s="53" t="s">
        <v>1592</v>
      </c>
      <c r="BK96" s="21">
        <v>42559</v>
      </c>
      <c r="BL96" s="21">
        <v>42895</v>
      </c>
      <c r="BM96" s="110">
        <v>43258</v>
      </c>
      <c r="BN96" s="30">
        <v>336</v>
      </c>
      <c r="BO96" s="114">
        <v>673</v>
      </c>
      <c r="BP96" s="19">
        <v>1991997.09</v>
      </c>
      <c r="BQ96" s="109">
        <v>2235497.2799999998</v>
      </c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</row>
    <row r="97" spans="1:85">
      <c r="A97" s="14" t="s">
        <v>272</v>
      </c>
      <c r="B97" s="14" t="s">
        <v>146</v>
      </c>
      <c r="C97" s="14" t="s">
        <v>60</v>
      </c>
      <c r="D97" s="14">
        <v>13418</v>
      </c>
      <c r="E97" s="14" t="s">
        <v>275</v>
      </c>
      <c r="F97" s="14"/>
      <c r="G97" s="15" t="s">
        <v>335</v>
      </c>
      <c r="H97" s="16" t="s">
        <v>67</v>
      </c>
      <c r="I97" s="18">
        <v>38.590000000000003</v>
      </c>
      <c r="J97" s="48">
        <v>42889</v>
      </c>
      <c r="K97" s="58" t="s">
        <v>59</v>
      </c>
      <c r="L97" s="60"/>
      <c r="M97" s="17"/>
      <c r="N97" s="82">
        <v>0</v>
      </c>
      <c r="O97" s="82" t="s">
        <v>59</v>
      </c>
      <c r="P97" s="81" t="s">
        <v>1615</v>
      </c>
      <c r="Q97" s="62">
        <v>68.03</v>
      </c>
      <c r="R97" s="86">
        <v>43343</v>
      </c>
      <c r="S97" s="84">
        <v>0</v>
      </c>
      <c r="T97" s="82"/>
      <c r="U97" s="81" t="s">
        <v>1615</v>
      </c>
      <c r="V97" s="76" t="s">
        <v>1311</v>
      </c>
      <c r="W97" s="76">
        <v>43258</v>
      </c>
      <c r="X97" s="82">
        <f>IF(Tabela232[[#This Row],[Situação3]]=Tabela232[[#This Row],[Situação4]],0,1)</f>
        <v>0</v>
      </c>
      <c r="Y97" s="82"/>
      <c r="Z97" s="82">
        <v>0</v>
      </c>
      <c r="AA97" s="82" t="s">
        <v>1443</v>
      </c>
      <c r="AB97" s="189" t="s">
        <v>1700</v>
      </c>
      <c r="AC97" s="189">
        <v>43482</v>
      </c>
      <c r="AD97" s="189" t="str">
        <f>Tabela232[[#This Row],[Situação3]]</f>
        <v>(Em andamento)</v>
      </c>
      <c r="AE97" s="82" t="s">
        <v>1443</v>
      </c>
      <c r="AF97" s="189" t="s">
        <v>1773</v>
      </c>
      <c r="AG97" s="189" t="s">
        <v>1774</v>
      </c>
      <c r="AH97" s="82"/>
      <c r="AI97" s="14" t="s">
        <v>1457</v>
      </c>
      <c r="AJ97" s="14" t="s">
        <v>1594</v>
      </c>
      <c r="AK97" s="15" t="s">
        <v>60</v>
      </c>
      <c r="AL97" s="15" t="s">
        <v>60</v>
      </c>
      <c r="AM97" s="15" t="s">
        <v>60</v>
      </c>
      <c r="AN97" s="153">
        <f>INDEX('Simec OT - 020718'!$AX$1:$AX$137,MATCH(Tabela232[[#This Row],[ID obra]],'Simec OT - 020718'!$A$1:$A$137,0))</f>
        <v>0</v>
      </c>
      <c r="AO97" s="130">
        <v>7204.35</v>
      </c>
      <c r="AP97" s="156">
        <f>IF(COUNTIF(AO$2:AO97,AO97)=1,1,0)</f>
        <v>1</v>
      </c>
      <c r="AQ97" s="156">
        <f t="shared" si="1"/>
        <v>1</v>
      </c>
      <c r="AR97" s="129">
        <f>Tabela232[[#This Row],[Saldo da conta 07/2018]]/Tabela232[[#This Row],[formel2]]</f>
        <v>7204.35</v>
      </c>
      <c r="AS97" s="186">
        <f>INDEX('[1]Total repassado por obra'!$D$2:$D$127,MATCH(Tabela232[[#This Row],[ID obra]],'[1]Total repassado por obra'!$B$2:$B$127,0))</f>
        <v>421174</v>
      </c>
      <c r="AT97" s="129">
        <v>421174</v>
      </c>
      <c r="AU97" s="32" t="s">
        <v>276</v>
      </c>
      <c r="AV97" s="32" t="str">
        <f t="shared" si="2"/>
        <v>2010</v>
      </c>
      <c r="AW97" s="138">
        <v>2012</v>
      </c>
      <c r="AX97" s="24" t="s">
        <v>59</v>
      </c>
      <c r="AY97" s="24"/>
      <c r="AZ97" s="24">
        <f>Tabela232[[#This Row],[Duração final]]-Tabela232[[#This Row],[Duração prevista]]</f>
        <v>0</v>
      </c>
      <c r="BA97" s="24" t="s">
        <v>60</v>
      </c>
      <c r="BB97" s="53" t="s">
        <v>814</v>
      </c>
      <c r="BC97" s="27"/>
      <c r="BD97" s="27"/>
      <c r="BE97" s="27"/>
      <c r="BF97" s="27"/>
      <c r="BG97" s="27"/>
      <c r="BH97" s="27"/>
      <c r="BI97" s="27"/>
      <c r="BJ97" s="53" t="s">
        <v>1592</v>
      </c>
      <c r="BK97" s="21">
        <v>42653</v>
      </c>
      <c r="BL97" s="21">
        <v>42942</v>
      </c>
      <c r="BM97" s="110">
        <v>43332</v>
      </c>
      <c r="BN97" s="30">
        <v>289</v>
      </c>
      <c r="BO97" s="114">
        <v>629</v>
      </c>
      <c r="BP97" s="19">
        <v>977721.81</v>
      </c>
      <c r="BQ97" s="19">
        <v>1146917.6000000001</v>
      </c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</row>
    <row r="98" spans="1:85">
      <c r="A98" s="14" t="s">
        <v>272</v>
      </c>
      <c r="B98" s="14" t="s">
        <v>146</v>
      </c>
      <c r="C98" s="14" t="s">
        <v>60</v>
      </c>
      <c r="D98" s="14">
        <v>19778</v>
      </c>
      <c r="E98" s="14" t="s">
        <v>277</v>
      </c>
      <c r="F98" s="14"/>
      <c r="G98" s="15" t="s">
        <v>331</v>
      </c>
      <c r="H98" s="16" t="s">
        <v>64</v>
      </c>
      <c r="I98" s="18">
        <v>0</v>
      </c>
      <c r="J98" s="48" t="s">
        <v>59</v>
      </c>
      <c r="K98" s="58" t="s">
        <v>64</v>
      </c>
      <c r="L98" s="60"/>
      <c r="M98" s="17"/>
      <c r="N98" s="81">
        <v>1</v>
      </c>
      <c r="O98" s="149">
        <f>IF(Tabela232[[#This Row],[Situação2]]=Tabela232[[#This Row],[Situação]],0,1)</f>
        <v>0</v>
      </c>
      <c r="P98" s="81" t="s">
        <v>64</v>
      </c>
      <c r="Q98" s="60"/>
      <c r="R98" s="60"/>
      <c r="S98" s="61">
        <v>1</v>
      </c>
      <c r="T98" s="96">
        <f>2018-Tabela232[[#This Row],[Ano do convênio]]</f>
        <v>5</v>
      </c>
      <c r="U98" s="76" t="s">
        <v>64</v>
      </c>
      <c r="V98" s="76" t="s">
        <v>988</v>
      </c>
      <c r="W98" s="76" t="s">
        <v>59</v>
      </c>
      <c r="X98" s="82">
        <f>IF(Tabela232[[#This Row],[Situação3]]=Tabela232[[#This Row],[Situação4]],0,1)</f>
        <v>0</v>
      </c>
      <c r="Y98" s="82"/>
      <c r="Z98" s="82">
        <v>1</v>
      </c>
      <c r="AA98" s="82" t="s">
        <v>204</v>
      </c>
      <c r="AB98" s="189" t="s">
        <v>988</v>
      </c>
      <c r="AC98" s="82">
        <v>0</v>
      </c>
      <c r="AD98" s="82" t="str">
        <f>Tabela232[[#This Row],[Situação3]]</f>
        <v>Não iniciada</v>
      </c>
      <c r="AE98" s="82" t="s">
        <v>204</v>
      </c>
      <c r="AF98" s="82" t="s">
        <v>988</v>
      </c>
      <c r="AG98" s="82">
        <v>0</v>
      </c>
      <c r="AH98" s="82"/>
      <c r="AI98" s="14"/>
      <c r="AJ98" s="14" t="s">
        <v>1595</v>
      </c>
      <c r="AK98" s="15" t="s">
        <v>60</v>
      </c>
      <c r="AL98" s="15" t="s">
        <v>78</v>
      </c>
      <c r="AM98" s="15" t="s">
        <v>60</v>
      </c>
      <c r="AN98" s="153">
        <f>INDEX('Simec OT - 020718'!$AX$1:$AX$137,MATCH(Tabela232[[#This Row],[ID obra]],'Simec OT - 020718'!$A$1:$A$137,0))</f>
        <v>261014.06</v>
      </c>
      <c r="AO98" s="129">
        <v>1241440.1399999999</v>
      </c>
      <c r="AP98" s="156">
        <f>IF(COUNTIF(AO$2:AO98,AO98)=1,1,0)</f>
        <v>1</v>
      </c>
      <c r="AQ98" s="156">
        <f t="shared" si="1"/>
        <v>3</v>
      </c>
      <c r="AR98" s="129">
        <f>Tabela232[[#This Row],[Saldo da conta 07/2018]]/Tabela232[[#This Row],[formel2]]</f>
        <v>413813.37999999995</v>
      </c>
      <c r="AS98" s="129">
        <f>INDEX('[1]Total repassado por obra'!$D$2:$D$127,MATCH(Tabela232[[#This Row],[ID obra]],'[1]Total repassado por obra'!$B$2:$B$127,0))</f>
        <v>364809</v>
      </c>
      <c r="AT98" s="129">
        <v>364809</v>
      </c>
      <c r="AU98" s="32" t="s">
        <v>279</v>
      </c>
      <c r="AV98" s="32" t="str">
        <f t="shared" si="2"/>
        <v>2013</v>
      </c>
      <c r="AW98" s="24" t="s">
        <v>59</v>
      </c>
      <c r="AX98" s="24" t="s">
        <v>59</v>
      </c>
      <c r="AY98" s="24"/>
      <c r="AZ98" s="24"/>
      <c r="BA98" s="24" t="s">
        <v>59</v>
      </c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</row>
    <row r="99" spans="1:85">
      <c r="A99" s="14" t="s">
        <v>272</v>
      </c>
      <c r="B99" s="14" t="s">
        <v>146</v>
      </c>
      <c r="C99" s="14" t="s">
        <v>60</v>
      </c>
      <c r="D99" s="14">
        <v>19910</v>
      </c>
      <c r="E99" s="14" t="s">
        <v>280</v>
      </c>
      <c r="F99" s="14"/>
      <c r="G99" s="15" t="s">
        <v>331</v>
      </c>
      <c r="H99" s="16" t="s">
        <v>64</v>
      </c>
      <c r="I99" s="18">
        <v>0</v>
      </c>
      <c r="J99" s="48" t="s">
        <v>59</v>
      </c>
      <c r="K99" s="58" t="s">
        <v>64</v>
      </c>
      <c r="L99" s="60"/>
      <c r="M99" s="17"/>
      <c r="N99" s="81">
        <v>1</v>
      </c>
      <c r="O99" s="149">
        <f>IF(Tabela232[[#This Row],[Situação2]]=Tabela232[[#This Row],[Situação]],0,1)</f>
        <v>0</v>
      </c>
      <c r="P99" s="81" t="s">
        <v>64</v>
      </c>
      <c r="Q99" s="60"/>
      <c r="R99" s="60"/>
      <c r="S99" s="61">
        <v>1</v>
      </c>
      <c r="T99" s="96">
        <f>2018-Tabela232[[#This Row],[Ano do convênio]]</f>
        <v>5</v>
      </c>
      <c r="U99" s="76" t="s">
        <v>64</v>
      </c>
      <c r="V99" s="76" t="s">
        <v>988</v>
      </c>
      <c r="W99" s="76" t="s">
        <v>59</v>
      </c>
      <c r="X99" s="82">
        <f>IF(Tabela232[[#This Row],[Situação3]]=Tabela232[[#This Row],[Situação4]],0,1)</f>
        <v>0</v>
      </c>
      <c r="Y99" s="82"/>
      <c r="Z99" s="82">
        <v>1</v>
      </c>
      <c r="AA99" s="82" t="s">
        <v>204</v>
      </c>
      <c r="AB99" s="189" t="s">
        <v>988</v>
      </c>
      <c r="AC99" s="82">
        <v>0</v>
      </c>
      <c r="AD99" s="82" t="str">
        <f>Tabela232[[#This Row],[Situação3]]</f>
        <v>Não iniciada</v>
      </c>
      <c r="AE99" s="82" t="s">
        <v>204</v>
      </c>
      <c r="AF99" s="82" t="s">
        <v>988</v>
      </c>
      <c r="AG99" s="82">
        <v>0</v>
      </c>
      <c r="AH99" s="82"/>
      <c r="AI99" s="14"/>
      <c r="AJ99" s="14"/>
      <c r="AK99" s="15" t="s">
        <v>78</v>
      </c>
      <c r="AL99" s="15" t="s">
        <v>78</v>
      </c>
      <c r="AM99" s="15" t="s">
        <v>60</v>
      </c>
      <c r="AN99" s="153">
        <f>INDEX('Simec OT - 020718'!$AX$1:$AX$137,MATCH(Tabela232[[#This Row],[ID obra]],'Simec OT - 020718'!$A$1:$A$137,0))</f>
        <v>261014.06</v>
      </c>
      <c r="AO99" s="129">
        <v>1241440.1399999999</v>
      </c>
      <c r="AP99" s="156">
        <f>IF(COUNTIF(AO$2:AO99,AO99)=1,1,0)</f>
        <v>0</v>
      </c>
      <c r="AQ99" s="156">
        <f t="shared" si="1"/>
        <v>3</v>
      </c>
      <c r="AR99" s="129">
        <f>Tabela232[[#This Row],[Saldo da conta 07/2018]]/Tabela232[[#This Row],[formel2]]</f>
        <v>413813.37999999995</v>
      </c>
      <c r="AS99" s="129">
        <f>INDEX('[1]Total repassado por obra'!$D$2:$D$127,MATCH(Tabela232[[#This Row],[ID obra]],'[1]Total repassado por obra'!$B$2:$B$127,0))</f>
        <v>364809</v>
      </c>
      <c r="AT99" s="129">
        <v>364809</v>
      </c>
      <c r="AU99" s="32" t="s">
        <v>279</v>
      </c>
      <c r="AV99" s="32" t="str">
        <f t="shared" si="2"/>
        <v>2013</v>
      </c>
      <c r="AW99" s="24" t="s">
        <v>59</v>
      </c>
      <c r="AX99" s="24" t="s">
        <v>59</v>
      </c>
      <c r="AY99" s="24"/>
      <c r="AZ99" s="24"/>
      <c r="BA99" s="24" t="s">
        <v>59</v>
      </c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</row>
    <row r="100" spans="1:85">
      <c r="A100" s="14" t="s">
        <v>272</v>
      </c>
      <c r="B100" s="14" t="s">
        <v>146</v>
      </c>
      <c r="C100" s="14" t="s">
        <v>60</v>
      </c>
      <c r="D100" s="14">
        <v>19965</v>
      </c>
      <c r="E100" s="14" t="s">
        <v>281</v>
      </c>
      <c r="F100" s="14"/>
      <c r="G100" s="15" t="s">
        <v>331</v>
      </c>
      <c r="H100" s="16" t="s">
        <v>67</v>
      </c>
      <c r="I100" s="18">
        <v>6.76</v>
      </c>
      <c r="J100" s="48">
        <v>42113</v>
      </c>
      <c r="K100" s="58" t="s">
        <v>67</v>
      </c>
      <c r="L100" s="60">
        <v>8.1</v>
      </c>
      <c r="M100" s="17"/>
      <c r="N100" s="82">
        <v>0</v>
      </c>
      <c r="O100" s="82">
        <f>IF(Tabela232[[#This Row],[Situação2]]=Tabela232[[#This Row],[Situação]],0,1)</f>
        <v>0</v>
      </c>
      <c r="P100" s="81" t="s">
        <v>67</v>
      </c>
      <c r="Q100" s="60">
        <v>6.62</v>
      </c>
      <c r="R100" s="60"/>
      <c r="S100" s="84">
        <v>0</v>
      </c>
      <c r="T100" s="82"/>
      <c r="U100" s="76" t="s">
        <v>1443</v>
      </c>
      <c r="V100" s="76" t="s">
        <v>1320</v>
      </c>
      <c r="W100" s="76">
        <v>43823</v>
      </c>
      <c r="X100" s="82">
        <f>IF(Tabela232[[#This Row],[Situação3]]=Tabela232[[#This Row],[Situação4]],0,1)</f>
        <v>1</v>
      </c>
      <c r="Y100" s="82"/>
      <c r="Z100" s="82">
        <v>1</v>
      </c>
      <c r="AA100" s="82" t="s">
        <v>67</v>
      </c>
      <c r="AB100" s="76" t="s">
        <v>1320</v>
      </c>
      <c r="AC100" s="82">
        <v>0</v>
      </c>
      <c r="AD100" s="82" t="str">
        <f>Tabela232[[#This Row],[Situação3]]</f>
        <v>Paralisada</v>
      </c>
      <c r="AE100" s="82" t="s">
        <v>67</v>
      </c>
      <c r="AF100" s="82" t="s">
        <v>1775</v>
      </c>
      <c r="AG100" s="82" t="s">
        <v>1776</v>
      </c>
      <c r="AH100" s="82" t="s">
        <v>1627</v>
      </c>
      <c r="AI100" s="59" t="s">
        <v>1467</v>
      </c>
      <c r="AJ100" s="59" t="s">
        <v>1596</v>
      </c>
      <c r="AK100" s="60" t="s">
        <v>78</v>
      </c>
      <c r="AL100" s="60" t="s">
        <v>78</v>
      </c>
      <c r="AM100" s="14"/>
      <c r="AN100" s="153">
        <f>INDEX('Simec OT - 020718'!$AX$1:$AX$137,MATCH(Tabela232[[#This Row],[ID obra]],'Simec OT - 020718'!$A$1:$A$137,0))</f>
        <v>755736.57</v>
      </c>
      <c r="AO100" s="130">
        <v>943735.78</v>
      </c>
      <c r="AP100" s="156">
        <f>IF(COUNTIF(AO$2:AO100,AO100)=1,1,0)</f>
        <v>1</v>
      </c>
      <c r="AQ100" s="156">
        <f t="shared" si="1"/>
        <v>1</v>
      </c>
      <c r="AR100" s="129">
        <f>Tabela232[[#This Row],[Saldo da conta 07/2018]]/Tabela232[[#This Row],[formel2]]</f>
        <v>943735.78</v>
      </c>
      <c r="AS100" s="129">
        <f>INDEX('[1]Total repassado por obra'!$D$2:$D$127,MATCH(Tabela232[[#This Row],[ID obra]],'[1]Total repassado por obra'!$B$2:$B$127,0))</f>
        <v>936409</v>
      </c>
      <c r="AT100" s="129">
        <v>936409</v>
      </c>
      <c r="AU100" s="32" t="s">
        <v>282</v>
      </c>
      <c r="AV100" s="32" t="str">
        <f t="shared" si="2"/>
        <v>2013</v>
      </c>
      <c r="AW100" s="24">
        <v>2014</v>
      </c>
      <c r="AX100" s="24" t="s">
        <v>59</v>
      </c>
      <c r="AY100" s="24"/>
      <c r="AZ100" s="24">
        <f>Tabela232[[#This Row],[Duração final]]-Tabela232[[#This Row],[Duração prevista]]</f>
        <v>0</v>
      </c>
      <c r="BA100" s="24" t="s">
        <v>60</v>
      </c>
      <c r="BB100" s="115" t="s">
        <v>152</v>
      </c>
      <c r="BC100" s="107"/>
      <c r="BD100" s="107"/>
      <c r="BE100" s="107"/>
      <c r="BF100" s="107"/>
      <c r="BG100" s="107"/>
      <c r="BH100" s="107"/>
      <c r="BI100" s="10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</row>
    <row r="101" spans="1:85">
      <c r="A101" s="14" t="s">
        <v>272</v>
      </c>
      <c r="B101" s="14" t="s">
        <v>146</v>
      </c>
      <c r="C101" s="14" t="s">
        <v>60</v>
      </c>
      <c r="D101" s="14">
        <v>20098</v>
      </c>
      <c r="E101" s="14" t="s">
        <v>283</v>
      </c>
      <c r="F101" s="14"/>
      <c r="G101" s="15" t="s">
        <v>331</v>
      </c>
      <c r="H101" s="16" t="s">
        <v>64</v>
      </c>
      <c r="I101" s="18">
        <v>0</v>
      </c>
      <c r="J101" s="48" t="s">
        <v>59</v>
      </c>
      <c r="K101" s="58" t="s">
        <v>64</v>
      </c>
      <c r="L101" s="60"/>
      <c r="M101" s="17"/>
      <c r="N101" s="81">
        <v>1</v>
      </c>
      <c r="O101" s="149">
        <f>IF(Tabela232[[#This Row],[Situação2]]=Tabela232[[#This Row],[Situação]],0,1)</f>
        <v>0</v>
      </c>
      <c r="P101" s="81" t="s">
        <v>64</v>
      </c>
      <c r="Q101" s="60"/>
      <c r="R101" s="60"/>
      <c r="S101" s="61">
        <v>1</v>
      </c>
      <c r="T101" s="96">
        <f>2018-Tabela232[[#This Row],[Ano do convênio]]</f>
        <v>5</v>
      </c>
      <c r="U101" s="76" t="s">
        <v>64</v>
      </c>
      <c r="V101" s="76" t="s">
        <v>988</v>
      </c>
      <c r="W101" s="76" t="s">
        <v>59</v>
      </c>
      <c r="X101" s="82">
        <f>IF(Tabela232[[#This Row],[Situação3]]=Tabela232[[#This Row],[Situação4]],0,1)</f>
        <v>0</v>
      </c>
      <c r="Y101" s="82"/>
      <c r="Z101" s="82">
        <v>1</v>
      </c>
      <c r="AA101" s="82" t="s">
        <v>204</v>
      </c>
      <c r="AB101" s="189" t="s">
        <v>988</v>
      </c>
      <c r="AC101" s="82">
        <v>0</v>
      </c>
      <c r="AD101" s="82" t="str">
        <f>Tabela232[[#This Row],[Situação3]]</f>
        <v>Não iniciada</v>
      </c>
      <c r="AE101" s="82" t="s">
        <v>204</v>
      </c>
      <c r="AF101" s="82" t="s">
        <v>988</v>
      </c>
      <c r="AG101" s="82">
        <v>0</v>
      </c>
      <c r="AH101" s="82"/>
      <c r="AI101" s="14"/>
      <c r="AJ101" s="14" t="s">
        <v>1595</v>
      </c>
      <c r="AK101" s="15" t="s">
        <v>78</v>
      </c>
      <c r="AL101" s="15" t="s">
        <v>78</v>
      </c>
      <c r="AM101" s="15" t="s">
        <v>60</v>
      </c>
      <c r="AN101" s="153">
        <f>INDEX('Simec OT - 020718'!$AX$1:$AX$137,MATCH(Tabela232[[#This Row],[ID obra]],'Simec OT - 020718'!$A$1:$A$137,0))</f>
        <v>261014.06</v>
      </c>
      <c r="AO101" s="129">
        <v>1241440.1399999999</v>
      </c>
      <c r="AP101" s="156">
        <f>IF(COUNTIF(AO$2:AO101,AO101)=1,1,0)</f>
        <v>0</v>
      </c>
      <c r="AQ101" s="156">
        <f t="shared" si="1"/>
        <v>3</v>
      </c>
      <c r="AR101" s="129">
        <f>Tabela232[[#This Row],[Saldo da conta 07/2018]]/Tabela232[[#This Row],[formel2]]</f>
        <v>413813.37999999995</v>
      </c>
      <c r="AS101" s="129">
        <f>INDEX('[1]Total repassado por obra'!$D$2:$D$127,MATCH(Tabela232[[#This Row],[ID obra]],'[1]Total repassado por obra'!$B$2:$B$127,0))</f>
        <v>364809</v>
      </c>
      <c r="AT101" s="129">
        <v>364809</v>
      </c>
      <c r="AU101" s="32" t="s">
        <v>279</v>
      </c>
      <c r="AV101" s="32" t="str">
        <f t="shared" si="2"/>
        <v>2013</v>
      </c>
      <c r="AW101" s="24" t="s">
        <v>59</v>
      </c>
      <c r="AX101" s="24" t="s">
        <v>59</v>
      </c>
      <c r="AY101" s="24"/>
      <c r="AZ101" s="24"/>
      <c r="BA101" s="24" t="s">
        <v>59</v>
      </c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</row>
    <row r="102" spans="1:85">
      <c r="A102" s="14" t="s">
        <v>272</v>
      </c>
      <c r="B102" s="14" t="s">
        <v>146</v>
      </c>
      <c r="C102" s="14" t="s">
        <v>60</v>
      </c>
      <c r="D102" s="14">
        <v>24531</v>
      </c>
      <c r="E102" s="14" t="s">
        <v>268</v>
      </c>
      <c r="F102" s="14"/>
      <c r="G102" s="15" t="s">
        <v>332</v>
      </c>
      <c r="H102" s="16" t="s">
        <v>64</v>
      </c>
      <c r="I102" s="18">
        <v>0</v>
      </c>
      <c r="J102" s="48" t="s">
        <v>59</v>
      </c>
      <c r="K102" s="58" t="s">
        <v>64</v>
      </c>
      <c r="L102" s="60"/>
      <c r="M102" s="17"/>
      <c r="N102" s="81">
        <v>1</v>
      </c>
      <c r="O102" s="149">
        <f>IF(Tabela232[[#This Row],[Situação2]]=Tabela232[[#This Row],[Situação]],0,1)</f>
        <v>0</v>
      </c>
      <c r="P102" s="81" t="s">
        <v>204</v>
      </c>
      <c r="Q102" s="60"/>
      <c r="R102" s="60"/>
      <c r="S102" s="84">
        <v>0</v>
      </c>
      <c r="T102" s="82"/>
      <c r="U102" s="76" t="s">
        <v>64</v>
      </c>
      <c r="V102" s="76" t="s">
        <v>988</v>
      </c>
      <c r="W102" s="76" t="s">
        <v>59</v>
      </c>
      <c r="X102" s="82">
        <f>IF(Tabela232[[#This Row],[Situação3]]=Tabela232[[#This Row],[Situação4]],0,1)</f>
        <v>1</v>
      </c>
      <c r="Y102" s="82"/>
      <c r="Z102" s="82">
        <v>1</v>
      </c>
      <c r="AA102" s="82" t="s">
        <v>204</v>
      </c>
      <c r="AB102" s="189" t="s">
        <v>988</v>
      </c>
      <c r="AC102" s="82">
        <v>0</v>
      </c>
      <c r="AD102" s="82" t="str">
        <f>Tabela232[[#This Row],[Situação3]]</f>
        <v>Cancelada</v>
      </c>
      <c r="AE102" s="82" t="s">
        <v>204</v>
      </c>
      <c r="AF102" s="82" t="s">
        <v>988</v>
      </c>
      <c r="AG102" s="82">
        <v>0</v>
      </c>
      <c r="AH102" s="82"/>
      <c r="AI102" s="14"/>
      <c r="AJ102" s="14" t="s">
        <v>1598</v>
      </c>
      <c r="AK102" s="15" t="s">
        <v>78</v>
      </c>
      <c r="AL102" s="15" t="s">
        <v>60</v>
      </c>
      <c r="AM102" s="15" t="s">
        <v>60</v>
      </c>
      <c r="AN102" s="153">
        <f>INDEX('Simec OT - 020718'!$AX$1:$AX$137,MATCH(Tabela232[[#This Row],[ID obra]],'Simec OT - 020718'!$A$1:$A$137,0))</f>
        <v>135996.32999999999</v>
      </c>
      <c r="AO102" s="130">
        <v>4173081.65</v>
      </c>
      <c r="AP102" s="156">
        <f>IF(COUNTIF(AO$2:AO102,AO102)=1,1,0)</f>
        <v>1</v>
      </c>
      <c r="AQ102" s="156">
        <f t="shared" si="1"/>
        <v>6</v>
      </c>
      <c r="AR102" s="129">
        <f>Tabela232[[#This Row],[Saldo da conta 07/2018]]/Tabela232[[#This Row],[formel2]]</f>
        <v>695513.60833333328</v>
      </c>
      <c r="AS102" s="129">
        <f>INDEX('[1]Total repassado por obra'!$D$2:$D$127,MATCH(Tabela232[[#This Row],[ID obra]],'[1]Total repassado por obra'!$B$2:$B$127,0))</f>
        <v>185529</v>
      </c>
      <c r="AT102" s="129">
        <v>185529</v>
      </c>
      <c r="AU102" s="32" t="s">
        <v>284</v>
      </c>
      <c r="AV102" s="32" t="str">
        <f t="shared" si="2"/>
        <v>2014</v>
      </c>
      <c r="AW102" s="24" t="s">
        <v>59</v>
      </c>
      <c r="AX102" s="24" t="s">
        <v>59</v>
      </c>
      <c r="AY102" s="24"/>
      <c r="AZ102" s="24"/>
      <c r="BA102" s="24" t="s">
        <v>59</v>
      </c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</row>
    <row r="103" spans="1:85">
      <c r="A103" s="14" t="s">
        <v>272</v>
      </c>
      <c r="B103" s="14" t="s">
        <v>146</v>
      </c>
      <c r="C103" s="14" t="s">
        <v>60</v>
      </c>
      <c r="D103" s="14">
        <v>24532</v>
      </c>
      <c r="E103" s="14" t="s">
        <v>285</v>
      </c>
      <c r="F103" s="14"/>
      <c r="G103" s="15" t="s">
        <v>332</v>
      </c>
      <c r="H103" s="16" t="s">
        <v>67</v>
      </c>
      <c r="I103" s="18">
        <v>19.440000000000001</v>
      </c>
      <c r="J103" s="48">
        <v>42453</v>
      </c>
      <c r="K103" s="58" t="s">
        <v>67</v>
      </c>
      <c r="L103" s="60">
        <v>19.440000000000001</v>
      </c>
      <c r="M103" s="17"/>
      <c r="N103" s="82">
        <v>0</v>
      </c>
      <c r="O103" s="82">
        <f>IF(Tabela232[[#This Row],[Situação2]]=Tabela232[[#This Row],[Situação]],0,1)</f>
        <v>0</v>
      </c>
      <c r="P103" s="81" t="s">
        <v>67</v>
      </c>
      <c r="Q103" s="60">
        <v>6.62</v>
      </c>
      <c r="R103" s="60"/>
      <c r="S103" s="84">
        <v>0</v>
      </c>
      <c r="T103" s="82"/>
      <c r="U103" s="76" t="s">
        <v>67</v>
      </c>
      <c r="V103" s="76" t="s">
        <v>1328</v>
      </c>
      <c r="W103" s="76">
        <v>42453</v>
      </c>
      <c r="X103" s="82">
        <f>IF(Tabela232[[#This Row],[Situação3]]=Tabela232[[#This Row],[Situação4]],0,1)</f>
        <v>0</v>
      </c>
      <c r="Y103" s="82"/>
      <c r="Z103" s="82">
        <v>1</v>
      </c>
      <c r="AA103" s="82" t="s">
        <v>67</v>
      </c>
      <c r="AB103" s="189" t="s">
        <v>1328</v>
      </c>
      <c r="AC103" s="189">
        <v>42453</v>
      </c>
      <c r="AD103" s="189" t="str">
        <f>Tabela232[[#This Row],[Situação3]]</f>
        <v>Paralisada</v>
      </c>
      <c r="AE103" s="82" t="s">
        <v>67</v>
      </c>
      <c r="AF103" s="189" t="s">
        <v>1777</v>
      </c>
      <c r="AG103" s="189" t="s">
        <v>1776</v>
      </c>
      <c r="AH103" s="82"/>
      <c r="AI103" s="59" t="s">
        <v>1467</v>
      </c>
      <c r="AJ103" s="59" t="s">
        <v>1599</v>
      </c>
      <c r="AK103" s="60" t="s">
        <v>60</v>
      </c>
      <c r="AL103" s="60" t="s">
        <v>78</v>
      </c>
      <c r="AM103" s="14"/>
      <c r="AN103" s="153">
        <f>INDEX('Simec OT - 020718'!$AX$1:$AX$137,MATCH(Tabela232[[#This Row],[ID obra]],'Simec OT - 020718'!$A$1:$A$137,0))</f>
        <v>769930.21</v>
      </c>
      <c r="AO103" s="130">
        <v>4173081.65</v>
      </c>
      <c r="AP103" s="156">
        <f>IF(COUNTIF(AO$2:AO103,AO103)=1,1,0)</f>
        <v>0</v>
      </c>
      <c r="AQ103" s="156">
        <f t="shared" si="1"/>
        <v>6</v>
      </c>
      <c r="AR103" s="129">
        <f>Tabela232[[#This Row],[Saldo da conta 07/2018]]/Tabela232[[#This Row],[formel2]]</f>
        <v>695513.60833333328</v>
      </c>
      <c r="AS103" s="129">
        <f>INDEX('[1]Total repassado por obra'!$D$2:$D$127,MATCH(Tabela232[[#This Row],[ID obra]],'[1]Total repassado por obra'!$B$2:$B$127,0))</f>
        <v>960924</v>
      </c>
      <c r="AT103" s="129">
        <v>960924</v>
      </c>
      <c r="AU103" s="32" t="s">
        <v>284</v>
      </c>
      <c r="AV103" s="32" t="str">
        <f t="shared" si="2"/>
        <v>2014</v>
      </c>
      <c r="AW103" s="24">
        <v>2014</v>
      </c>
      <c r="AX103" s="24" t="s">
        <v>59</v>
      </c>
      <c r="AY103" s="24"/>
      <c r="AZ103" s="24">
        <f>Tabela232[[#This Row],[Duração final]]-Tabela232[[#This Row],[Duração prevista]]</f>
        <v>0</v>
      </c>
      <c r="BA103" s="24" t="s">
        <v>60</v>
      </c>
      <c r="BB103" s="115" t="s">
        <v>152</v>
      </c>
      <c r="BC103" s="107"/>
      <c r="BD103" s="107"/>
      <c r="BE103" s="107"/>
      <c r="BF103" s="107"/>
      <c r="BG103" s="107"/>
      <c r="BH103" s="107"/>
      <c r="BI103" s="10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</row>
    <row r="104" spans="1:85">
      <c r="A104" s="14" t="s">
        <v>272</v>
      </c>
      <c r="B104" s="14" t="s">
        <v>146</v>
      </c>
      <c r="C104" s="14" t="s">
        <v>60</v>
      </c>
      <c r="D104" s="14">
        <v>24533</v>
      </c>
      <c r="E104" s="14" t="s">
        <v>286</v>
      </c>
      <c r="F104" s="14"/>
      <c r="G104" s="15" t="s">
        <v>332</v>
      </c>
      <c r="H104" s="16" t="s">
        <v>64</v>
      </c>
      <c r="I104" s="18">
        <v>0</v>
      </c>
      <c r="J104" s="48" t="s">
        <v>59</v>
      </c>
      <c r="K104" s="58" t="s">
        <v>64</v>
      </c>
      <c r="L104" s="60"/>
      <c r="M104" s="17"/>
      <c r="N104" s="81">
        <v>1</v>
      </c>
      <c r="O104" s="149">
        <f>IF(Tabela232[[#This Row],[Situação2]]=Tabela232[[#This Row],[Situação]],0,1)</f>
        <v>0</v>
      </c>
      <c r="P104" s="81" t="s">
        <v>204</v>
      </c>
      <c r="Q104" s="60"/>
      <c r="R104" s="60"/>
      <c r="S104" s="84">
        <v>0</v>
      </c>
      <c r="T104" s="82"/>
      <c r="U104" s="76" t="s">
        <v>64</v>
      </c>
      <c r="V104" s="76" t="s">
        <v>988</v>
      </c>
      <c r="W104" s="76" t="s">
        <v>59</v>
      </c>
      <c r="X104" s="82">
        <f>IF(Tabela232[[#This Row],[Situação3]]=Tabela232[[#This Row],[Situação4]],0,1)</f>
        <v>1</v>
      </c>
      <c r="Y104" s="82"/>
      <c r="Z104" s="82">
        <v>1</v>
      </c>
      <c r="AA104" s="82" t="s">
        <v>204</v>
      </c>
      <c r="AB104" s="189" t="s">
        <v>988</v>
      </c>
      <c r="AC104" s="82">
        <v>0</v>
      </c>
      <c r="AD104" s="82" t="str">
        <f>Tabela232[[#This Row],[Situação3]]</f>
        <v>Cancelada</v>
      </c>
      <c r="AE104" s="82" t="s">
        <v>204</v>
      </c>
      <c r="AF104" s="82" t="s">
        <v>988</v>
      </c>
      <c r="AG104" s="82">
        <v>0</v>
      </c>
      <c r="AH104" s="82"/>
      <c r="AI104" s="14"/>
      <c r="AJ104" s="14" t="s">
        <v>278</v>
      </c>
      <c r="AK104" s="15" t="s">
        <v>78</v>
      </c>
      <c r="AL104" s="15" t="s">
        <v>60</v>
      </c>
      <c r="AM104" s="15" t="s">
        <v>60</v>
      </c>
      <c r="AN104" s="153">
        <f>INDEX('Simec OT - 020718'!$AX$1:$AX$137,MATCH(Tabela232[[#This Row],[ID obra]],'Simec OT - 020718'!$A$1:$A$137,0))</f>
        <v>135740.14000000001</v>
      </c>
      <c r="AO104" s="130">
        <v>4173081.65</v>
      </c>
      <c r="AP104" s="156">
        <f>IF(COUNTIF(AO$2:AO104,AO104)=1,1,0)</f>
        <v>0</v>
      </c>
      <c r="AQ104" s="156">
        <f t="shared" si="1"/>
        <v>6</v>
      </c>
      <c r="AR104" s="129">
        <f>Tabela232[[#This Row],[Saldo da conta 07/2018]]/Tabela232[[#This Row],[formel2]]</f>
        <v>695513.60833333328</v>
      </c>
      <c r="AS104" s="129">
        <f>INDEX('[1]Total repassado por obra'!$D$2:$D$127,MATCH(Tabela232[[#This Row],[ID obra]],'[1]Total repassado por obra'!$B$2:$B$127,0))</f>
        <v>185180</v>
      </c>
      <c r="AT104" s="129">
        <v>185180</v>
      </c>
      <c r="AU104" s="32" t="s">
        <v>284</v>
      </c>
      <c r="AV104" s="32" t="str">
        <f t="shared" si="2"/>
        <v>2014</v>
      </c>
      <c r="AW104" s="24" t="s">
        <v>59</v>
      </c>
      <c r="AX104" s="24" t="s">
        <v>59</v>
      </c>
      <c r="AY104" s="24"/>
      <c r="AZ104" s="24"/>
      <c r="BA104" s="24" t="s">
        <v>59</v>
      </c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</row>
    <row r="105" spans="1:85">
      <c r="A105" s="14" t="s">
        <v>272</v>
      </c>
      <c r="B105" s="14" t="s">
        <v>146</v>
      </c>
      <c r="C105" s="14" t="s">
        <v>60</v>
      </c>
      <c r="D105" s="14">
        <v>24534</v>
      </c>
      <c r="E105" s="14" t="s">
        <v>287</v>
      </c>
      <c r="F105" s="14"/>
      <c r="G105" s="15" t="s">
        <v>332</v>
      </c>
      <c r="H105" s="16" t="s">
        <v>67</v>
      </c>
      <c r="I105" s="18">
        <v>1.67</v>
      </c>
      <c r="J105" s="48">
        <v>42009</v>
      </c>
      <c r="K105" s="58" t="s">
        <v>67</v>
      </c>
      <c r="L105" s="60">
        <v>1.67</v>
      </c>
      <c r="M105" s="17"/>
      <c r="N105" s="82">
        <v>0</v>
      </c>
      <c r="O105" s="82">
        <f>IF(Tabela232[[#This Row],[Situação2]]=Tabela232[[#This Row],[Situação]],0,1)</f>
        <v>0</v>
      </c>
      <c r="P105" s="81" t="s">
        <v>67</v>
      </c>
      <c r="Q105" s="60">
        <v>6.62</v>
      </c>
      <c r="R105" s="60"/>
      <c r="S105" s="84">
        <v>0</v>
      </c>
      <c r="T105" s="82"/>
      <c r="U105" s="76" t="s">
        <v>67</v>
      </c>
      <c r="V105" s="76" t="s">
        <v>1334</v>
      </c>
      <c r="W105" s="76">
        <v>43826</v>
      </c>
      <c r="X105" s="82">
        <f>IF(Tabela232[[#This Row],[Situação3]]=Tabela232[[#This Row],[Situação4]],0,1)</f>
        <v>0</v>
      </c>
      <c r="Y105" s="82"/>
      <c r="Z105" s="82">
        <v>1</v>
      </c>
      <c r="AA105" s="82" t="s">
        <v>67</v>
      </c>
      <c r="AB105" s="76" t="s">
        <v>1334</v>
      </c>
      <c r="AC105" s="82">
        <v>0</v>
      </c>
      <c r="AD105" s="82" t="str">
        <f>Tabela232[[#This Row],[Situação3]]</f>
        <v>Paralisada</v>
      </c>
      <c r="AE105" s="82" t="s">
        <v>67</v>
      </c>
      <c r="AF105" s="82" t="s">
        <v>1778</v>
      </c>
      <c r="AG105" s="82" t="s">
        <v>1776</v>
      </c>
      <c r="AH105" s="82"/>
      <c r="AI105" s="59" t="s">
        <v>1467</v>
      </c>
      <c r="AJ105" s="59" t="s">
        <v>1468</v>
      </c>
      <c r="AK105" s="15" t="s">
        <v>78</v>
      </c>
      <c r="AL105" s="60" t="s">
        <v>78</v>
      </c>
      <c r="AM105" s="15" t="s">
        <v>60</v>
      </c>
      <c r="AN105" s="153">
        <f>INDEX('Simec OT - 020718'!$AX$1:$AX$137,MATCH(Tabela232[[#This Row],[ID obra]],'Simec OT - 020718'!$A$1:$A$137,0))</f>
        <v>765493.72</v>
      </c>
      <c r="AO105" s="130">
        <v>4173081.65</v>
      </c>
      <c r="AP105" s="156">
        <f>IF(COUNTIF(AO$2:AO105,AO105)=1,1,0)</f>
        <v>0</v>
      </c>
      <c r="AQ105" s="156">
        <f t="shared" si="1"/>
        <v>6</v>
      </c>
      <c r="AR105" s="129">
        <f>Tabela232[[#This Row],[Saldo da conta 07/2018]]/Tabela232[[#This Row],[formel2]]</f>
        <v>695513.60833333328</v>
      </c>
      <c r="AS105" s="129">
        <f>INDEX('[1]Total repassado por obra'!$D$2:$D$127,MATCH(Tabela232[[#This Row],[ID obra]],'[1]Total repassado por obra'!$B$2:$B$127,0))</f>
        <v>953326</v>
      </c>
      <c r="AT105" s="129">
        <v>953326</v>
      </c>
      <c r="AU105" s="32" t="s">
        <v>284</v>
      </c>
      <c r="AV105" s="32" t="str">
        <f t="shared" si="2"/>
        <v>2014</v>
      </c>
      <c r="AW105" s="24">
        <v>2014</v>
      </c>
      <c r="AX105" s="24" t="s">
        <v>59</v>
      </c>
      <c r="AY105" s="24"/>
      <c r="AZ105" s="24">
        <f>Tabela232[[#This Row],[Duração final]]-Tabela232[[#This Row],[Duração prevista]]</f>
        <v>0</v>
      </c>
      <c r="BA105" s="24" t="s">
        <v>60</v>
      </c>
      <c r="BB105" s="113" t="s">
        <v>152</v>
      </c>
      <c r="BC105" s="107"/>
      <c r="BD105" s="107"/>
      <c r="BE105" s="107"/>
      <c r="BF105" s="107"/>
      <c r="BG105" s="107"/>
      <c r="BH105" s="107"/>
      <c r="BI105" s="10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</row>
    <row r="106" spans="1:85">
      <c r="A106" s="14" t="s">
        <v>272</v>
      </c>
      <c r="B106" s="14" t="s">
        <v>146</v>
      </c>
      <c r="C106" s="14" t="s">
        <v>60</v>
      </c>
      <c r="D106" s="14">
        <v>24535</v>
      </c>
      <c r="E106" s="14" t="s">
        <v>288</v>
      </c>
      <c r="F106" s="14"/>
      <c r="G106" s="15" t="s">
        <v>332</v>
      </c>
      <c r="H106" s="16" t="s">
        <v>67</v>
      </c>
      <c r="I106" s="18">
        <v>19.3</v>
      </c>
      <c r="J106" s="48">
        <v>42453</v>
      </c>
      <c r="K106" s="58" t="s">
        <v>67</v>
      </c>
      <c r="L106" s="60">
        <v>19.3</v>
      </c>
      <c r="M106" s="17"/>
      <c r="N106" s="82">
        <v>0</v>
      </c>
      <c r="O106" s="82">
        <f>IF(Tabela232[[#This Row],[Situação2]]=Tabela232[[#This Row],[Situação]],0,1)</f>
        <v>0</v>
      </c>
      <c r="P106" s="81" t="s">
        <v>67</v>
      </c>
      <c r="Q106" s="60">
        <v>6.62</v>
      </c>
      <c r="R106" s="60"/>
      <c r="S106" s="84">
        <v>0</v>
      </c>
      <c r="T106" s="82"/>
      <c r="U106" s="76" t="s">
        <v>67</v>
      </c>
      <c r="V106" s="76" t="s">
        <v>1272</v>
      </c>
      <c r="W106" s="76">
        <v>43273</v>
      </c>
      <c r="X106" s="82">
        <f>IF(Tabela232[[#This Row],[Situação3]]=Tabela232[[#This Row],[Situação4]],0,1)</f>
        <v>0</v>
      </c>
      <c r="Y106" s="82"/>
      <c r="Z106" s="82">
        <v>1</v>
      </c>
      <c r="AA106" s="82" t="s">
        <v>67</v>
      </c>
      <c r="AB106" s="76" t="s">
        <v>1272</v>
      </c>
      <c r="AC106" s="82">
        <v>0</v>
      </c>
      <c r="AD106" s="82" t="str">
        <f>Tabela232[[#This Row],[Situação3]]</f>
        <v>Paralisada</v>
      </c>
      <c r="AE106" s="82" t="s">
        <v>67</v>
      </c>
      <c r="AF106" s="190">
        <v>10.029999999999999</v>
      </c>
      <c r="AG106" s="82" t="s">
        <v>1779</v>
      </c>
      <c r="AH106" s="82"/>
      <c r="AI106" s="59" t="s">
        <v>1467</v>
      </c>
      <c r="AJ106" s="59" t="s">
        <v>1468</v>
      </c>
      <c r="AK106" s="15" t="s">
        <v>78</v>
      </c>
      <c r="AL106" s="60" t="s">
        <v>78</v>
      </c>
      <c r="AM106" s="15" t="s">
        <v>60</v>
      </c>
      <c r="AN106" s="153">
        <f>INDEX('Simec OT - 020718'!$AX$1:$AX$137,MATCH(Tabela232[[#This Row],[ID obra]],'Simec OT - 020718'!$A$1:$A$137,0))</f>
        <v>765780.1</v>
      </c>
      <c r="AO106" s="130">
        <v>4173081.65</v>
      </c>
      <c r="AP106" s="156">
        <f>IF(COUNTIF(AO$2:AO106,AO106)=1,1,0)</f>
        <v>0</v>
      </c>
      <c r="AQ106" s="156">
        <f t="shared" si="1"/>
        <v>6</v>
      </c>
      <c r="AR106" s="129">
        <f>Tabela232[[#This Row],[Saldo da conta 07/2018]]/Tabela232[[#This Row],[formel2]]</f>
        <v>695513.60833333328</v>
      </c>
      <c r="AS106" s="129">
        <f>INDEX('[1]Total repassado por obra'!$D$2:$D$127,MATCH(Tabela232[[#This Row],[ID obra]],'[1]Total repassado por obra'!$B$2:$B$127,0))</f>
        <v>958470</v>
      </c>
      <c r="AT106" s="129">
        <v>958470</v>
      </c>
      <c r="AU106" s="32" t="s">
        <v>284</v>
      </c>
      <c r="AV106" s="32" t="str">
        <f t="shared" si="2"/>
        <v>2014</v>
      </c>
      <c r="AW106" s="24">
        <v>2014</v>
      </c>
      <c r="AX106" s="24" t="s">
        <v>59</v>
      </c>
      <c r="AY106" s="24"/>
      <c r="AZ106" s="24">
        <f>Tabela232[[#This Row],[Duração final]]-Tabela232[[#This Row],[Duração prevista]]</f>
        <v>0</v>
      </c>
      <c r="BA106" s="24" t="s">
        <v>60</v>
      </c>
      <c r="BB106" s="53" t="s">
        <v>152</v>
      </c>
      <c r="BC106" s="21">
        <v>41564</v>
      </c>
      <c r="BD106" s="21">
        <v>41924</v>
      </c>
      <c r="BE106" s="21">
        <v>41924</v>
      </c>
      <c r="BF106" s="30">
        <v>360</v>
      </c>
      <c r="BG106" s="30">
        <v>360</v>
      </c>
      <c r="BH106" s="19">
        <v>1533006.08</v>
      </c>
      <c r="BI106" s="19">
        <v>1533006.08</v>
      </c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</row>
    <row r="107" spans="1:85">
      <c r="A107" s="14" t="s">
        <v>272</v>
      </c>
      <c r="B107" s="14" t="s">
        <v>146</v>
      </c>
      <c r="C107" s="14" t="s">
        <v>60</v>
      </c>
      <c r="D107" s="14">
        <v>24536</v>
      </c>
      <c r="E107" s="14" t="s">
        <v>289</v>
      </c>
      <c r="F107" s="14"/>
      <c r="G107" s="15" t="s">
        <v>332</v>
      </c>
      <c r="H107" s="16" t="s">
        <v>67</v>
      </c>
      <c r="I107" s="18">
        <v>21.29</v>
      </c>
      <c r="J107" s="48">
        <v>42090</v>
      </c>
      <c r="K107" s="58" t="s">
        <v>67</v>
      </c>
      <c r="L107" s="60">
        <v>21.29</v>
      </c>
      <c r="M107" s="17"/>
      <c r="N107" s="82">
        <v>0</v>
      </c>
      <c r="O107" s="82">
        <f>IF(Tabela232[[#This Row],[Situação2]]=Tabela232[[#This Row],[Situação]],0,1)</f>
        <v>0</v>
      </c>
      <c r="P107" s="81" t="s">
        <v>67</v>
      </c>
      <c r="Q107" s="60">
        <v>6.62</v>
      </c>
      <c r="R107" s="60"/>
      <c r="S107" s="84">
        <v>0</v>
      </c>
      <c r="T107" s="82"/>
      <c r="U107" s="76" t="s">
        <v>67</v>
      </c>
      <c r="V107" s="76" t="s">
        <v>1342</v>
      </c>
      <c r="W107" s="76">
        <v>43640</v>
      </c>
      <c r="X107" s="82">
        <f>IF(Tabela232[[#This Row],[Situação3]]=Tabela232[[#This Row],[Situação4]],0,1)</f>
        <v>0</v>
      </c>
      <c r="Y107" s="82"/>
      <c r="Z107" s="82">
        <v>1</v>
      </c>
      <c r="AA107" s="82" t="s">
        <v>67</v>
      </c>
      <c r="AB107" s="76" t="s">
        <v>1342</v>
      </c>
      <c r="AC107" s="82">
        <v>0</v>
      </c>
      <c r="AD107" s="82" t="str">
        <f>Tabela232[[#This Row],[Situação3]]</f>
        <v>Paralisada</v>
      </c>
      <c r="AE107" s="82" t="s">
        <v>67</v>
      </c>
      <c r="AF107" s="82" t="s">
        <v>1780</v>
      </c>
      <c r="AG107" s="82" t="s">
        <v>1779</v>
      </c>
      <c r="AH107" s="82"/>
      <c r="AI107" s="59" t="s">
        <v>1467</v>
      </c>
      <c r="AJ107" s="59" t="s">
        <v>1468</v>
      </c>
      <c r="AK107" s="15" t="s">
        <v>78</v>
      </c>
      <c r="AL107" s="60" t="s">
        <v>78</v>
      </c>
      <c r="AM107" s="15" t="s">
        <v>60</v>
      </c>
      <c r="AN107" s="153">
        <f>INDEX('Simec OT - 020718'!$AX$1:$AX$137,MATCH(Tabela232[[#This Row],[ID obra]],'Simec OT - 020718'!$A$1:$A$137,0))</f>
        <v>766345.25</v>
      </c>
      <c r="AO107" s="130">
        <v>4173081.65</v>
      </c>
      <c r="AP107" s="156">
        <f>IF(COUNTIF(AO$2:AO107,AO107)=1,1,0)</f>
        <v>0</v>
      </c>
      <c r="AQ107" s="156">
        <f t="shared" si="1"/>
        <v>6</v>
      </c>
      <c r="AR107" s="129">
        <f>Tabela232[[#This Row],[Saldo da conta 07/2018]]/Tabela232[[#This Row],[formel2]]</f>
        <v>695513.60833333328</v>
      </c>
      <c r="AS107" s="129">
        <f>INDEX('[1]Total repassado por obra'!$D$2:$D$127,MATCH(Tabela232[[#This Row],[ID obra]],'[1]Total repassado por obra'!$B$2:$B$127,0))</f>
        <v>956434</v>
      </c>
      <c r="AT107" s="129">
        <v>956434</v>
      </c>
      <c r="AU107" s="32" t="s">
        <v>284</v>
      </c>
      <c r="AV107" s="32" t="str">
        <f t="shared" si="2"/>
        <v>2014</v>
      </c>
      <c r="AW107" s="24">
        <v>2014</v>
      </c>
      <c r="AX107" s="24" t="s">
        <v>59</v>
      </c>
      <c r="AY107" s="24"/>
      <c r="AZ107" s="24">
        <f>Tabela232[[#This Row],[Duração final]]-Tabela232[[#This Row],[Duração prevista]]</f>
        <v>0</v>
      </c>
      <c r="BA107" s="24" t="s">
        <v>60</v>
      </c>
      <c r="BB107" s="53" t="s">
        <v>152</v>
      </c>
      <c r="BC107" s="21">
        <v>41564</v>
      </c>
      <c r="BD107" s="21">
        <v>41929</v>
      </c>
      <c r="BE107" s="21">
        <v>41929</v>
      </c>
      <c r="BF107" s="30">
        <v>365</v>
      </c>
      <c r="BG107" s="30">
        <v>365</v>
      </c>
      <c r="BH107" s="19">
        <v>1531784.78</v>
      </c>
      <c r="BI107" s="19">
        <v>1531784.78</v>
      </c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</row>
    <row r="108" spans="1:85">
      <c r="A108" s="14" t="s">
        <v>292</v>
      </c>
      <c r="B108" s="14" t="s">
        <v>86</v>
      </c>
      <c r="C108" s="14" t="s">
        <v>60</v>
      </c>
      <c r="D108" s="14">
        <v>25206</v>
      </c>
      <c r="E108" s="14" t="s">
        <v>293</v>
      </c>
      <c r="F108" s="14"/>
      <c r="G108" s="15" t="s">
        <v>331</v>
      </c>
      <c r="H108" s="16" t="s">
        <v>64</v>
      </c>
      <c r="I108" s="18">
        <v>0</v>
      </c>
      <c r="J108" s="48" t="s">
        <v>59</v>
      </c>
      <c r="K108" s="58" t="s">
        <v>67</v>
      </c>
      <c r="L108" s="60"/>
      <c r="M108" s="17"/>
      <c r="N108" s="82">
        <v>0</v>
      </c>
      <c r="O108" s="82">
        <f>IF(Tabela232[[#This Row],[Situação2]]=Tabela232[[#This Row],[Situação]],0,1)</f>
        <v>1</v>
      </c>
      <c r="P108" s="81" t="s">
        <v>67</v>
      </c>
      <c r="Q108" s="60">
        <v>27.78</v>
      </c>
      <c r="R108" s="60"/>
      <c r="S108" s="84">
        <v>0</v>
      </c>
      <c r="T108" s="82"/>
      <c r="U108" s="76" t="s">
        <v>64</v>
      </c>
      <c r="V108" s="76" t="s">
        <v>988</v>
      </c>
      <c r="W108" s="76" t="s">
        <v>59</v>
      </c>
      <c r="X108" s="82">
        <f>IF(Tabela232[[#This Row],[Situação3]]=Tabela232[[#This Row],[Situação4]],0,1)</f>
        <v>1</v>
      </c>
      <c r="Y108" s="82"/>
      <c r="Z108" s="82">
        <v>1</v>
      </c>
      <c r="AA108" s="82" t="s">
        <v>204</v>
      </c>
      <c r="AB108" s="82" t="s">
        <v>988</v>
      </c>
      <c r="AC108" s="82">
        <v>0</v>
      </c>
      <c r="AD108" s="82" t="str">
        <f>Tabela232[[#This Row],[Situação3]]</f>
        <v>Paralisada</v>
      </c>
      <c r="AE108" s="82" t="s">
        <v>67</v>
      </c>
      <c r="AF108" s="82" t="s">
        <v>1781</v>
      </c>
      <c r="AG108" s="189">
        <v>43865</v>
      </c>
      <c r="AH108" s="82"/>
      <c r="AI108" s="59" t="s">
        <v>1465</v>
      </c>
      <c r="AJ108" s="59" t="s">
        <v>1505</v>
      </c>
      <c r="AK108" s="60" t="s">
        <v>78</v>
      </c>
      <c r="AL108" s="60" t="s">
        <v>60</v>
      </c>
      <c r="AM108" s="14"/>
      <c r="AN108" s="153">
        <f>INDEX('Simec OT - 020718'!$AX$1:$AX$137,MATCH(Tabela232[[#This Row],[ID obra]],'Simec OT - 020718'!$A$1:$A$137,0))</f>
        <v>288886.01</v>
      </c>
      <c r="AO108" s="130">
        <v>25534.39</v>
      </c>
      <c r="AP108" s="156">
        <f>IF(COUNTIF(AO$2:AO108,AO108)=1,1,0)</f>
        <v>1</v>
      </c>
      <c r="AQ108" s="156">
        <f t="shared" si="1"/>
        <v>1</v>
      </c>
      <c r="AR108" s="129">
        <f>Tabela232[[#This Row],[Saldo da conta 07/2018]]/Tabela232[[#This Row],[formel2]]</f>
        <v>25534.39</v>
      </c>
      <c r="AS108" s="129">
        <f>INDEX('[1]Total repassado por obra'!$D$2:$D$127,MATCH(Tabela232[[#This Row],[ID obra]],'[1]Total repassado por obra'!$B$2:$B$127,0))</f>
        <v>392883</v>
      </c>
      <c r="AT108" s="129">
        <v>392883</v>
      </c>
      <c r="AU108" s="32" t="s">
        <v>294</v>
      </c>
      <c r="AV108" s="32" t="str">
        <f t="shared" si="2"/>
        <v>2013</v>
      </c>
      <c r="AW108" s="24">
        <v>2016</v>
      </c>
      <c r="AX108" s="24" t="s">
        <v>59</v>
      </c>
      <c r="AY108" s="24"/>
      <c r="AZ108" s="24">
        <f>Tabela232[[#This Row],[Duração final]]-Tabela232[[#This Row],[Duração prevista]]</f>
        <v>0</v>
      </c>
      <c r="BA108" s="24" t="s">
        <v>60</v>
      </c>
      <c r="BB108" s="53" t="s">
        <v>862</v>
      </c>
      <c r="BC108" s="21">
        <v>42430</v>
      </c>
      <c r="BD108" s="21"/>
      <c r="BE108" s="21"/>
      <c r="BF108" s="30"/>
      <c r="BG108" s="30"/>
      <c r="BH108" s="19">
        <v>1869466.11</v>
      </c>
      <c r="BI108" s="19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</row>
    <row r="109" spans="1:85">
      <c r="A109" s="14" t="s">
        <v>292</v>
      </c>
      <c r="B109" s="14" t="s">
        <v>86</v>
      </c>
      <c r="C109" s="14" t="s">
        <v>60</v>
      </c>
      <c r="D109" s="14">
        <v>1014175</v>
      </c>
      <c r="E109" s="14" t="s">
        <v>295</v>
      </c>
      <c r="F109" s="14"/>
      <c r="G109" s="15" t="s">
        <v>332</v>
      </c>
      <c r="H109" s="16" t="s">
        <v>1443</v>
      </c>
      <c r="I109" s="18">
        <v>27.8</v>
      </c>
      <c r="J109" s="100">
        <v>42842</v>
      </c>
      <c r="K109" s="58" t="s">
        <v>67</v>
      </c>
      <c r="L109" s="60"/>
      <c r="M109" s="17"/>
      <c r="N109" s="82">
        <v>0</v>
      </c>
      <c r="O109" s="82">
        <f>IF(Tabela232[[#This Row],[Situação2]]=Tabela232[[#This Row],[Situação]],0,1)</f>
        <v>1</v>
      </c>
      <c r="P109" s="81" t="s">
        <v>1443</v>
      </c>
      <c r="Q109" s="60">
        <v>38.590000000000003</v>
      </c>
      <c r="R109" s="60"/>
      <c r="S109" s="84">
        <v>0</v>
      </c>
      <c r="T109" s="82"/>
      <c r="U109" s="76" t="s">
        <v>1443</v>
      </c>
      <c r="V109" s="76" t="s">
        <v>1354</v>
      </c>
      <c r="W109" s="76">
        <v>43353</v>
      </c>
      <c r="X109" s="82">
        <f>IF(Tabela232[[#This Row],[Situação3]]=Tabela232[[#This Row],[Situação4]],0,1)</f>
        <v>0</v>
      </c>
      <c r="Y109" s="82"/>
      <c r="Z109" s="82">
        <v>0</v>
      </c>
      <c r="AA109" s="82" t="s">
        <v>1443</v>
      </c>
      <c r="AB109" s="82" t="s">
        <v>1709</v>
      </c>
      <c r="AC109" s="189">
        <v>43409</v>
      </c>
      <c r="AD109" s="189" t="str">
        <f>Tabela232[[#This Row],[Situação3]]</f>
        <v>Em andamento</v>
      </c>
      <c r="AE109" s="82" t="s">
        <v>1443</v>
      </c>
      <c r="AF109" s="189" t="s">
        <v>1782</v>
      </c>
      <c r="AG109" s="189">
        <v>43564</v>
      </c>
      <c r="AH109" s="82"/>
      <c r="AI109" s="59" t="s">
        <v>1464</v>
      </c>
      <c r="AJ109" s="59" t="s">
        <v>1506</v>
      </c>
      <c r="AK109" s="60" t="s">
        <v>60</v>
      </c>
      <c r="AL109" s="15" t="s">
        <v>60</v>
      </c>
      <c r="AM109" s="14"/>
      <c r="AN109" s="153">
        <f>INDEX('Simec OT - 020718'!$AX$1:$AX$137,MATCH(Tabela232[[#This Row],[ID obra]],'Simec OT - 020718'!$A$1:$A$137,0))</f>
        <v>1350836.17</v>
      </c>
      <c r="AO109" s="130">
        <v>27467.95</v>
      </c>
      <c r="AP109" s="156">
        <f>IF(COUNTIF(AO$2:AO109,AO109)=1,1,0)</f>
        <v>1</v>
      </c>
      <c r="AQ109" s="156">
        <f t="shared" si="1"/>
        <v>1</v>
      </c>
      <c r="AR109" s="129">
        <f>Tabela232[[#This Row],[Saldo da conta 07/2018]]/Tabela232[[#This Row],[formel2]]</f>
        <v>27467.95</v>
      </c>
      <c r="AS109" s="129">
        <f>INDEX('[1]Total repassado por obra'!$D$2:$D$127,MATCH(Tabela232[[#This Row],[ID obra]],'[1]Total repassado por obra'!$B$2:$B$127,0))</f>
        <v>1495705</v>
      </c>
      <c r="AT109" s="129">
        <v>1495705</v>
      </c>
      <c r="AU109" s="32" t="s">
        <v>296</v>
      </c>
      <c r="AV109" s="32" t="str">
        <f t="shared" si="2"/>
        <v>2014</v>
      </c>
      <c r="AW109" s="24">
        <v>2016</v>
      </c>
      <c r="AX109" s="24" t="s">
        <v>59</v>
      </c>
      <c r="AY109" s="24"/>
      <c r="AZ109" s="24">
        <f>Tabela232[[#This Row],[Duração final]]-Tabela232[[#This Row],[Duração prevista]]</f>
        <v>803</v>
      </c>
      <c r="BA109" s="24" t="s">
        <v>78</v>
      </c>
      <c r="BB109" s="53" t="s">
        <v>862</v>
      </c>
      <c r="BC109" s="21">
        <v>42432</v>
      </c>
      <c r="BD109" s="21">
        <v>42792</v>
      </c>
      <c r="BE109" s="21">
        <v>43378</v>
      </c>
      <c r="BF109" s="30">
        <v>360</v>
      </c>
      <c r="BG109" s="30">
        <v>1163</v>
      </c>
      <c r="BH109" s="19">
        <v>3330338.25</v>
      </c>
      <c r="BI109" s="19">
        <v>3330338.25</v>
      </c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</row>
    <row r="110" spans="1:85">
      <c r="A110" s="14" t="s">
        <v>297</v>
      </c>
      <c r="B110" s="14" t="s">
        <v>202</v>
      </c>
      <c r="C110" s="14" t="s">
        <v>60</v>
      </c>
      <c r="D110" s="14">
        <v>24484</v>
      </c>
      <c r="E110" s="14" t="s">
        <v>68</v>
      </c>
      <c r="F110" s="14"/>
      <c r="G110" s="15" t="s">
        <v>334</v>
      </c>
      <c r="H110" s="16" t="s">
        <v>64</v>
      </c>
      <c r="I110" s="18">
        <v>0</v>
      </c>
      <c r="J110" s="48" t="s">
        <v>59</v>
      </c>
      <c r="K110" s="58" t="s">
        <v>1443</v>
      </c>
      <c r="L110" s="60"/>
      <c r="M110" s="17"/>
      <c r="N110" s="82">
        <v>0</v>
      </c>
      <c r="O110" s="82">
        <f>IF(Tabela232[[#This Row],[Situação2]]=Tabela232[[#This Row],[Situação]],0,1)</f>
        <v>1</v>
      </c>
      <c r="P110" s="89" t="s">
        <v>89</v>
      </c>
      <c r="Q110" s="60"/>
      <c r="R110" s="60"/>
      <c r="S110" s="84">
        <v>0</v>
      </c>
      <c r="T110" s="82"/>
      <c r="U110" s="76" t="s">
        <v>89</v>
      </c>
      <c r="V110" s="76" t="s">
        <v>1359</v>
      </c>
      <c r="W110" s="76">
        <v>43196</v>
      </c>
      <c r="X110" s="82">
        <f>IF(Tabela232[[#This Row],[Situação3]]=Tabela232[[#This Row],[Situação4]],0,1)</f>
        <v>0</v>
      </c>
      <c r="Y110" s="82"/>
      <c r="Z110" s="82"/>
      <c r="AA110" s="82" t="s">
        <v>89</v>
      </c>
      <c r="AB110" s="82" t="s">
        <v>1359</v>
      </c>
      <c r="AC110" s="189">
        <v>43196</v>
      </c>
      <c r="AD110" s="189" t="str">
        <f>Tabela232[[#This Row],[Situação3]]</f>
        <v>Concluída</v>
      </c>
      <c r="AE110" s="82" t="s">
        <v>89</v>
      </c>
      <c r="AF110" s="189" t="s">
        <v>1063</v>
      </c>
      <c r="AG110" s="189"/>
      <c r="AH110" s="82" t="s">
        <v>1628</v>
      </c>
      <c r="AI110" s="59" t="s">
        <v>1463</v>
      </c>
      <c r="AJ110" s="59" t="s">
        <v>1503</v>
      </c>
      <c r="AK110" s="60" t="s">
        <v>60</v>
      </c>
      <c r="AL110" s="15" t="s">
        <v>60</v>
      </c>
      <c r="AM110" s="14"/>
      <c r="AN110" s="153">
        <f>INDEX('Simec OT - 020718'!$AX$1:$AX$137,MATCH(Tabela232[[#This Row],[ID obra]],'Simec OT - 020718'!$A$1:$A$137,0))</f>
        <v>6841286.29</v>
      </c>
      <c r="AO110" s="130">
        <v>3036738.56</v>
      </c>
      <c r="AP110" s="156">
        <f>IF(COUNTIF(AO$2:AO110,AO110)=1,1,0)</f>
        <v>1</v>
      </c>
      <c r="AQ110" s="156">
        <f t="shared" si="1"/>
        <v>1</v>
      </c>
      <c r="AR110" s="129">
        <f>Tabela232[[#This Row],[Saldo da conta 07/2018]]/Tabela232[[#This Row],[formel2]]</f>
        <v>3036738.56</v>
      </c>
      <c r="AS110" s="129">
        <f>INDEX('[1]Total repassado por obra'!$D$2:$D$127,MATCH(Tabela232[[#This Row],[ID obra]],'[1]Total repassado por obra'!$B$2:$B$127,0))</f>
        <v>7426830</v>
      </c>
      <c r="AT110" s="129">
        <v>7426830</v>
      </c>
      <c r="AU110" s="32" t="s">
        <v>298</v>
      </c>
      <c r="AV110" s="32" t="str">
        <f t="shared" si="2"/>
        <v>2012</v>
      </c>
      <c r="AW110" s="24">
        <v>2016</v>
      </c>
      <c r="AX110" s="24">
        <v>2018</v>
      </c>
      <c r="AY110" s="32">
        <f>Tabela232[[#This Row],[Ano de entrega]]-Tabela232[[#This Row],[Ano de início da obra]]</f>
        <v>2</v>
      </c>
      <c r="AZ110" s="24">
        <f>Tabela232[[#This Row],[Duração final]]-Tabela232[[#This Row],[Duração prevista]]</f>
        <v>254</v>
      </c>
      <c r="BA110" s="24" t="s">
        <v>78</v>
      </c>
      <c r="BB110" s="53" t="s">
        <v>1504</v>
      </c>
      <c r="BC110" s="21">
        <v>42523</v>
      </c>
      <c r="BD110" s="21">
        <v>42888</v>
      </c>
      <c r="BE110" s="110">
        <v>43142</v>
      </c>
      <c r="BF110" s="30">
        <v>365</v>
      </c>
      <c r="BG110" s="114">
        <f>Tabela232[[#This Row],[Término final]]-Tabela232[[#This Row],[Início]]</f>
        <v>619</v>
      </c>
      <c r="BH110" s="19">
        <v>6437476.96</v>
      </c>
      <c r="BI110" s="19">
        <v>7610853.9000000004</v>
      </c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</row>
    <row r="111" spans="1:85">
      <c r="A111" s="14" t="s">
        <v>297</v>
      </c>
      <c r="B111" s="14" t="s">
        <v>202</v>
      </c>
      <c r="C111" s="14" t="s">
        <v>60</v>
      </c>
      <c r="D111" s="14">
        <v>1010716</v>
      </c>
      <c r="E111" s="14" t="s">
        <v>56</v>
      </c>
      <c r="F111" s="14"/>
      <c r="G111" s="15" t="s">
        <v>331</v>
      </c>
      <c r="H111" s="16" t="s">
        <v>1443</v>
      </c>
      <c r="I111" s="18">
        <v>73.84</v>
      </c>
      <c r="J111" s="100">
        <v>42740</v>
      </c>
      <c r="K111" s="58" t="s">
        <v>1443</v>
      </c>
      <c r="L111" s="60"/>
      <c r="M111" s="17"/>
      <c r="N111" s="82">
        <v>0</v>
      </c>
      <c r="O111" s="82">
        <f>IF(Tabela232[[#This Row],[Situação2]]=Tabela232[[#This Row],[Situação]],0,1)</f>
        <v>0</v>
      </c>
      <c r="P111" s="89" t="s">
        <v>89</v>
      </c>
      <c r="Q111" s="60"/>
      <c r="R111" s="60"/>
      <c r="S111" s="84">
        <v>0</v>
      </c>
      <c r="T111" s="82"/>
      <c r="U111" s="76" t="s">
        <v>89</v>
      </c>
      <c r="V111" s="76" t="s">
        <v>1063</v>
      </c>
      <c r="W111" s="76">
        <v>42948</v>
      </c>
      <c r="X111" s="82">
        <f>IF(Tabela232[[#This Row],[Situação3]]=Tabela232[[#This Row],[Situação4]],0,1)</f>
        <v>0</v>
      </c>
      <c r="Y111" s="82"/>
      <c r="Z111" s="82"/>
      <c r="AA111" s="82" t="s">
        <v>89</v>
      </c>
      <c r="AB111" s="82" t="s">
        <v>1063</v>
      </c>
      <c r="AC111" s="189">
        <v>42948</v>
      </c>
      <c r="AD111" s="189" t="str">
        <f>Tabela232[[#This Row],[Situação3]]</f>
        <v>Concluída</v>
      </c>
      <c r="AE111" s="82" t="s">
        <v>89</v>
      </c>
      <c r="AF111" s="189" t="s">
        <v>1063</v>
      </c>
      <c r="AG111" s="189"/>
      <c r="AH111" s="82" t="s">
        <v>1623</v>
      </c>
      <c r="AI111" s="59" t="s">
        <v>1462</v>
      </c>
      <c r="AJ111" s="59" t="s">
        <v>1610</v>
      </c>
      <c r="AK111" s="60" t="s">
        <v>78</v>
      </c>
      <c r="AL111" s="15" t="s">
        <v>78</v>
      </c>
      <c r="AM111" s="14"/>
      <c r="AN111" s="153">
        <f>INDEX('Simec OT - 020718'!$AX$1:$AX$137,MATCH(Tabela232[[#This Row],[ID obra]],'Simec OT - 020718'!$A$1:$A$137,0))</f>
        <v>6100066.4299999997</v>
      </c>
      <c r="AO111" s="130">
        <v>1444.73</v>
      </c>
      <c r="AP111" s="156">
        <f>IF(COUNTIF(AO$2:AO111,AO111)=1,1,0)</f>
        <v>1</v>
      </c>
      <c r="AQ111" s="156">
        <f t="shared" si="1"/>
        <v>2</v>
      </c>
      <c r="AR111" s="129">
        <f>Tabela232[[#This Row],[Saldo da conta 07/2018]]/Tabela232[[#This Row],[formel2]]</f>
        <v>722.36500000000001</v>
      </c>
      <c r="AS111" s="129">
        <f>INDEX('[1]Total repassado por obra'!$D$2:$D$127,MATCH(Tabela232[[#This Row],[ID obra]],'[1]Total repassado por obra'!$B$2:$B$127,0))</f>
        <v>6407008</v>
      </c>
      <c r="AT111" s="129">
        <v>6407008</v>
      </c>
      <c r="AU111" s="32" t="s">
        <v>299</v>
      </c>
      <c r="AV111" s="32" t="str">
        <f t="shared" si="2"/>
        <v>2013</v>
      </c>
      <c r="AW111" s="24">
        <v>2016</v>
      </c>
      <c r="AX111" s="24">
        <v>2017</v>
      </c>
      <c r="AY111" s="32">
        <f>Tabela232[[#This Row],[Ano de entrega]]-Tabela232[[#This Row],[Ano de início da obra]]</f>
        <v>1</v>
      </c>
      <c r="AZ111" s="24">
        <f>Tabela232[[#This Row],[Duração final]]-Tabela232[[#This Row],[Duração prevista]]</f>
        <v>188</v>
      </c>
      <c r="BA111" s="24" t="s">
        <v>78</v>
      </c>
      <c r="BB111" s="53" t="s">
        <v>878</v>
      </c>
      <c r="BC111" s="21">
        <v>42395</v>
      </c>
      <c r="BD111" s="21">
        <v>42760</v>
      </c>
      <c r="BE111" s="21">
        <v>42948</v>
      </c>
      <c r="BF111" s="30">
        <v>365</v>
      </c>
      <c r="BG111" s="30">
        <v>553</v>
      </c>
      <c r="BH111" s="19">
        <v>7009450.1299999999</v>
      </c>
      <c r="BI111" s="19">
        <v>7528210.8799999999</v>
      </c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</row>
    <row r="112" spans="1:85">
      <c r="A112" s="14" t="s">
        <v>297</v>
      </c>
      <c r="B112" s="14" t="s">
        <v>202</v>
      </c>
      <c r="C112" s="14" t="s">
        <v>60</v>
      </c>
      <c r="D112" s="14">
        <v>1010717</v>
      </c>
      <c r="E112" s="14" t="s">
        <v>300</v>
      </c>
      <c r="F112" s="14"/>
      <c r="G112" s="15" t="s">
        <v>331</v>
      </c>
      <c r="H112" s="16" t="s">
        <v>64</v>
      </c>
      <c r="I112" s="18">
        <v>0</v>
      </c>
      <c r="J112" s="48" t="s">
        <v>59</v>
      </c>
      <c r="K112" s="58" t="s">
        <v>1443</v>
      </c>
      <c r="L112" s="60"/>
      <c r="M112" s="17"/>
      <c r="N112" s="82">
        <v>0</v>
      </c>
      <c r="O112" s="82">
        <f>IF(Tabela232[[#This Row],[Situação2]]=Tabela232[[#This Row],[Situação]],0,1)</f>
        <v>1</v>
      </c>
      <c r="P112" s="89" t="s">
        <v>89</v>
      </c>
      <c r="Q112" s="60"/>
      <c r="R112" s="60"/>
      <c r="S112" s="84">
        <v>0</v>
      </c>
      <c r="T112" s="82"/>
      <c r="U112" s="76" t="s">
        <v>89</v>
      </c>
      <c r="V112" s="76" t="s">
        <v>1063</v>
      </c>
      <c r="W112" s="76">
        <v>42947</v>
      </c>
      <c r="X112" s="82">
        <f>IF(Tabela232[[#This Row],[Situação3]]=Tabela232[[#This Row],[Situação4]],0,1)</f>
        <v>0</v>
      </c>
      <c r="Y112" s="82"/>
      <c r="Z112" s="82"/>
      <c r="AA112" s="82" t="s">
        <v>89</v>
      </c>
      <c r="AB112" s="82" t="s">
        <v>1063</v>
      </c>
      <c r="AC112" s="189">
        <v>42947</v>
      </c>
      <c r="AD112" s="189" t="str">
        <f>Tabela232[[#This Row],[Situação3]]</f>
        <v>Concluída</v>
      </c>
      <c r="AE112" s="82" t="s">
        <v>89</v>
      </c>
      <c r="AF112" s="189" t="s">
        <v>1063</v>
      </c>
      <c r="AG112" s="189"/>
      <c r="AH112" s="82" t="s">
        <v>1623</v>
      </c>
      <c r="AI112" s="59" t="s">
        <v>1460</v>
      </c>
      <c r="AJ112" s="59" t="s">
        <v>1610</v>
      </c>
      <c r="AK112" s="60" t="s">
        <v>78</v>
      </c>
      <c r="AL112" s="15" t="s">
        <v>78</v>
      </c>
      <c r="AM112" s="14"/>
      <c r="AN112" s="153">
        <f>INDEX('Simec OT - 020718'!$AX$1:$AX$137,MATCH(Tabela232[[#This Row],[ID obra]],'Simec OT - 020718'!$A$1:$A$137,0))</f>
        <v>1979860.84</v>
      </c>
      <c r="AO112" s="130">
        <v>1444.73</v>
      </c>
      <c r="AP112" s="156">
        <f>IF(COUNTIF(AO$2:AO112,AO112)=1,1,0)</f>
        <v>0</v>
      </c>
      <c r="AQ112" s="156">
        <f t="shared" si="1"/>
        <v>2</v>
      </c>
      <c r="AR112" s="129">
        <f>Tabela232[[#This Row],[Saldo da conta 07/2018]]/Tabela232[[#This Row],[formel2]]</f>
        <v>722.36500000000001</v>
      </c>
      <c r="AS112" s="129">
        <f>INDEX('[1]Total repassado por obra'!$D$2:$D$127,MATCH(Tabela232[[#This Row],[ID obra]],'[1]Total repassado por obra'!$B$2:$B$127,0))</f>
        <v>2147736</v>
      </c>
      <c r="AT112" s="129">
        <v>2147736</v>
      </c>
      <c r="AU112" s="32" t="s">
        <v>299</v>
      </c>
      <c r="AV112" s="32" t="str">
        <f t="shared" si="2"/>
        <v>2013</v>
      </c>
      <c r="AW112" s="24">
        <v>2016</v>
      </c>
      <c r="AX112" s="24">
        <v>2017</v>
      </c>
      <c r="AY112" s="32">
        <f>Tabela232[[#This Row],[Ano de entrega]]-Tabela232[[#This Row],[Ano de início da obra]]</f>
        <v>1</v>
      </c>
      <c r="AZ112" s="24">
        <f>Tabela232[[#This Row],[Duração final]]-Tabela232[[#This Row],[Duração prevista]]</f>
        <v>0</v>
      </c>
      <c r="BA112" s="24" t="s">
        <v>78</v>
      </c>
      <c r="BB112" s="53" t="s">
        <v>878</v>
      </c>
      <c r="BC112" s="21">
        <v>42569</v>
      </c>
      <c r="BD112" s="21">
        <v>43019</v>
      </c>
      <c r="BE112" s="21">
        <v>43019</v>
      </c>
      <c r="BF112" s="30">
        <v>450</v>
      </c>
      <c r="BG112" s="30">
        <v>450</v>
      </c>
      <c r="BH112" s="19">
        <v>3460103.34</v>
      </c>
      <c r="BI112" s="19">
        <v>3695702.35</v>
      </c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</row>
    <row r="113" spans="1:85">
      <c r="A113" s="14" t="s">
        <v>301</v>
      </c>
      <c r="B113" s="14" t="s">
        <v>202</v>
      </c>
      <c r="C113" s="14" t="s">
        <v>60</v>
      </c>
      <c r="D113" s="14">
        <v>1001904</v>
      </c>
      <c r="E113" s="14" t="s">
        <v>302</v>
      </c>
      <c r="F113" s="14"/>
      <c r="G113" s="15">
        <v>2013</v>
      </c>
      <c r="H113" s="16" t="s">
        <v>67</v>
      </c>
      <c r="I113" s="18">
        <v>56.45</v>
      </c>
      <c r="J113" s="48">
        <v>43059</v>
      </c>
      <c r="K113" s="58" t="s">
        <v>67</v>
      </c>
      <c r="L113" s="60"/>
      <c r="M113" s="17"/>
      <c r="N113" s="82">
        <v>0</v>
      </c>
      <c r="O113" s="82">
        <f>IF(Tabela232[[#This Row],[Situação2]]=Tabela232[[#This Row],[Situação]],0,1)</f>
        <v>0</v>
      </c>
      <c r="P113" s="81" t="s">
        <v>1443</v>
      </c>
      <c r="Q113" s="88">
        <v>0.78659999999999997</v>
      </c>
      <c r="R113" s="86">
        <v>43235</v>
      </c>
      <c r="S113" s="84">
        <v>0</v>
      </c>
      <c r="T113" s="82"/>
      <c r="U113" s="76" t="s">
        <v>1443</v>
      </c>
      <c r="V113" s="76" t="s">
        <v>1392</v>
      </c>
      <c r="W113" s="76">
        <v>43295</v>
      </c>
      <c r="X113" s="82">
        <f>IF(Tabela232[[#This Row],[Situação3]]=Tabela232[[#This Row],[Situação4]],0,1)</f>
        <v>0</v>
      </c>
      <c r="Y113" s="82"/>
      <c r="Z113" s="82">
        <v>1</v>
      </c>
      <c r="AA113" s="82" t="s">
        <v>89</v>
      </c>
      <c r="AB113" s="82" t="s">
        <v>1063</v>
      </c>
      <c r="AC113" s="50">
        <v>43304</v>
      </c>
      <c r="AD113" s="50" t="s">
        <v>89</v>
      </c>
      <c r="AE113" s="82" t="s">
        <v>89</v>
      </c>
      <c r="AF113" s="189" t="s">
        <v>1063</v>
      </c>
      <c r="AG113" s="50">
        <v>43443</v>
      </c>
      <c r="AH113" s="82"/>
      <c r="AI113" s="59" t="s">
        <v>1461</v>
      </c>
      <c r="AJ113" s="59" t="s">
        <v>1604</v>
      </c>
      <c r="AK113" s="60" t="s">
        <v>78</v>
      </c>
      <c r="AL113" s="60" t="s">
        <v>60</v>
      </c>
      <c r="AM113" s="14"/>
      <c r="AN113" s="151">
        <v>1306128.32</v>
      </c>
      <c r="AO113" s="130">
        <v>0</v>
      </c>
      <c r="AP113" s="156">
        <f>IF(COUNTIF(AO$2:AO113,AO113)=1,1,0)</f>
        <v>0</v>
      </c>
      <c r="AQ113" s="156">
        <f t="shared" si="1"/>
        <v>25</v>
      </c>
      <c r="AR113" s="129">
        <f>Tabela232[[#This Row],[Saldo da conta 07/2018]]/Tabela232[[#This Row],[formel2]]</f>
        <v>0</v>
      </c>
      <c r="AS113" s="129">
        <v>1501468</v>
      </c>
      <c r="AT113" s="129">
        <v>1501468</v>
      </c>
      <c r="AU113" s="32" t="s">
        <v>303</v>
      </c>
      <c r="AV113" s="32" t="str">
        <f t="shared" si="2"/>
        <v>2013</v>
      </c>
      <c r="AW113" s="24">
        <v>2014</v>
      </c>
      <c r="AX113" s="24">
        <v>2018</v>
      </c>
      <c r="AY113" s="32">
        <f>Tabela232[[#This Row],[Ano de entrega]]-Tabela232[[#This Row],[Ano de início da obra]]</f>
        <v>4</v>
      </c>
      <c r="AZ113" s="24">
        <f>Tabela232[[#This Row],[Duração final]]-Tabela232[[#This Row],[Duração prevista]]</f>
        <v>478</v>
      </c>
      <c r="BA113" s="24" t="s">
        <v>60</v>
      </c>
      <c r="BB113" s="113" t="s">
        <v>1459</v>
      </c>
      <c r="BC113" s="110">
        <v>41708</v>
      </c>
      <c r="BD113" s="110">
        <v>42073</v>
      </c>
      <c r="BE113" s="110">
        <v>42551</v>
      </c>
      <c r="BF113" s="114">
        <v>365</v>
      </c>
      <c r="BG113" s="114">
        <f>Tabela232[[#This Row],[Término final]]-Tabela232[[#This Row],[Início]]</f>
        <v>843</v>
      </c>
      <c r="BH113" s="109">
        <v>1536621.54</v>
      </c>
      <c r="BI113" s="109">
        <v>1536621.54</v>
      </c>
      <c r="BJ113" s="53" t="s">
        <v>878</v>
      </c>
      <c r="BK113" s="21">
        <v>43025</v>
      </c>
      <c r="BL113" s="21">
        <v>43235</v>
      </c>
      <c r="BM113" s="21">
        <v>43295</v>
      </c>
      <c r="BN113" s="30">
        <v>210</v>
      </c>
      <c r="BO113" s="30">
        <v>270</v>
      </c>
      <c r="BP113" s="19">
        <v>1180666.6599999999</v>
      </c>
      <c r="BQ113" s="19">
        <v>1180666.6599999999</v>
      </c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</row>
    <row r="114" spans="1:85">
      <c r="A114" s="14" t="s">
        <v>301</v>
      </c>
      <c r="B114" s="14" t="s">
        <v>202</v>
      </c>
      <c r="C114" s="14" t="s">
        <v>60</v>
      </c>
      <c r="D114" s="14">
        <v>1006108</v>
      </c>
      <c r="E114" s="14" t="s">
        <v>304</v>
      </c>
      <c r="F114" s="14"/>
      <c r="G114" s="15">
        <v>2013</v>
      </c>
      <c r="H114" s="16" t="s">
        <v>64</v>
      </c>
      <c r="I114" s="18">
        <v>0</v>
      </c>
      <c r="J114" s="48" t="s">
        <v>59</v>
      </c>
      <c r="K114" s="58" t="s">
        <v>1443</v>
      </c>
      <c r="L114" s="60"/>
      <c r="M114" s="17"/>
      <c r="N114" s="82">
        <v>0</v>
      </c>
      <c r="O114" s="82">
        <f>IF(Tabela232[[#This Row],[Situação2]]=Tabela232[[#This Row],[Situação]],0,1)</f>
        <v>1</v>
      </c>
      <c r="P114" s="81" t="s">
        <v>1443</v>
      </c>
      <c r="Q114" s="88">
        <v>0.56950000000000001</v>
      </c>
      <c r="R114" s="86">
        <v>43209</v>
      </c>
      <c r="S114" s="84">
        <v>0</v>
      </c>
      <c r="T114" s="82"/>
      <c r="U114" s="76" t="s">
        <v>1443</v>
      </c>
      <c r="V114" s="76" t="s">
        <v>1376</v>
      </c>
      <c r="W114" s="98">
        <v>43329</v>
      </c>
      <c r="X114" s="82">
        <f>IF(Tabela232[[#This Row],[Situação3]]=Tabela232[[#This Row],[Situação4]],0,1)</f>
        <v>0</v>
      </c>
      <c r="Y114" s="82"/>
      <c r="Z114" s="82"/>
      <c r="AA114" s="82" t="s">
        <v>1443</v>
      </c>
      <c r="AB114" s="82" t="s">
        <v>1701</v>
      </c>
      <c r="AC114" s="189">
        <v>43449</v>
      </c>
      <c r="AD114" s="189" t="str">
        <f>Tabela232[[#This Row],[Situação3]]</f>
        <v>Em andamento</v>
      </c>
      <c r="AE114" s="82" t="s">
        <v>89</v>
      </c>
      <c r="AF114" s="189" t="s">
        <v>1063</v>
      </c>
      <c r="AG114" s="189" t="s">
        <v>1783</v>
      </c>
      <c r="AH114" s="82" t="s">
        <v>1624</v>
      </c>
      <c r="AI114" s="59" t="s">
        <v>1457</v>
      </c>
      <c r="AJ114" s="59" t="s">
        <v>1501</v>
      </c>
      <c r="AK114" s="60" t="s">
        <v>78</v>
      </c>
      <c r="AL114" s="60" t="s">
        <v>78</v>
      </c>
      <c r="AM114" s="14"/>
      <c r="AN114" s="153">
        <f>INDEX('Simec OT - 020718'!$AX$1:$AX$137,MATCH(Tabela232[[#This Row],[ID obra]],'Simec OT - 020718'!$A$1:$A$137,0))</f>
        <v>1385921.67</v>
      </c>
      <c r="AO114" s="130">
        <v>66255.89</v>
      </c>
      <c r="AP114" s="156">
        <f>IF(COUNTIF(AO$2:AO114,AO114)=1,1,0)</f>
        <v>1</v>
      </c>
      <c r="AQ114" s="156">
        <f t="shared" si="1"/>
        <v>1</v>
      </c>
      <c r="AR114" s="129">
        <f>Tabela232[[#This Row],[Saldo da conta 07/2018]]/Tabela232[[#This Row],[formel2]]</f>
        <v>66255.89</v>
      </c>
      <c r="AS114" s="129">
        <f>INDEX('[1]Total repassado por obra'!$D$2:$D$127,MATCH(Tabela232[[#This Row],[ID obra]],'[1]Total repassado por obra'!$B$2:$B$127,0))</f>
        <v>1489092</v>
      </c>
      <c r="AT114" s="129">
        <v>1489092</v>
      </c>
      <c r="AU114" s="32" t="s">
        <v>305</v>
      </c>
      <c r="AV114" s="32" t="str">
        <f t="shared" si="2"/>
        <v>2013</v>
      </c>
      <c r="AW114" s="24">
        <v>2016</v>
      </c>
      <c r="AX114" s="24">
        <v>2018</v>
      </c>
      <c r="AY114" s="32">
        <f>Tabela232[[#This Row],[Ano de entrega]]-Tabela232[[#This Row],[Ano de início da obra]]</f>
        <v>2</v>
      </c>
      <c r="AZ114" s="24">
        <f>Tabela232[[#This Row],[Duração final]]-Tabela232[[#This Row],[Duração prevista]]</f>
        <v>492</v>
      </c>
      <c r="BA114" s="24" t="s">
        <v>78</v>
      </c>
      <c r="BB114" s="53" t="s">
        <v>1458</v>
      </c>
      <c r="BC114" s="21">
        <v>42592</v>
      </c>
      <c r="BD114" s="21">
        <v>42957</v>
      </c>
      <c r="BE114" s="216">
        <v>43449</v>
      </c>
      <c r="BF114" s="30">
        <v>365</v>
      </c>
      <c r="BG114" s="215">
        <v>857</v>
      </c>
      <c r="BH114" s="19">
        <v>1884600.37</v>
      </c>
      <c r="BI114" s="19">
        <v>1884600.37</v>
      </c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</row>
    <row r="115" spans="1:85">
      <c r="A115" s="14" t="s">
        <v>301</v>
      </c>
      <c r="B115" s="14" t="s">
        <v>202</v>
      </c>
      <c r="C115" s="14" t="s">
        <v>60</v>
      </c>
      <c r="D115" s="14">
        <v>1006109</v>
      </c>
      <c r="E115" s="14" t="s">
        <v>306</v>
      </c>
      <c r="F115" s="14"/>
      <c r="G115" s="15">
        <v>2013</v>
      </c>
      <c r="H115" s="16" t="s">
        <v>64</v>
      </c>
      <c r="I115" s="18">
        <v>0</v>
      </c>
      <c r="J115" s="48" t="s">
        <v>59</v>
      </c>
      <c r="K115" s="58" t="s">
        <v>1443</v>
      </c>
      <c r="L115" s="60"/>
      <c r="M115" s="17"/>
      <c r="N115" s="82">
        <v>0</v>
      </c>
      <c r="O115" s="82">
        <f>IF(Tabela232[[#This Row],[Situação2]]=Tabela232[[#This Row],[Situação]],0,1)</f>
        <v>1</v>
      </c>
      <c r="P115" s="81" t="s">
        <v>1443</v>
      </c>
      <c r="Q115" s="88">
        <v>0.68569999999999998</v>
      </c>
      <c r="R115" s="86">
        <v>43209</v>
      </c>
      <c r="S115" s="84">
        <v>0</v>
      </c>
      <c r="T115" s="82"/>
      <c r="U115" s="76" t="s">
        <v>1443</v>
      </c>
      <c r="V115" s="76" t="s">
        <v>1384</v>
      </c>
      <c r="W115" s="98">
        <v>43329</v>
      </c>
      <c r="X115" s="82">
        <f>IF(Tabela232[[#This Row],[Situação3]]=Tabela232[[#This Row],[Situação4]],0,1)</f>
        <v>0</v>
      </c>
      <c r="Y115" s="82"/>
      <c r="Z115" s="82"/>
      <c r="AA115" s="82" t="s">
        <v>1443</v>
      </c>
      <c r="AB115" s="82" t="s">
        <v>1702</v>
      </c>
      <c r="AC115" s="189">
        <v>43389</v>
      </c>
      <c r="AD115" s="189" t="s">
        <v>89</v>
      </c>
      <c r="AE115" s="82" t="s">
        <v>89</v>
      </c>
      <c r="AF115" s="189" t="s">
        <v>1063</v>
      </c>
      <c r="AG115" s="189" t="s">
        <v>1784</v>
      </c>
      <c r="AH115" s="82" t="s">
        <v>1623</v>
      </c>
      <c r="AI115" s="59" t="s">
        <v>1456</v>
      </c>
      <c r="AJ115" s="59" t="s">
        <v>1502</v>
      </c>
      <c r="AK115" s="60" t="s">
        <v>78</v>
      </c>
      <c r="AL115" s="60" t="s">
        <v>78</v>
      </c>
      <c r="AM115" s="14"/>
      <c r="AN115" s="153">
        <f>INDEX('Simec OT - 020718'!$AX$1:$AX$137,MATCH(Tabela232[[#This Row],[ID obra]],'Simec OT - 020718'!$A$1:$A$137,0))</f>
        <v>1623526.33</v>
      </c>
      <c r="AO115" s="130">
        <v>82184.84</v>
      </c>
      <c r="AP115" s="156">
        <f>IF(COUNTIF(AO$2:AO115,AO115)=1,1,0)</f>
        <v>1</v>
      </c>
      <c r="AQ115" s="156">
        <f t="shared" si="1"/>
        <v>2</v>
      </c>
      <c r="AR115" s="129">
        <f>Tabela232[[#This Row],[Saldo da conta 07/2018]]/Tabela232[[#This Row],[formel2]]</f>
        <v>41092.42</v>
      </c>
      <c r="AS115" s="129">
        <f>INDEX('[1]Total repassado por obra'!$D$2:$D$127,MATCH(Tabela232[[#This Row],[ID obra]],'[1]Total repassado por obra'!$B$2:$B$127,0))</f>
        <v>1729756</v>
      </c>
      <c r="AT115" s="129">
        <v>1729756</v>
      </c>
      <c r="AU115" s="32" t="s">
        <v>307</v>
      </c>
      <c r="AV115" s="32" t="str">
        <f t="shared" si="2"/>
        <v>2013</v>
      </c>
      <c r="AW115" s="24">
        <v>2016</v>
      </c>
      <c r="AX115" s="24">
        <v>2018</v>
      </c>
      <c r="AY115" s="32">
        <f>Tabela232[[#This Row],[Ano de entrega]]-Tabela232[[#This Row],[Ano de início da obra]]</f>
        <v>2</v>
      </c>
      <c r="AZ115" s="24">
        <f>Tabela232[[#This Row],[Duração final]]-Tabela232[[#This Row],[Duração prevista]]</f>
        <v>432</v>
      </c>
      <c r="BA115" s="24" t="s">
        <v>78</v>
      </c>
      <c r="BB115" s="53" t="s">
        <v>1458</v>
      </c>
      <c r="BC115" s="21">
        <v>42592</v>
      </c>
      <c r="BD115" s="21">
        <v>42957</v>
      </c>
      <c r="BE115" s="216">
        <v>43389</v>
      </c>
      <c r="BF115" s="30">
        <v>365</v>
      </c>
      <c r="BG115" s="215">
        <v>797</v>
      </c>
      <c r="BH115" s="19">
        <v>1884598.16</v>
      </c>
      <c r="BI115" s="19">
        <v>1884598.16</v>
      </c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</row>
    <row r="116" spans="1:85">
      <c r="A116" s="14" t="s">
        <v>301</v>
      </c>
      <c r="B116" s="14" t="s">
        <v>202</v>
      </c>
      <c r="C116" s="14" t="s">
        <v>60</v>
      </c>
      <c r="D116" s="14">
        <v>1006110</v>
      </c>
      <c r="E116" s="14" t="s">
        <v>308</v>
      </c>
      <c r="F116" s="14"/>
      <c r="G116" s="15">
        <v>2013</v>
      </c>
      <c r="H116" s="16" t="s">
        <v>64</v>
      </c>
      <c r="I116" s="18">
        <v>0</v>
      </c>
      <c r="J116" s="48" t="s">
        <v>59</v>
      </c>
      <c r="K116" s="58" t="s">
        <v>1443</v>
      </c>
      <c r="L116" s="60"/>
      <c r="M116" s="17"/>
      <c r="N116" s="82">
        <v>0</v>
      </c>
      <c r="O116" s="82">
        <f>IF(Tabela232[[#This Row],[Situação2]]=Tabela232[[#This Row],[Situação]],0,1)</f>
        <v>1</v>
      </c>
      <c r="P116" s="81" t="s">
        <v>1443</v>
      </c>
      <c r="Q116" s="88">
        <v>0.60909999999999997</v>
      </c>
      <c r="R116" s="86">
        <v>43212</v>
      </c>
      <c r="S116" s="84">
        <v>0</v>
      </c>
      <c r="T116" s="82"/>
      <c r="U116" s="76" t="s">
        <v>1443</v>
      </c>
      <c r="V116" s="76" t="s">
        <v>1388</v>
      </c>
      <c r="W116" s="98">
        <v>43302</v>
      </c>
      <c r="X116" s="82">
        <f>IF(Tabela232[[#This Row],[Situação3]]=Tabela232[[#This Row],[Situação4]],0,1)</f>
        <v>0</v>
      </c>
      <c r="Y116" s="82"/>
      <c r="Z116" s="82"/>
      <c r="AA116" s="82" t="s">
        <v>1443</v>
      </c>
      <c r="AB116" s="82" t="s">
        <v>1710</v>
      </c>
      <c r="AC116" s="189">
        <v>43452</v>
      </c>
      <c r="AD116" s="189" t="str">
        <f>Tabela232[[#This Row],[Situação3]]</f>
        <v>Em andamento</v>
      </c>
      <c r="AE116" s="82" t="s">
        <v>89</v>
      </c>
      <c r="AF116" s="189" t="s">
        <v>1063</v>
      </c>
      <c r="AG116" s="189" t="s">
        <v>1785</v>
      </c>
      <c r="AH116" s="82" t="s">
        <v>1623</v>
      </c>
      <c r="AI116" s="59" t="s">
        <v>1455</v>
      </c>
      <c r="AJ116" s="59" t="s">
        <v>1601</v>
      </c>
      <c r="AK116" s="60" t="s">
        <v>78</v>
      </c>
      <c r="AL116" s="60" t="s">
        <v>78</v>
      </c>
      <c r="AM116" s="14"/>
      <c r="AN116" s="153">
        <f>INDEX('Simec OT - 020718'!$AX$1:$AX$137,MATCH(Tabela232[[#This Row],[ID obra]],'Simec OT - 020718'!$A$1:$A$137,0))</f>
        <v>1385825.4</v>
      </c>
      <c r="AO116" s="130">
        <v>82184.84</v>
      </c>
      <c r="AP116" s="156">
        <f>IF(COUNTIF(AO$2:AO116,AO116)=1,1,0)</f>
        <v>0</v>
      </c>
      <c r="AQ116" s="156">
        <f t="shared" si="1"/>
        <v>2</v>
      </c>
      <c r="AR116" s="129">
        <f>Tabela232[[#This Row],[Saldo da conta 07/2018]]/Tabela232[[#This Row],[formel2]]</f>
        <v>41092.42</v>
      </c>
      <c r="AS116" s="129">
        <f>INDEX('[1]Total repassado por obra'!$D$2:$D$127,MATCH(Tabela232[[#This Row],[ID obra]],'[1]Total repassado por obra'!$B$2:$B$127,0))</f>
        <v>1489338</v>
      </c>
      <c r="AT116" s="129">
        <v>1489338</v>
      </c>
      <c r="AU116" s="32" t="s">
        <v>307</v>
      </c>
      <c r="AV116" s="32" t="str">
        <f t="shared" si="2"/>
        <v>2013</v>
      </c>
      <c r="AW116" s="24">
        <v>2016</v>
      </c>
      <c r="AX116" s="24">
        <v>2018</v>
      </c>
      <c r="AY116" s="32">
        <f>Tabela232[[#This Row],[Ano de entrega]]-Tabela232[[#This Row],[Ano de início da obra]]</f>
        <v>2</v>
      </c>
      <c r="AZ116" s="24">
        <f>Tabela232[[#This Row],[Duração final]]-Tabela232[[#This Row],[Duração prevista]]</f>
        <v>495</v>
      </c>
      <c r="BA116" s="123" t="s">
        <v>78</v>
      </c>
      <c r="BB116" s="53" t="s">
        <v>1389</v>
      </c>
      <c r="BC116" s="21">
        <v>42592</v>
      </c>
      <c r="BD116" s="21">
        <v>42957</v>
      </c>
      <c r="BE116" s="216">
        <v>43452</v>
      </c>
      <c r="BF116" s="30">
        <v>365</v>
      </c>
      <c r="BG116" s="215">
        <v>860</v>
      </c>
      <c r="BH116" s="19">
        <v>1980135.74</v>
      </c>
      <c r="BI116" s="19">
        <v>1980135.74</v>
      </c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</row>
    <row r="117" spans="1:85">
      <c r="A117" s="14" t="s">
        <v>309</v>
      </c>
      <c r="B117" s="14" t="s">
        <v>310</v>
      </c>
      <c r="C117" s="14" t="s">
        <v>60</v>
      </c>
      <c r="D117" s="14">
        <v>4443</v>
      </c>
      <c r="E117" s="14" t="s">
        <v>311</v>
      </c>
      <c r="F117" s="14"/>
      <c r="G117" s="15" t="s">
        <v>1447</v>
      </c>
      <c r="H117" s="16" t="s">
        <v>67</v>
      </c>
      <c r="I117" s="18">
        <v>82.15</v>
      </c>
      <c r="J117" s="48">
        <v>42520</v>
      </c>
      <c r="K117" s="58" t="s">
        <v>67</v>
      </c>
      <c r="L117" s="60">
        <v>83.63</v>
      </c>
      <c r="M117" s="23"/>
      <c r="N117" s="82">
        <v>0</v>
      </c>
      <c r="O117" s="82">
        <f>IF(Tabela232[[#This Row],[Situação2]]=Tabela232[[#This Row],[Situação]],0,1)</f>
        <v>0</v>
      </c>
      <c r="P117" s="89" t="s">
        <v>1443</v>
      </c>
      <c r="Q117" s="60"/>
      <c r="R117" s="60"/>
      <c r="S117" s="84">
        <v>0</v>
      </c>
      <c r="T117" s="82"/>
      <c r="U117" s="76" t="s">
        <v>67</v>
      </c>
      <c r="V117" s="76" t="s">
        <v>1395</v>
      </c>
      <c r="W117" s="76">
        <v>42885</v>
      </c>
      <c r="X117" s="82">
        <f>IF(Tabela232[[#This Row],[Situação3]]=Tabela232[[#This Row],[Situação4]],0,1)</f>
        <v>1</v>
      </c>
      <c r="Y117" s="82"/>
      <c r="Z117" s="82">
        <v>0</v>
      </c>
      <c r="AA117" s="82" t="s">
        <v>67</v>
      </c>
      <c r="AB117" s="82" t="s">
        <v>1395</v>
      </c>
      <c r="AC117" s="189">
        <v>42885</v>
      </c>
      <c r="AD117" s="189" t="str">
        <f>Tabela232[[#This Row],[Situação3]]</f>
        <v>Em andamento</v>
      </c>
      <c r="AE117" s="82" t="s">
        <v>89</v>
      </c>
      <c r="AF117" s="189" t="s">
        <v>1063</v>
      </c>
      <c r="AG117" s="189"/>
      <c r="AH117" s="82"/>
      <c r="AI117" s="59" t="s">
        <v>1452</v>
      </c>
      <c r="AJ117" s="59" t="s">
        <v>1490</v>
      </c>
      <c r="AK117" s="60" t="s">
        <v>78</v>
      </c>
      <c r="AL117" s="60" t="s">
        <v>60</v>
      </c>
      <c r="AM117" s="22"/>
      <c r="AN117" s="153">
        <f>INDEX('Simec OT - 020718'!$AX$1:$AX$137,MATCH(Tabela232[[#This Row],[ID obra]],'Simec OT - 020718'!$A$1:$A$137,0))</f>
        <v>0</v>
      </c>
      <c r="AO117" s="128">
        <v>0</v>
      </c>
      <c r="AP117" s="156">
        <f>IF(COUNTIF(AO$2:AO117,AO117)=1,1,0)</f>
        <v>0</v>
      </c>
      <c r="AQ117" s="156">
        <f t="shared" si="1"/>
        <v>25</v>
      </c>
      <c r="AR117" s="129">
        <f>Tabela232[[#This Row],[Saldo da conta 07/2018]]/Tabela232[[#This Row],[formel2]]</f>
        <v>0</v>
      </c>
      <c r="AS117" s="186">
        <f>INDEX('[1]Total repassado por obra'!$D$2:$D$127,MATCH(Tabela232[[#This Row],[ID obra]],'[1]Total repassado por obra'!$B$2:$B$127,0))</f>
        <v>1645414</v>
      </c>
      <c r="AT117" s="129">
        <v>1645414</v>
      </c>
      <c r="AU117" s="32" t="s">
        <v>312</v>
      </c>
      <c r="AV117" s="32" t="str">
        <f t="shared" si="2"/>
        <v>2008</v>
      </c>
      <c r="AW117" s="24">
        <v>2013</v>
      </c>
      <c r="AX117" s="24">
        <v>2019</v>
      </c>
      <c r="AY117" s="32">
        <f>Tabela232[[#This Row],[Ano de entrega]]-Tabela232[[#This Row],[Ano de início da obra]]</f>
        <v>6</v>
      </c>
      <c r="AZ117" s="24">
        <f>Tabela232[[#This Row],[Duração final]]-Tabela232[[#This Row],[Duração prevista]]</f>
        <v>841</v>
      </c>
      <c r="BA117" s="24" t="s">
        <v>60</v>
      </c>
      <c r="BB117" s="53" t="s">
        <v>916</v>
      </c>
      <c r="BC117" s="21">
        <v>41513</v>
      </c>
      <c r="BD117" s="21">
        <v>41679</v>
      </c>
      <c r="BE117" s="21">
        <v>42520</v>
      </c>
      <c r="BF117" s="30">
        <v>166</v>
      </c>
      <c r="BG117" s="30">
        <v>1007</v>
      </c>
      <c r="BH117" s="19">
        <v>867000</v>
      </c>
      <c r="BI117" s="19">
        <v>1078530.6499999999</v>
      </c>
      <c r="BJ117" s="109" t="s">
        <v>1453</v>
      </c>
      <c r="BK117" s="110">
        <v>43168</v>
      </c>
      <c r="BL117" s="110">
        <v>43412</v>
      </c>
      <c r="BM117" s="111"/>
      <c r="BN117" s="111">
        <v>180</v>
      </c>
      <c r="BO117" s="111"/>
      <c r="BP117" s="109">
        <v>456330</v>
      </c>
      <c r="BQ117" s="109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</row>
    <row r="118" spans="1:85">
      <c r="A118" s="14" t="s">
        <v>309</v>
      </c>
      <c r="B118" s="14" t="s">
        <v>310</v>
      </c>
      <c r="C118" s="14" t="s">
        <v>60</v>
      </c>
      <c r="D118" s="14">
        <v>7895</v>
      </c>
      <c r="E118" s="14" t="s">
        <v>313</v>
      </c>
      <c r="F118" s="14"/>
      <c r="G118" s="15" t="s">
        <v>1447</v>
      </c>
      <c r="H118" s="16" t="s">
        <v>64</v>
      </c>
      <c r="I118" s="18">
        <v>0</v>
      </c>
      <c r="J118" s="48" t="s">
        <v>59</v>
      </c>
      <c r="K118" s="58" t="s">
        <v>64</v>
      </c>
      <c r="L118" s="60"/>
      <c r="M118" s="17"/>
      <c r="N118" s="81">
        <v>1</v>
      </c>
      <c r="O118" s="149">
        <f>IF(Tabela232[[#This Row],[Situação2]]=Tabela232[[#This Row],[Situação]],0,1)</f>
        <v>0</v>
      </c>
      <c r="P118" s="89" t="s">
        <v>64</v>
      </c>
      <c r="Q118" s="60"/>
      <c r="R118" s="60"/>
      <c r="S118" s="61">
        <v>1</v>
      </c>
      <c r="T118" s="96">
        <f>2018-Tabela232[[#This Row],[Ano do convênio]]</f>
        <v>10</v>
      </c>
      <c r="U118" s="76" t="s">
        <v>64</v>
      </c>
      <c r="V118" s="76" t="s">
        <v>988</v>
      </c>
      <c r="W118" s="76" t="s">
        <v>59</v>
      </c>
      <c r="X118" s="82">
        <f>IF(Tabela232[[#This Row],[Situação3]]=Tabela232[[#This Row],[Situação4]],0,1)</f>
        <v>0</v>
      </c>
      <c r="Y118" s="82"/>
      <c r="Z118" s="82">
        <v>0</v>
      </c>
      <c r="AA118" s="82" t="s">
        <v>64</v>
      </c>
      <c r="AB118" s="82" t="s">
        <v>988</v>
      </c>
      <c r="AC118" s="82">
        <v>0</v>
      </c>
      <c r="AD118" s="82" t="str">
        <f>Tabela232[[#This Row],[Situação3]]</f>
        <v>Não iniciada</v>
      </c>
      <c r="AE118" s="82" t="s">
        <v>204</v>
      </c>
      <c r="AF118" s="82" t="s">
        <v>988</v>
      </c>
      <c r="AG118" s="82">
        <v>0</v>
      </c>
      <c r="AH118" s="82"/>
      <c r="AI118" s="14"/>
      <c r="AJ118" s="14" t="s">
        <v>1602</v>
      </c>
      <c r="AK118" s="15" t="s">
        <v>60</v>
      </c>
      <c r="AL118" s="15" t="s">
        <v>78</v>
      </c>
      <c r="AM118" s="15" t="s">
        <v>60</v>
      </c>
      <c r="AN118" s="153">
        <f>INDEX('Simec OT - 020718'!$AX$1:$AX$137,MATCH(Tabela232[[#This Row],[ID obra]],'Simec OT - 020718'!$A$1:$A$137,0))</f>
        <v>0</v>
      </c>
      <c r="AO118" s="129">
        <v>0</v>
      </c>
      <c r="AP118" s="156">
        <f>IF(COUNTIF(AO$2:AO118,AO118)=1,1,0)</f>
        <v>0</v>
      </c>
      <c r="AQ118" s="156">
        <f t="shared" si="1"/>
        <v>25</v>
      </c>
      <c r="AR118" s="129">
        <f>Tabela232[[#This Row],[Saldo da conta 07/2018]]/Tabela232[[#This Row],[formel2]]</f>
        <v>0</v>
      </c>
      <c r="AS118" s="186">
        <f>INDEX('[1]Total repassado por obra'!$D$2:$D$127,MATCH(Tabela232[[#This Row],[ID obra]],'[1]Total repassado por obra'!$B$2:$B$127,0))</f>
        <v>2740382</v>
      </c>
      <c r="AT118" s="187">
        <v>342547.75</v>
      </c>
      <c r="AU118" s="32" t="s">
        <v>314</v>
      </c>
      <c r="AV118" s="32" t="str">
        <f t="shared" si="2"/>
        <v>2008</v>
      </c>
      <c r="AW118" s="24" t="s">
        <v>59</v>
      </c>
      <c r="AX118" s="24" t="s">
        <v>59</v>
      </c>
      <c r="AY118" s="24"/>
      <c r="AZ118" s="24"/>
      <c r="BA118" s="24" t="s">
        <v>59</v>
      </c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</row>
    <row r="119" spans="1:85">
      <c r="A119" s="14" t="s">
        <v>309</v>
      </c>
      <c r="B119" s="14" t="s">
        <v>310</v>
      </c>
      <c r="C119" s="14" t="s">
        <v>60</v>
      </c>
      <c r="D119" s="14">
        <v>8235</v>
      </c>
      <c r="E119" s="14" t="s">
        <v>315</v>
      </c>
      <c r="F119" s="14"/>
      <c r="G119" s="15" t="s">
        <v>1447</v>
      </c>
      <c r="H119" s="16" t="s">
        <v>64</v>
      </c>
      <c r="I119" s="18">
        <v>0</v>
      </c>
      <c r="J119" s="48" t="s">
        <v>59</v>
      </c>
      <c r="K119" s="58" t="s">
        <v>64</v>
      </c>
      <c r="L119" s="60"/>
      <c r="M119" s="17"/>
      <c r="N119" s="81">
        <v>1</v>
      </c>
      <c r="O119" s="149">
        <f>IF(Tabela232[[#This Row],[Situação2]]=Tabela232[[#This Row],[Situação]],0,1)</f>
        <v>0</v>
      </c>
      <c r="P119" s="89" t="s">
        <v>64</v>
      </c>
      <c r="Q119" s="60"/>
      <c r="R119" s="60"/>
      <c r="S119" s="61">
        <v>1</v>
      </c>
      <c r="T119" s="96">
        <f>2018-Tabela232[[#This Row],[Ano do convênio]]</f>
        <v>10</v>
      </c>
      <c r="U119" s="76" t="s">
        <v>64</v>
      </c>
      <c r="V119" s="76" t="s">
        <v>988</v>
      </c>
      <c r="W119" s="76" t="s">
        <v>59</v>
      </c>
      <c r="X119" s="82">
        <f>IF(Tabela232[[#This Row],[Situação3]]=Tabela232[[#This Row],[Situação4]],0,1)</f>
        <v>0</v>
      </c>
      <c r="Y119" s="82"/>
      <c r="Z119" s="82">
        <v>0</v>
      </c>
      <c r="AA119" s="82" t="s">
        <v>64</v>
      </c>
      <c r="AB119" s="82" t="s">
        <v>988</v>
      </c>
      <c r="AC119" s="82">
        <v>0</v>
      </c>
      <c r="AD119" s="82" t="str">
        <f>Tabela232[[#This Row],[Situação3]]</f>
        <v>Não iniciada</v>
      </c>
      <c r="AE119" s="82" t="s">
        <v>204</v>
      </c>
      <c r="AF119" s="82" t="s">
        <v>988</v>
      </c>
      <c r="AG119" s="82">
        <v>0</v>
      </c>
      <c r="AH119" s="82"/>
      <c r="AI119" s="14"/>
      <c r="AJ119" s="14" t="s">
        <v>1602</v>
      </c>
      <c r="AK119" s="15" t="s">
        <v>60</v>
      </c>
      <c r="AL119" s="15" t="s">
        <v>78</v>
      </c>
      <c r="AM119" s="15" t="s">
        <v>60</v>
      </c>
      <c r="AN119" s="153">
        <f>INDEX('Simec OT - 020718'!$AX$1:$AX$137,MATCH(Tabela232[[#This Row],[ID obra]],'Simec OT - 020718'!$A$1:$A$137,0))</f>
        <v>0</v>
      </c>
      <c r="AO119" s="129">
        <v>0</v>
      </c>
      <c r="AP119" s="156">
        <f>IF(COUNTIF(AO$2:AO119,AO119)=1,1,0)</f>
        <v>0</v>
      </c>
      <c r="AQ119" s="156">
        <f t="shared" si="1"/>
        <v>25</v>
      </c>
      <c r="AR119" s="129">
        <f>Tabela232[[#This Row],[Saldo da conta 07/2018]]/Tabela232[[#This Row],[formel2]]</f>
        <v>0</v>
      </c>
      <c r="AS119" s="186">
        <f>INDEX('[1]Total repassado por obra'!$D$2:$D$127,MATCH(Tabela232[[#This Row],[ID obra]],'[1]Total repassado por obra'!$B$2:$B$127,0))</f>
        <v>2740382</v>
      </c>
      <c r="AT119" s="187">
        <v>342547.75</v>
      </c>
      <c r="AU119" s="32" t="s">
        <v>314</v>
      </c>
      <c r="AV119" s="32" t="str">
        <f t="shared" si="2"/>
        <v>2008</v>
      </c>
      <c r="AW119" s="24" t="s">
        <v>59</v>
      </c>
      <c r="AX119" s="24" t="s">
        <v>59</v>
      </c>
      <c r="AY119" s="24"/>
      <c r="AZ119" s="24"/>
      <c r="BA119" s="24" t="s">
        <v>59</v>
      </c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</row>
    <row r="120" spans="1:85">
      <c r="A120" s="14" t="s">
        <v>309</v>
      </c>
      <c r="B120" s="14" t="s">
        <v>310</v>
      </c>
      <c r="C120" s="14" t="s">
        <v>60</v>
      </c>
      <c r="D120" s="14">
        <v>8236</v>
      </c>
      <c r="E120" s="14" t="s">
        <v>316</v>
      </c>
      <c r="F120" s="14"/>
      <c r="G120" s="15" t="s">
        <v>1447</v>
      </c>
      <c r="H120" s="16" t="s">
        <v>64</v>
      </c>
      <c r="I120" s="18">
        <v>0</v>
      </c>
      <c r="J120" s="48" t="s">
        <v>59</v>
      </c>
      <c r="K120" s="58" t="s">
        <v>64</v>
      </c>
      <c r="L120" s="60"/>
      <c r="M120" s="17"/>
      <c r="N120" s="81">
        <v>1</v>
      </c>
      <c r="O120" s="149">
        <f>IF(Tabela232[[#This Row],[Situação2]]=Tabela232[[#This Row],[Situação]],0,1)</f>
        <v>0</v>
      </c>
      <c r="P120" s="89" t="s">
        <v>64</v>
      </c>
      <c r="Q120" s="60"/>
      <c r="R120" s="60"/>
      <c r="S120" s="61">
        <v>1</v>
      </c>
      <c r="T120" s="96">
        <f>2018-Tabela232[[#This Row],[Ano do convênio]]</f>
        <v>10</v>
      </c>
      <c r="U120" s="76" t="s">
        <v>64</v>
      </c>
      <c r="V120" s="76" t="s">
        <v>988</v>
      </c>
      <c r="W120" s="76" t="s">
        <v>59</v>
      </c>
      <c r="X120" s="82">
        <f>IF(Tabela232[[#This Row],[Situação3]]=Tabela232[[#This Row],[Situação4]],0,1)</f>
        <v>0</v>
      </c>
      <c r="Y120" s="82"/>
      <c r="Z120" s="82">
        <v>0</v>
      </c>
      <c r="AA120" s="82" t="s">
        <v>64</v>
      </c>
      <c r="AB120" s="82" t="s">
        <v>988</v>
      </c>
      <c r="AC120" s="82">
        <v>0</v>
      </c>
      <c r="AD120" s="82" t="str">
        <f>Tabela232[[#This Row],[Situação3]]</f>
        <v>Não iniciada</v>
      </c>
      <c r="AE120" s="82" t="s">
        <v>204</v>
      </c>
      <c r="AF120" s="82" t="s">
        <v>988</v>
      </c>
      <c r="AG120" s="82">
        <v>0</v>
      </c>
      <c r="AH120" s="82"/>
      <c r="AI120" s="14"/>
      <c r="AJ120" s="14" t="s">
        <v>1602</v>
      </c>
      <c r="AK120" s="15" t="s">
        <v>60</v>
      </c>
      <c r="AL120" s="15" t="s">
        <v>78</v>
      </c>
      <c r="AM120" s="15" t="s">
        <v>60</v>
      </c>
      <c r="AN120" s="153">
        <f>INDEX('Simec OT - 020718'!$AX$1:$AX$137,MATCH(Tabela232[[#This Row],[ID obra]],'Simec OT - 020718'!$A$1:$A$137,0))</f>
        <v>0</v>
      </c>
      <c r="AO120" s="129">
        <v>0</v>
      </c>
      <c r="AP120" s="156">
        <f>IF(COUNTIF(AO$2:AO120,AO120)=1,1,0)</f>
        <v>0</v>
      </c>
      <c r="AQ120" s="156">
        <f t="shared" si="1"/>
        <v>25</v>
      </c>
      <c r="AR120" s="129">
        <f>Tabela232[[#This Row],[Saldo da conta 07/2018]]/Tabela232[[#This Row],[formel2]]</f>
        <v>0</v>
      </c>
      <c r="AS120" s="186">
        <f>INDEX('[1]Total repassado por obra'!$D$2:$D$127,MATCH(Tabela232[[#This Row],[ID obra]],'[1]Total repassado por obra'!$B$2:$B$127,0))</f>
        <v>2740382</v>
      </c>
      <c r="AT120" s="187">
        <v>342547.75</v>
      </c>
      <c r="AU120" s="32" t="s">
        <v>314</v>
      </c>
      <c r="AV120" s="32" t="str">
        <f t="shared" si="2"/>
        <v>2008</v>
      </c>
      <c r="AW120" s="24" t="s">
        <v>59</v>
      </c>
      <c r="AX120" s="24" t="s">
        <v>59</v>
      </c>
      <c r="AY120" s="24"/>
      <c r="AZ120" s="24"/>
      <c r="BA120" s="24" t="s">
        <v>59</v>
      </c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</row>
    <row r="121" spans="1:85">
      <c r="A121" s="14" t="s">
        <v>309</v>
      </c>
      <c r="B121" s="14" t="s">
        <v>310</v>
      </c>
      <c r="C121" s="14" t="s">
        <v>60</v>
      </c>
      <c r="D121" s="14">
        <v>8237</v>
      </c>
      <c r="E121" s="14" t="s">
        <v>317</v>
      </c>
      <c r="F121" s="14"/>
      <c r="G121" s="15" t="s">
        <v>1447</v>
      </c>
      <c r="H121" s="16" t="s">
        <v>64</v>
      </c>
      <c r="I121" s="18">
        <v>0</v>
      </c>
      <c r="J121" s="48" t="s">
        <v>59</v>
      </c>
      <c r="K121" s="58" t="s">
        <v>64</v>
      </c>
      <c r="L121" s="60"/>
      <c r="M121" s="17"/>
      <c r="N121" s="81">
        <v>1</v>
      </c>
      <c r="O121" s="149">
        <f>IF(Tabela232[[#This Row],[Situação2]]=Tabela232[[#This Row],[Situação]],0,1)</f>
        <v>0</v>
      </c>
      <c r="P121" s="89" t="s">
        <v>64</v>
      </c>
      <c r="Q121" s="60"/>
      <c r="R121" s="60"/>
      <c r="S121" s="61">
        <v>1</v>
      </c>
      <c r="T121" s="96">
        <f>2018-Tabela232[[#This Row],[Ano do convênio]]</f>
        <v>10</v>
      </c>
      <c r="U121" s="76" t="s">
        <v>64</v>
      </c>
      <c r="V121" s="76" t="s">
        <v>988</v>
      </c>
      <c r="W121" s="76" t="s">
        <v>59</v>
      </c>
      <c r="X121" s="82">
        <f>IF(Tabela232[[#This Row],[Situação3]]=Tabela232[[#This Row],[Situação4]],0,1)</f>
        <v>0</v>
      </c>
      <c r="Y121" s="82"/>
      <c r="Z121" s="82">
        <v>0</v>
      </c>
      <c r="AA121" s="82" t="s">
        <v>64</v>
      </c>
      <c r="AB121" s="82" t="s">
        <v>988</v>
      </c>
      <c r="AC121" s="82">
        <v>0</v>
      </c>
      <c r="AD121" s="82" t="str">
        <f>Tabela232[[#This Row],[Situação3]]</f>
        <v>Não iniciada</v>
      </c>
      <c r="AE121" s="82" t="s">
        <v>204</v>
      </c>
      <c r="AF121" s="82" t="s">
        <v>988</v>
      </c>
      <c r="AG121" s="82">
        <v>0</v>
      </c>
      <c r="AH121" s="82"/>
      <c r="AI121" s="14"/>
      <c r="AJ121" s="14" t="s">
        <v>1602</v>
      </c>
      <c r="AK121" s="15" t="s">
        <v>60</v>
      </c>
      <c r="AL121" s="15" t="s">
        <v>78</v>
      </c>
      <c r="AM121" s="15" t="s">
        <v>60</v>
      </c>
      <c r="AN121" s="153">
        <f>INDEX('Simec OT - 020718'!$AX$1:$AX$137,MATCH(Tabela232[[#This Row],[ID obra]],'Simec OT - 020718'!$A$1:$A$137,0))</f>
        <v>0</v>
      </c>
      <c r="AO121" s="129">
        <v>0</v>
      </c>
      <c r="AP121" s="156">
        <f>IF(COUNTIF(AO$2:AO121,AO121)=1,1,0)</f>
        <v>0</v>
      </c>
      <c r="AQ121" s="156">
        <f t="shared" si="1"/>
        <v>25</v>
      </c>
      <c r="AR121" s="129">
        <f>Tabela232[[#This Row],[Saldo da conta 07/2018]]/Tabela232[[#This Row],[formel2]]</f>
        <v>0</v>
      </c>
      <c r="AS121" s="186">
        <f>INDEX('[1]Total repassado por obra'!$D$2:$D$127,MATCH(Tabela232[[#This Row],[ID obra]],'[1]Total repassado por obra'!$B$2:$B$127,0))</f>
        <v>2740382</v>
      </c>
      <c r="AT121" s="187">
        <v>342547.75</v>
      </c>
      <c r="AU121" s="32" t="s">
        <v>314</v>
      </c>
      <c r="AV121" s="32" t="str">
        <f t="shared" si="2"/>
        <v>2008</v>
      </c>
      <c r="AW121" s="24" t="s">
        <v>59</v>
      </c>
      <c r="AX121" s="24" t="s">
        <v>59</v>
      </c>
      <c r="AY121" s="24"/>
      <c r="AZ121" s="24"/>
      <c r="BA121" s="24" t="s">
        <v>59</v>
      </c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</row>
    <row r="122" spans="1:85">
      <c r="A122" s="14" t="s">
        <v>309</v>
      </c>
      <c r="B122" s="14" t="s">
        <v>310</v>
      </c>
      <c r="C122" s="14" t="s">
        <v>60</v>
      </c>
      <c r="D122" s="14">
        <v>8238</v>
      </c>
      <c r="E122" s="14" t="s">
        <v>318</v>
      </c>
      <c r="F122" s="14"/>
      <c r="G122" s="15" t="s">
        <v>1447</v>
      </c>
      <c r="H122" s="16" t="s">
        <v>64</v>
      </c>
      <c r="I122" s="18">
        <v>0</v>
      </c>
      <c r="J122" s="48" t="s">
        <v>59</v>
      </c>
      <c r="K122" s="58" t="s">
        <v>64</v>
      </c>
      <c r="L122" s="60"/>
      <c r="M122" s="17"/>
      <c r="N122" s="81">
        <v>1</v>
      </c>
      <c r="O122" s="149">
        <f>IF(Tabela232[[#This Row],[Situação2]]=Tabela232[[#This Row],[Situação]],0,1)</f>
        <v>0</v>
      </c>
      <c r="P122" s="89" t="s">
        <v>64</v>
      </c>
      <c r="Q122" s="60"/>
      <c r="R122" s="60"/>
      <c r="S122" s="61">
        <v>1</v>
      </c>
      <c r="T122" s="96">
        <f>2018-Tabela232[[#This Row],[Ano do convênio]]</f>
        <v>10</v>
      </c>
      <c r="U122" s="76" t="s">
        <v>64</v>
      </c>
      <c r="V122" s="76" t="s">
        <v>988</v>
      </c>
      <c r="W122" s="76" t="s">
        <v>59</v>
      </c>
      <c r="X122" s="82">
        <f>IF(Tabela232[[#This Row],[Situação3]]=Tabela232[[#This Row],[Situação4]],0,1)</f>
        <v>0</v>
      </c>
      <c r="Y122" s="82"/>
      <c r="Z122" s="82">
        <v>0</v>
      </c>
      <c r="AA122" s="82" t="s">
        <v>64</v>
      </c>
      <c r="AB122" s="82" t="s">
        <v>988</v>
      </c>
      <c r="AC122" s="82">
        <v>0</v>
      </c>
      <c r="AD122" s="82" t="str">
        <f>Tabela232[[#This Row],[Situação3]]</f>
        <v>Não iniciada</v>
      </c>
      <c r="AE122" s="82" t="s">
        <v>204</v>
      </c>
      <c r="AF122" s="82" t="s">
        <v>988</v>
      </c>
      <c r="AG122" s="82">
        <v>0</v>
      </c>
      <c r="AH122" s="82"/>
      <c r="AI122" s="14"/>
      <c r="AJ122" s="14" t="s">
        <v>1602</v>
      </c>
      <c r="AK122" s="15" t="s">
        <v>60</v>
      </c>
      <c r="AL122" s="15" t="s">
        <v>78</v>
      </c>
      <c r="AM122" s="15" t="s">
        <v>60</v>
      </c>
      <c r="AN122" s="153">
        <f>INDEX('Simec OT - 020718'!$AX$1:$AX$137,MATCH(Tabela232[[#This Row],[ID obra]],'Simec OT - 020718'!$A$1:$A$137,0))</f>
        <v>0</v>
      </c>
      <c r="AO122" s="129">
        <v>0</v>
      </c>
      <c r="AP122" s="156">
        <f>IF(COUNTIF(AO$2:AO122,AO122)=1,1,0)</f>
        <v>0</v>
      </c>
      <c r="AQ122" s="156">
        <f t="shared" si="1"/>
        <v>25</v>
      </c>
      <c r="AR122" s="129">
        <f>Tabela232[[#This Row],[Saldo da conta 07/2018]]/Tabela232[[#This Row],[formel2]]</f>
        <v>0</v>
      </c>
      <c r="AS122" s="186">
        <f>INDEX('[1]Total repassado por obra'!$D$2:$D$127,MATCH(Tabela232[[#This Row],[ID obra]],'[1]Total repassado por obra'!$B$2:$B$127,0))</f>
        <v>2740382</v>
      </c>
      <c r="AT122" s="187">
        <v>342547.75</v>
      </c>
      <c r="AU122" s="32" t="s">
        <v>314</v>
      </c>
      <c r="AV122" s="32" t="str">
        <f t="shared" si="2"/>
        <v>2008</v>
      </c>
      <c r="AW122" s="24" t="s">
        <v>59</v>
      </c>
      <c r="AX122" s="24" t="s">
        <v>59</v>
      </c>
      <c r="AY122" s="24"/>
      <c r="AZ122" s="24"/>
      <c r="BA122" s="24" t="s">
        <v>59</v>
      </c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</row>
    <row r="123" spans="1:85">
      <c r="A123" s="14" t="s">
        <v>309</v>
      </c>
      <c r="B123" s="14" t="s">
        <v>310</v>
      </c>
      <c r="C123" s="14" t="s">
        <v>60</v>
      </c>
      <c r="D123" s="14">
        <v>8239</v>
      </c>
      <c r="E123" s="14" t="s">
        <v>319</v>
      </c>
      <c r="F123" s="14"/>
      <c r="G123" s="15" t="s">
        <v>1447</v>
      </c>
      <c r="H123" s="16" t="s">
        <v>64</v>
      </c>
      <c r="I123" s="18">
        <v>0</v>
      </c>
      <c r="J123" s="48" t="s">
        <v>59</v>
      </c>
      <c r="K123" s="58" t="s">
        <v>64</v>
      </c>
      <c r="L123" s="60"/>
      <c r="M123" s="17"/>
      <c r="N123" s="81">
        <v>1</v>
      </c>
      <c r="O123" s="149">
        <f>IF(Tabela232[[#This Row],[Situação2]]=Tabela232[[#This Row],[Situação]],0,1)</f>
        <v>0</v>
      </c>
      <c r="P123" s="89" t="s">
        <v>64</v>
      </c>
      <c r="Q123" s="60"/>
      <c r="R123" s="60"/>
      <c r="S123" s="61">
        <v>1</v>
      </c>
      <c r="T123" s="96">
        <f>2018-Tabela232[[#This Row],[Ano do convênio]]</f>
        <v>10</v>
      </c>
      <c r="U123" s="76" t="s">
        <v>64</v>
      </c>
      <c r="V123" s="76" t="s">
        <v>988</v>
      </c>
      <c r="W123" s="76" t="s">
        <v>59</v>
      </c>
      <c r="X123" s="82">
        <f>IF(Tabela232[[#This Row],[Situação3]]=Tabela232[[#This Row],[Situação4]],0,1)</f>
        <v>0</v>
      </c>
      <c r="Y123" s="82"/>
      <c r="Z123" s="82">
        <v>0</v>
      </c>
      <c r="AA123" s="82" t="s">
        <v>64</v>
      </c>
      <c r="AB123" s="82" t="s">
        <v>988</v>
      </c>
      <c r="AC123" s="82">
        <v>0</v>
      </c>
      <c r="AD123" s="82" t="str">
        <f>Tabela232[[#This Row],[Situação3]]</f>
        <v>Não iniciada</v>
      </c>
      <c r="AE123" s="82" t="s">
        <v>204</v>
      </c>
      <c r="AF123" s="82" t="s">
        <v>988</v>
      </c>
      <c r="AG123" s="82">
        <v>0</v>
      </c>
      <c r="AH123" s="82"/>
      <c r="AI123" s="14"/>
      <c r="AJ123" s="14" t="s">
        <v>1602</v>
      </c>
      <c r="AK123" s="15" t="s">
        <v>60</v>
      </c>
      <c r="AL123" s="15" t="s">
        <v>78</v>
      </c>
      <c r="AM123" s="15" t="s">
        <v>60</v>
      </c>
      <c r="AN123" s="153">
        <f>INDEX('Simec OT - 020718'!$AX$1:$AX$137,MATCH(Tabela232[[#This Row],[ID obra]],'Simec OT - 020718'!$A$1:$A$137,0))</f>
        <v>0</v>
      </c>
      <c r="AO123" s="129">
        <v>0</v>
      </c>
      <c r="AP123" s="156">
        <f>IF(COUNTIF(AO$2:AO123,AO123)=1,1,0)</f>
        <v>0</v>
      </c>
      <c r="AQ123" s="156">
        <f t="shared" si="1"/>
        <v>25</v>
      </c>
      <c r="AR123" s="129">
        <f>Tabela232[[#This Row],[Saldo da conta 07/2018]]/Tabela232[[#This Row],[formel2]]</f>
        <v>0</v>
      </c>
      <c r="AS123" s="186">
        <f>INDEX('[1]Total repassado por obra'!$D$2:$D$127,MATCH(Tabela232[[#This Row],[ID obra]],'[1]Total repassado por obra'!$B$2:$B$127,0))</f>
        <v>2740382</v>
      </c>
      <c r="AT123" s="187">
        <v>342547.75</v>
      </c>
      <c r="AU123" s="32" t="s">
        <v>314</v>
      </c>
      <c r="AV123" s="32" t="str">
        <f t="shared" si="2"/>
        <v>2008</v>
      </c>
      <c r="AW123" s="24" t="s">
        <v>59</v>
      </c>
      <c r="AX123" s="24" t="s">
        <v>59</v>
      </c>
      <c r="AY123" s="24"/>
      <c r="AZ123" s="24"/>
      <c r="BA123" s="24" t="s">
        <v>59</v>
      </c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</row>
    <row r="124" spans="1:85">
      <c r="A124" s="14" t="s">
        <v>309</v>
      </c>
      <c r="B124" s="14" t="s">
        <v>310</v>
      </c>
      <c r="C124" s="14" t="s">
        <v>60</v>
      </c>
      <c r="D124" s="14">
        <v>8240</v>
      </c>
      <c r="E124" s="14" t="s">
        <v>320</v>
      </c>
      <c r="F124" s="14"/>
      <c r="G124" s="15" t="s">
        <v>1447</v>
      </c>
      <c r="H124" s="16" t="s">
        <v>64</v>
      </c>
      <c r="I124" s="18">
        <v>0</v>
      </c>
      <c r="J124" s="48" t="s">
        <v>59</v>
      </c>
      <c r="K124" s="58" t="s">
        <v>64</v>
      </c>
      <c r="L124" s="60"/>
      <c r="M124" s="17"/>
      <c r="N124" s="81">
        <v>1</v>
      </c>
      <c r="O124" s="149">
        <f>IF(Tabela232[[#This Row],[Situação2]]=Tabela232[[#This Row],[Situação]],0,1)</f>
        <v>0</v>
      </c>
      <c r="P124" s="89" t="s">
        <v>64</v>
      </c>
      <c r="Q124" s="60"/>
      <c r="R124" s="60"/>
      <c r="S124" s="61">
        <v>1</v>
      </c>
      <c r="T124" s="96">
        <f>2018-Tabela232[[#This Row],[Ano do convênio]]</f>
        <v>10</v>
      </c>
      <c r="U124" s="76" t="s">
        <v>64</v>
      </c>
      <c r="V124" s="76" t="s">
        <v>988</v>
      </c>
      <c r="W124" s="76" t="s">
        <v>59</v>
      </c>
      <c r="X124" s="82">
        <f>IF(Tabela232[[#This Row],[Situação3]]=Tabela232[[#This Row],[Situação4]],0,1)</f>
        <v>0</v>
      </c>
      <c r="Y124" s="82"/>
      <c r="Z124" s="82">
        <v>0</v>
      </c>
      <c r="AA124" s="82" t="s">
        <v>64</v>
      </c>
      <c r="AB124" s="82" t="s">
        <v>988</v>
      </c>
      <c r="AC124" s="82">
        <v>0</v>
      </c>
      <c r="AD124" s="82" t="str">
        <f>Tabela232[[#This Row],[Situação3]]</f>
        <v>Não iniciada</v>
      </c>
      <c r="AE124" s="82" t="s">
        <v>204</v>
      </c>
      <c r="AF124" s="82" t="s">
        <v>988</v>
      </c>
      <c r="AG124" s="82">
        <v>0</v>
      </c>
      <c r="AH124" s="82"/>
      <c r="AI124" s="14"/>
      <c r="AJ124" s="14" t="s">
        <v>1602</v>
      </c>
      <c r="AK124" s="15" t="s">
        <v>60</v>
      </c>
      <c r="AL124" s="15" t="s">
        <v>78</v>
      </c>
      <c r="AM124" s="15" t="s">
        <v>60</v>
      </c>
      <c r="AN124" s="153">
        <f>INDEX('Simec OT - 020718'!$AX$1:$AX$137,MATCH(Tabela232[[#This Row],[ID obra]],'Simec OT - 020718'!$A$1:$A$137,0))</f>
        <v>0</v>
      </c>
      <c r="AO124" s="129">
        <v>0</v>
      </c>
      <c r="AP124" s="156">
        <f>IF(COUNTIF(AO$2:AO124,AO124)=1,1,0)</f>
        <v>0</v>
      </c>
      <c r="AQ124" s="156">
        <f t="shared" si="1"/>
        <v>25</v>
      </c>
      <c r="AR124" s="129">
        <f>Tabela232[[#This Row],[Saldo da conta 07/2018]]/Tabela232[[#This Row],[formel2]]</f>
        <v>0</v>
      </c>
      <c r="AS124" s="186">
        <f>INDEX('[1]Total repassado por obra'!$D$2:$D$127,MATCH(Tabela232[[#This Row],[ID obra]],'[1]Total repassado por obra'!$B$2:$B$127,0))</f>
        <v>2740382</v>
      </c>
      <c r="AT124" s="187">
        <v>342547.75</v>
      </c>
      <c r="AU124" s="32" t="s">
        <v>314</v>
      </c>
      <c r="AV124" s="32" t="str">
        <f t="shared" si="2"/>
        <v>2008</v>
      </c>
      <c r="AW124" s="24" t="s">
        <v>59</v>
      </c>
      <c r="AX124" s="24" t="s">
        <v>59</v>
      </c>
      <c r="AY124" s="24"/>
      <c r="AZ124" s="24"/>
      <c r="BA124" s="24" t="s">
        <v>59</v>
      </c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</row>
    <row r="125" spans="1:85">
      <c r="A125" s="14" t="s">
        <v>309</v>
      </c>
      <c r="B125" s="14" t="s">
        <v>310</v>
      </c>
      <c r="C125" s="14" t="s">
        <v>60</v>
      </c>
      <c r="D125" s="14">
        <v>8241</v>
      </c>
      <c r="E125" s="14" t="s">
        <v>321</v>
      </c>
      <c r="F125" s="14"/>
      <c r="G125" s="15" t="s">
        <v>1447</v>
      </c>
      <c r="H125" s="16" t="s">
        <v>64</v>
      </c>
      <c r="I125" s="18">
        <v>0</v>
      </c>
      <c r="J125" s="48" t="s">
        <v>59</v>
      </c>
      <c r="K125" s="58" t="s">
        <v>64</v>
      </c>
      <c r="L125" s="60"/>
      <c r="M125" s="17"/>
      <c r="N125" s="81">
        <v>1</v>
      </c>
      <c r="O125" s="149">
        <f>IF(Tabela232[[#This Row],[Situação2]]=Tabela232[[#This Row],[Situação]],0,1)</f>
        <v>0</v>
      </c>
      <c r="P125" s="89" t="s">
        <v>64</v>
      </c>
      <c r="Q125" s="60"/>
      <c r="R125" s="60"/>
      <c r="S125" s="61">
        <v>1</v>
      </c>
      <c r="T125" s="96">
        <f>2018-Tabela232[[#This Row],[Ano do convênio]]</f>
        <v>10</v>
      </c>
      <c r="U125" s="76" t="s">
        <v>64</v>
      </c>
      <c r="V125" s="76" t="s">
        <v>988</v>
      </c>
      <c r="W125" s="76" t="s">
        <v>59</v>
      </c>
      <c r="X125" s="82">
        <f>IF(Tabela232[[#This Row],[Situação3]]=Tabela232[[#This Row],[Situação4]],0,1)</f>
        <v>0</v>
      </c>
      <c r="Y125" s="82"/>
      <c r="Z125" s="82">
        <v>0</v>
      </c>
      <c r="AA125" s="82" t="s">
        <v>64</v>
      </c>
      <c r="AB125" s="82" t="s">
        <v>988</v>
      </c>
      <c r="AC125" s="82">
        <v>0</v>
      </c>
      <c r="AD125" s="82" t="str">
        <f>Tabela232[[#This Row],[Situação3]]</f>
        <v>Não iniciada</v>
      </c>
      <c r="AE125" s="82" t="s">
        <v>204</v>
      </c>
      <c r="AF125" s="82" t="s">
        <v>988</v>
      </c>
      <c r="AG125" s="82">
        <v>0</v>
      </c>
      <c r="AH125" s="82"/>
      <c r="AI125" s="14"/>
      <c r="AJ125" s="14" t="s">
        <v>1602</v>
      </c>
      <c r="AK125" s="15" t="s">
        <v>60</v>
      </c>
      <c r="AL125" s="15" t="s">
        <v>78</v>
      </c>
      <c r="AM125" s="15" t="s">
        <v>60</v>
      </c>
      <c r="AN125" s="153">
        <f>INDEX('Simec OT - 020718'!$AX$1:$AX$137,MATCH(Tabela232[[#This Row],[ID obra]],'Simec OT - 020718'!$A$1:$A$137,0))</f>
        <v>0</v>
      </c>
      <c r="AO125" s="129">
        <v>0</v>
      </c>
      <c r="AP125" s="156">
        <f>IF(COUNTIF(AO$2:AO125,AO125)=1,1,0)</f>
        <v>0</v>
      </c>
      <c r="AQ125" s="156">
        <f t="shared" si="1"/>
        <v>25</v>
      </c>
      <c r="AR125" s="129">
        <f>Tabela232[[#This Row],[Saldo da conta 07/2018]]/Tabela232[[#This Row],[formel2]]</f>
        <v>0</v>
      </c>
      <c r="AS125" s="186">
        <f>INDEX('[1]Total repassado por obra'!$D$2:$D$127,MATCH(Tabela232[[#This Row],[ID obra]],'[1]Total repassado por obra'!$B$2:$B$127,0))</f>
        <v>2740382</v>
      </c>
      <c r="AT125" s="187">
        <v>342547.75</v>
      </c>
      <c r="AU125" s="32" t="s">
        <v>314</v>
      </c>
      <c r="AV125" s="32" t="str">
        <f t="shared" si="2"/>
        <v>2008</v>
      </c>
      <c r="AW125" s="24" t="s">
        <v>59</v>
      </c>
      <c r="AX125" s="24" t="s">
        <v>59</v>
      </c>
      <c r="AY125" s="24"/>
      <c r="AZ125" s="24"/>
      <c r="BA125" s="24" t="s">
        <v>59</v>
      </c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</row>
    <row r="126" spans="1:85">
      <c r="A126" s="14" t="s">
        <v>309</v>
      </c>
      <c r="B126" s="14" t="s">
        <v>310</v>
      </c>
      <c r="C126" s="14" t="s">
        <v>60</v>
      </c>
      <c r="D126" s="14">
        <v>1001247</v>
      </c>
      <c r="E126" s="14" t="s">
        <v>68</v>
      </c>
      <c r="F126" s="14"/>
      <c r="G126" s="15" t="s">
        <v>331</v>
      </c>
      <c r="H126" s="16" t="s">
        <v>64</v>
      </c>
      <c r="I126" s="18">
        <v>0</v>
      </c>
      <c r="J126" s="48" t="s">
        <v>59</v>
      </c>
      <c r="K126" s="58" t="s">
        <v>64</v>
      </c>
      <c r="L126" s="60"/>
      <c r="M126" s="17"/>
      <c r="N126" s="81">
        <v>1</v>
      </c>
      <c r="O126" s="149">
        <f>IF(Tabela232[[#This Row],[Situação2]]=Tabela232[[#This Row],[Situação]],0,1)</f>
        <v>0</v>
      </c>
      <c r="P126" s="89" t="s">
        <v>64</v>
      </c>
      <c r="Q126" s="60"/>
      <c r="R126" s="60"/>
      <c r="S126" s="61">
        <v>1</v>
      </c>
      <c r="T126" s="96">
        <f>2018-Tabela232[[#This Row],[Ano do convênio]]</f>
        <v>5</v>
      </c>
      <c r="U126" s="76" t="s">
        <v>64</v>
      </c>
      <c r="V126" s="76" t="s">
        <v>988</v>
      </c>
      <c r="W126" s="76" t="s">
        <v>59</v>
      </c>
      <c r="X126" s="82">
        <f>IF(Tabela232[[#This Row],[Situação3]]=Tabela232[[#This Row],[Situação4]],0,1)</f>
        <v>0</v>
      </c>
      <c r="Y126" s="82"/>
      <c r="Z126" s="82">
        <v>1</v>
      </c>
      <c r="AA126" s="82" t="s">
        <v>204</v>
      </c>
      <c r="AB126" s="82" t="s">
        <v>988</v>
      </c>
      <c r="AC126" s="82">
        <v>0</v>
      </c>
      <c r="AD126" s="82" t="str">
        <f>Tabela232[[#This Row],[Situação3]]</f>
        <v>Não iniciada</v>
      </c>
      <c r="AE126" s="82" t="s">
        <v>204</v>
      </c>
      <c r="AF126" s="82" t="s">
        <v>988</v>
      </c>
      <c r="AG126" s="82">
        <v>0</v>
      </c>
      <c r="AH126" s="82"/>
      <c r="AI126" s="14"/>
      <c r="AJ126" s="14"/>
      <c r="AK126" s="15" t="s">
        <v>78</v>
      </c>
      <c r="AL126" s="15" t="s">
        <v>78</v>
      </c>
      <c r="AM126" s="15" t="s">
        <v>60</v>
      </c>
      <c r="AN126" s="153">
        <f>INDEX('Simec OT - 020718'!$AX$1:$AX$137,MATCH(Tabela232[[#This Row],[ID obra]],'Simec OT - 020718'!$A$1:$A$137,0))</f>
        <v>393925.58</v>
      </c>
      <c r="AO126" s="129">
        <v>0</v>
      </c>
      <c r="AP126" s="156">
        <f>IF(COUNTIF(AO$2:AO126,AO126)=1,1,0)</f>
        <v>0</v>
      </c>
      <c r="AQ126" s="156">
        <f t="shared" si="1"/>
        <v>25</v>
      </c>
      <c r="AR126" s="129">
        <f>Tabela232[[#This Row],[Saldo da conta 07/2018]]/Tabela232[[#This Row],[formel2]]</f>
        <v>0</v>
      </c>
      <c r="AS126" s="129">
        <f>INDEX('[1]Total repassado por obra'!$D$2:$D$127,MATCH(Tabela232[[#This Row],[ID obra]],'[1]Total repassado por obra'!$B$2:$B$127,0))</f>
        <v>490673</v>
      </c>
      <c r="AT126" s="129">
        <v>490673</v>
      </c>
      <c r="AU126" s="32" t="s">
        <v>322</v>
      </c>
      <c r="AV126" s="32" t="str">
        <f t="shared" si="2"/>
        <v>2013</v>
      </c>
      <c r="AW126" s="24" t="s">
        <v>59</v>
      </c>
      <c r="AX126" s="24" t="s">
        <v>59</v>
      </c>
      <c r="AY126" s="24"/>
      <c r="AZ126" s="24"/>
      <c r="BA126" s="24" t="s">
        <v>59</v>
      </c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</row>
    <row r="127" spans="1:85">
      <c r="A127" s="14" t="s">
        <v>309</v>
      </c>
      <c r="B127" s="14" t="s">
        <v>310</v>
      </c>
      <c r="C127" s="14" t="s">
        <v>60</v>
      </c>
      <c r="D127" s="14">
        <v>1001248</v>
      </c>
      <c r="E127" s="14" t="s">
        <v>62</v>
      </c>
      <c r="F127" s="14"/>
      <c r="G127" s="15" t="s">
        <v>331</v>
      </c>
      <c r="H127" s="16" t="s">
        <v>64</v>
      </c>
      <c r="I127" s="18">
        <v>0</v>
      </c>
      <c r="J127" s="48" t="s">
        <v>59</v>
      </c>
      <c r="K127" s="58" t="s">
        <v>64</v>
      </c>
      <c r="L127" s="60"/>
      <c r="M127" s="17"/>
      <c r="N127" s="81">
        <v>1</v>
      </c>
      <c r="O127" s="149">
        <f>IF(Tabela232[[#This Row],[Situação2]]=Tabela232[[#This Row],[Situação]],0,1)</f>
        <v>0</v>
      </c>
      <c r="P127" s="89" t="s">
        <v>64</v>
      </c>
      <c r="Q127" s="60"/>
      <c r="R127" s="60"/>
      <c r="S127" s="61">
        <v>1</v>
      </c>
      <c r="T127" s="96">
        <f>2018-Tabela232[[#This Row],[Ano do convênio]]</f>
        <v>5</v>
      </c>
      <c r="U127" s="76" t="s">
        <v>64</v>
      </c>
      <c r="V127" s="76" t="s">
        <v>988</v>
      </c>
      <c r="W127" s="76" t="s">
        <v>59</v>
      </c>
      <c r="X127" s="82">
        <f>IF(Tabela232[[#This Row],[Situação3]]=Tabela232[[#This Row],[Situação4]],0,1)</f>
        <v>0</v>
      </c>
      <c r="Y127" s="82"/>
      <c r="Z127" s="82">
        <v>1</v>
      </c>
      <c r="AA127" s="82" t="s">
        <v>204</v>
      </c>
      <c r="AB127" s="82" t="s">
        <v>988</v>
      </c>
      <c r="AC127" s="82">
        <v>0</v>
      </c>
      <c r="AD127" s="82" t="str">
        <f>Tabela232[[#This Row],[Situação3]]</f>
        <v>Não iniciada</v>
      </c>
      <c r="AE127" s="82" t="s">
        <v>204</v>
      </c>
      <c r="AF127" s="82" t="s">
        <v>988</v>
      </c>
      <c r="AG127" s="82">
        <v>0</v>
      </c>
      <c r="AH127" s="82"/>
      <c r="AI127" s="14"/>
      <c r="AJ127" s="14"/>
      <c r="AK127" s="15" t="s">
        <v>78</v>
      </c>
      <c r="AL127" s="15" t="s">
        <v>78</v>
      </c>
      <c r="AM127" s="15" t="s">
        <v>60</v>
      </c>
      <c r="AN127" s="153">
        <f>INDEX('Simec OT - 020718'!$AX$1:$AX$137,MATCH(Tabela232[[#This Row],[ID obra]],'Simec OT - 020718'!$A$1:$A$137,0))</f>
        <v>393925.57</v>
      </c>
      <c r="AO127" s="129">
        <v>0</v>
      </c>
      <c r="AP127" s="156">
        <f>IF(COUNTIF(AO$2:AO127,AO127)=1,1,0)</f>
        <v>0</v>
      </c>
      <c r="AQ127" s="156">
        <f t="shared" si="1"/>
        <v>25</v>
      </c>
      <c r="AR127" s="129">
        <f>Tabela232[[#This Row],[Saldo da conta 07/2018]]/Tabela232[[#This Row],[formel2]]</f>
        <v>0</v>
      </c>
      <c r="AS127" s="129">
        <f>INDEX('[1]Total repassado por obra'!$D$2:$D$127,MATCH(Tabela232[[#This Row],[ID obra]],'[1]Total repassado por obra'!$B$2:$B$127,0))</f>
        <v>490673</v>
      </c>
      <c r="AT127" s="129">
        <v>490673</v>
      </c>
      <c r="AU127" s="32" t="s">
        <v>322</v>
      </c>
      <c r="AV127" s="32" t="str">
        <f t="shared" si="2"/>
        <v>2013</v>
      </c>
      <c r="AW127" s="24" t="s">
        <v>59</v>
      </c>
      <c r="AX127" s="24" t="s">
        <v>59</v>
      </c>
      <c r="AY127" s="24"/>
      <c r="AZ127" s="24"/>
      <c r="BA127" s="24" t="s">
        <v>59</v>
      </c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</row>
    <row r="128" spans="1:85">
      <c r="A128" s="14" t="s">
        <v>309</v>
      </c>
      <c r="B128" s="14" t="s">
        <v>310</v>
      </c>
      <c r="C128" s="14" t="s">
        <v>60</v>
      </c>
      <c r="D128" s="14">
        <v>1002357</v>
      </c>
      <c r="E128" s="14" t="s">
        <v>323</v>
      </c>
      <c r="F128" s="14"/>
      <c r="G128" s="15" t="s">
        <v>331</v>
      </c>
      <c r="H128" s="16" t="s">
        <v>64</v>
      </c>
      <c r="I128" s="18">
        <v>0</v>
      </c>
      <c r="J128" s="48" t="s">
        <v>59</v>
      </c>
      <c r="K128" s="58" t="s">
        <v>64</v>
      </c>
      <c r="L128" s="60"/>
      <c r="M128" s="17"/>
      <c r="N128" s="81">
        <v>1</v>
      </c>
      <c r="O128" s="149">
        <f>IF(Tabela232[[#This Row],[Situação2]]=Tabela232[[#This Row],[Situação]],0,1)</f>
        <v>0</v>
      </c>
      <c r="P128" s="89" t="s">
        <v>64</v>
      </c>
      <c r="Q128" s="60"/>
      <c r="R128" s="60"/>
      <c r="S128" s="61">
        <v>1</v>
      </c>
      <c r="T128" s="96">
        <f>2018-Tabela232[[#This Row],[Ano do convênio]]</f>
        <v>5</v>
      </c>
      <c r="U128" s="76" t="s">
        <v>64</v>
      </c>
      <c r="V128" s="76" t="s">
        <v>988</v>
      </c>
      <c r="W128" s="76" t="s">
        <v>59</v>
      </c>
      <c r="X128" s="82">
        <f>IF(Tabela232[[#This Row],[Situação3]]=Tabela232[[#This Row],[Situação4]],0,1)</f>
        <v>0</v>
      </c>
      <c r="Y128" s="82"/>
      <c r="Z128" s="82">
        <v>1</v>
      </c>
      <c r="AA128" s="82" t="s">
        <v>204</v>
      </c>
      <c r="AB128" s="82" t="s">
        <v>988</v>
      </c>
      <c r="AC128" s="82">
        <v>0</v>
      </c>
      <c r="AD128" s="82" t="str">
        <f>Tabela232[[#This Row],[Situação3]]</f>
        <v>Não iniciada</v>
      </c>
      <c r="AE128" s="82" t="s">
        <v>204</v>
      </c>
      <c r="AF128" s="82" t="s">
        <v>988</v>
      </c>
      <c r="AG128" s="82">
        <v>0</v>
      </c>
      <c r="AH128" s="82"/>
      <c r="AI128" s="14"/>
      <c r="AJ128" s="14" t="s">
        <v>1603</v>
      </c>
      <c r="AK128" s="15" t="s">
        <v>60</v>
      </c>
      <c r="AL128" s="15" t="s">
        <v>78</v>
      </c>
      <c r="AM128" s="15" t="s">
        <v>60</v>
      </c>
      <c r="AN128" s="153">
        <f>INDEX('Simec OT - 020718'!$AX$1:$AX$137,MATCH(Tabela232[[#This Row],[ID obra]],'Simec OT - 020718'!$A$1:$A$137,0))</f>
        <v>393727.89</v>
      </c>
      <c r="AO128" s="129">
        <v>4850192.7300000004</v>
      </c>
      <c r="AP128" s="156">
        <f>IF(COUNTIF(AO$2:AO128,AO128)=1,1,0)</f>
        <v>1</v>
      </c>
      <c r="AQ128" s="156">
        <f t="shared" si="1"/>
        <v>9</v>
      </c>
      <c r="AR128" s="129">
        <f>Tabela232[[#This Row],[Saldo da conta 07/2018]]/Tabela232[[#This Row],[formel2]]</f>
        <v>538910.30333333334</v>
      </c>
      <c r="AS128" s="129">
        <f>INDEX('[1]Total repassado por obra'!$D$2:$D$127,MATCH(Tabela232[[#This Row],[ID obra]],'[1]Total repassado por obra'!$B$2:$B$127,0))</f>
        <v>490426</v>
      </c>
      <c r="AT128" s="129">
        <v>490426</v>
      </c>
      <c r="AU128" s="32" t="s">
        <v>324</v>
      </c>
      <c r="AV128" s="32" t="str">
        <f t="shared" si="2"/>
        <v>2013</v>
      </c>
      <c r="AW128" s="24" t="s">
        <v>59</v>
      </c>
      <c r="AX128" s="24" t="s">
        <v>59</v>
      </c>
      <c r="AY128" s="24"/>
      <c r="AZ128" s="24"/>
      <c r="BA128" s="24" t="s">
        <v>59</v>
      </c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</row>
    <row r="129" spans="1:85">
      <c r="A129" s="14" t="s">
        <v>309</v>
      </c>
      <c r="B129" s="14" t="s">
        <v>310</v>
      </c>
      <c r="C129" s="14" t="s">
        <v>60</v>
      </c>
      <c r="D129" s="14">
        <v>1002358</v>
      </c>
      <c r="E129" s="14" t="s">
        <v>325</v>
      </c>
      <c r="F129" s="14"/>
      <c r="G129" s="15" t="s">
        <v>331</v>
      </c>
      <c r="H129" s="16" t="s">
        <v>64</v>
      </c>
      <c r="I129" s="18">
        <v>0</v>
      </c>
      <c r="J129" s="48" t="s">
        <v>59</v>
      </c>
      <c r="K129" s="58" t="s">
        <v>64</v>
      </c>
      <c r="L129" s="60"/>
      <c r="M129" s="17"/>
      <c r="N129" s="81">
        <v>1</v>
      </c>
      <c r="O129" s="149">
        <f>IF(Tabela232[[#This Row],[Situação2]]=Tabela232[[#This Row],[Situação]],0,1)</f>
        <v>0</v>
      </c>
      <c r="P129" s="89" t="s">
        <v>64</v>
      </c>
      <c r="Q129" s="60"/>
      <c r="R129" s="60"/>
      <c r="S129" s="61">
        <v>1</v>
      </c>
      <c r="T129" s="96">
        <f>2018-Tabela232[[#This Row],[Ano do convênio]]</f>
        <v>5</v>
      </c>
      <c r="U129" s="76" t="s">
        <v>64</v>
      </c>
      <c r="V129" s="76" t="s">
        <v>988</v>
      </c>
      <c r="W129" s="76" t="s">
        <v>59</v>
      </c>
      <c r="X129" s="82">
        <f>IF(Tabela232[[#This Row],[Situação3]]=Tabela232[[#This Row],[Situação4]],0,1)</f>
        <v>0</v>
      </c>
      <c r="Y129" s="82"/>
      <c r="Z129" s="82">
        <v>1</v>
      </c>
      <c r="AA129" s="82" t="s">
        <v>204</v>
      </c>
      <c r="AB129" s="82" t="s">
        <v>988</v>
      </c>
      <c r="AC129" s="82">
        <v>0</v>
      </c>
      <c r="AD129" s="82" t="str">
        <f>Tabela232[[#This Row],[Situação3]]</f>
        <v>Não iniciada</v>
      </c>
      <c r="AE129" s="82" t="s">
        <v>204</v>
      </c>
      <c r="AF129" s="82" t="s">
        <v>988</v>
      </c>
      <c r="AG129" s="82">
        <v>0</v>
      </c>
      <c r="AH129" s="82"/>
      <c r="AI129" s="14"/>
      <c r="AJ129" s="14" t="s">
        <v>1603</v>
      </c>
      <c r="AK129" s="15" t="s">
        <v>60</v>
      </c>
      <c r="AL129" s="15" t="s">
        <v>78</v>
      </c>
      <c r="AM129" s="15" t="s">
        <v>60</v>
      </c>
      <c r="AN129" s="153">
        <f>INDEX('Simec OT - 020718'!$AX$1:$AX$137,MATCH(Tabela232[[#This Row],[ID obra]],'Simec OT - 020718'!$A$1:$A$137,0))</f>
        <v>394800.01</v>
      </c>
      <c r="AO129" s="129">
        <v>4850192.7300000004</v>
      </c>
      <c r="AP129" s="156">
        <f>IF(COUNTIF(AO$2:AO129,AO129)=1,1,0)</f>
        <v>0</v>
      </c>
      <c r="AQ129" s="156">
        <f t="shared" si="1"/>
        <v>9</v>
      </c>
      <c r="AR129" s="129">
        <f>Tabela232[[#This Row],[Saldo da conta 07/2018]]/Tabela232[[#This Row],[formel2]]</f>
        <v>538910.30333333334</v>
      </c>
      <c r="AS129" s="129">
        <f>INDEX('[1]Total repassado por obra'!$D$2:$D$127,MATCH(Tabela232[[#This Row],[ID obra]],'[1]Total repassado por obra'!$B$2:$B$127,0))</f>
        <v>491762</v>
      </c>
      <c r="AT129" s="129">
        <v>491762</v>
      </c>
      <c r="AU129" s="32" t="s">
        <v>324</v>
      </c>
      <c r="AV129" s="32" t="str">
        <f t="shared" si="2"/>
        <v>2013</v>
      </c>
      <c r="AW129" s="24" t="s">
        <v>59</v>
      </c>
      <c r="AX129" s="24" t="s">
        <v>59</v>
      </c>
      <c r="AY129" s="24"/>
      <c r="AZ129" s="24"/>
      <c r="BA129" s="24" t="s">
        <v>59</v>
      </c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</row>
    <row r="130" spans="1:85">
      <c r="A130" s="14" t="s">
        <v>309</v>
      </c>
      <c r="B130" s="14" t="s">
        <v>310</v>
      </c>
      <c r="C130" s="14" t="s">
        <v>60</v>
      </c>
      <c r="D130" s="14">
        <v>1002359</v>
      </c>
      <c r="E130" s="14" t="s">
        <v>326</v>
      </c>
      <c r="F130" s="14"/>
      <c r="G130" s="15" t="s">
        <v>331</v>
      </c>
      <c r="H130" s="16" t="s">
        <v>64</v>
      </c>
      <c r="I130" s="18">
        <v>0</v>
      </c>
      <c r="J130" s="48" t="s">
        <v>59</v>
      </c>
      <c r="K130" s="58" t="s">
        <v>64</v>
      </c>
      <c r="L130" s="60"/>
      <c r="M130" s="17"/>
      <c r="N130" s="81">
        <v>1</v>
      </c>
      <c r="O130" s="149">
        <f>IF(Tabela232[[#This Row],[Situação2]]=Tabela232[[#This Row],[Situação]],0,1)</f>
        <v>0</v>
      </c>
      <c r="P130" s="89" t="s">
        <v>64</v>
      </c>
      <c r="Q130" s="60"/>
      <c r="R130" s="60"/>
      <c r="S130" s="61">
        <v>1</v>
      </c>
      <c r="T130" s="96">
        <f>2018-Tabela232[[#This Row],[Ano do convênio]]</f>
        <v>5</v>
      </c>
      <c r="U130" s="76" t="s">
        <v>64</v>
      </c>
      <c r="V130" s="76" t="s">
        <v>988</v>
      </c>
      <c r="W130" s="76" t="s">
        <v>59</v>
      </c>
      <c r="X130" s="82">
        <f>IF(Tabela232[[#This Row],[Situação3]]=Tabela232[[#This Row],[Situação4]],0,1)</f>
        <v>0</v>
      </c>
      <c r="Y130" s="82"/>
      <c r="Z130" s="82">
        <v>1</v>
      </c>
      <c r="AA130" s="82" t="s">
        <v>204</v>
      </c>
      <c r="AB130" s="82" t="s">
        <v>988</v>
      </c>
      <c r="AC130" s="82">
        <v>0</v>
      </c>
      <c r="AD130" s="82" t="str">
        <f>Tabela232[[#This Row],[Situação3]]</f>
        <v>Não iniciada</v>
      </c>
      <c r="AE130" s="82" t="s">
        <v>204</v>
      </c>
      <c r="AF130" s="82" t="s">
        <v>988</v>
      </c>
      <c r="AG130" s="82">
        <v>0</v>
      </c>
      <c r="AH130" s="82"/>
      <c r="AI130" s="14"/>
      <c r="AJ130" s="14" t="s">
        <v>1603</v>
      </c>
      <c r="AK130" s="15" t="s">
        <v>60</v>
      </c>
      <c r="AL130" s="15" t="s">
        <v>78</v>
      </c>
      <c r="AM130" s="15" t="s">
        <v>60</v>
      </c>
      <c r="AN130" s="153">
        <f>INDEX('Simec OT - 020718'!$AX$1:$AX$137,MATCH(Tabela232[[#This Row],[ID obra]],'Simec OT - 020718'!$A$1:$A$137,0))</f>
        <v>391270.01</v>
      </c>
      <c r="AO130" s="129">
        <v>4850192.7300000004</v>
      </c>
      <c r="AP130" s="156">
        <f>IF(COUNTIF(AO$2:AO130,AO130)=1,1,0)</f>
        <v>0</v>
      </c>
      <c r="AQ130" s="156">
        <f t="shared" si="1"/>
        <v>9</v>
      </c>
      <c r="AR130" s="129">
        <f>Tabela232[[#This Row],[Saldo da conta 07/2018]]/Tabela232[[#This Row],[formel2]]</f>
        <v>538910.30333333334</v>
      </c>
      <c r="AS130" s="129">
        <f>INDEX('[1]Total repassado por obra'!$D$2:$D$127,MATCH(Tabela232[[#This Row],[ID obra]],'[1]Total repassado por obra'!$B$2:$B$127,0))</f>
        <v>487365</v>
      </c>
      <c r="AT130" s="129">
        <v>487365</v>
      </c>
      <c r="AU130" s="32" t="s">
        <v>324</v>
      </c>
      <c r="AV130" s="32" t="str">
        <f t="shared" si="2"/>
        <v>2013</v>
      </c>
      <c r="AW130" s="24" t="s">
        <v>59</v>
      </c>
      <c r="AX130" s="24" t="s">
        <v>59</v>
      </c>
      <c r="AY130" s="24"/>
      <c r="AZ130" s="24"/>
      <c r="BA130" s="24" t="s">
        <v>59</v>
      </c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</row>
    <row r="131" spans="1:85">
      <c r="A131" s="14" t="s">
        <v>309</v>
      </c>
      <c r="B131" s="14" t="s">
        <v>310</v>
      </c>
      <c r="C131" s="14" t="s">
        <v>60</v>
      </c>
      <c r="D131" s="14">
        <v>1002360</v>
      </c>
      <c r="E131" s="14" t="s">
        <v>73</v>
      </c>
      <c r="F131" s="14"/>
      <c r="G131" s="15" t="s">
        <v>331</v>
      </c>
      <c r="H131" s="16" t="s">
        <v>64</v>
      </c>
      <c r="I131" s="18">
        <v>0</v>
      </c>
      <c r="J131" s="48" t="s">
        <v>59</v>
      </c>
      <c r="K131" s="58" t="s">
        <v>64</v>
      </c>
      <c r="L131" s="60"/>
      <c r="M131" s="17"/>
      <c r="N131" s="81">
        <v>1</v>
      </c>
      <c r="O131" s="149">
        <f>IF(Tabela232[[#This Row],[Situação2]]=Tabela232[[#This Row],[Situação]],0,1)</f>
        <v>0</v>
      </c>
      <c r="P131" s="89" t="s">
        <v>64</v>
      </c>
      <c r="Q131" s="60"/>
      <c r="R131" s="60"/>
      <c r="S131" s="61">
        <v>1</v>
      </c>
      <c r="T131" s="96">
        <f>2018-Tabela232[[#This Row],[Ano do convênio]]</f>
        <v>5</v>
      </c>
      <c r="U131" s="76" t="s">
        <v>64</v>
      </c>
      <c r="V131" s="76" t="s">
        <v>988</v>
      </c>
      <c r="W131" s="76" t="s">
        <v>59</v>
      </c>
      <c r="X131" s="82">
        <f>IF(Tabela232[[#This Row],[Situação3]]=Tabela232[[#This Row],[Situação4]],0,1)</f>
        <v>0</v>
      </c>
      <c r="Y131" s="82"/>
      <c r="Z131" s="82">
        <v>1</v>
      </c>
      <c r="AA131" s="82" t="s">
        <v>204</v>
      </c>
      <c r="AB131" s="82" t="s">
        <v>988</v>
      </c>
      <c r="AC131" s="82">
        <v>0</v>
      </c>
      <c r="AD131" s="82" t="str">
        <f>Tabela232[[#This Row],[Situação3]]</f>
        <v>Não iniciada</v>
      </c>
      <c r="AE131" s="82" t="s">
        <v>204</v>
      </c>
      <c r="AF131" s="82" t="s">
        <v>988</v>
      </c>
      <c r="AG131" s="82">
        <v>0</v>
      </c>
      <c r="AH131" s="82"/>
      <c r="AI131" s="14"/>
      <c r="AJ131" s="14" t="s">
        <v>1603</v>
      </c>
      <c r="AK131" s="15" t="s">
        <v>60</v>
      </c>
      <c r="AL131" s="15" t="s">
        <v>78</v>
      </c>
      <c r="AM131" s="15" t="s">
        <v>60</v>
      </c>
      <c r="AN131" s="153">
        <f>INDEX('Simec OT - 020718'!$AX$1:$AX$137,MATCH(Tabela232[[#This Row],[ID obra]],'Simec OT - 020718'!$A$1:$A$137,0))</f>
        <v>397982.51</v>
      </c>
      <c r="AO131" s="129">
        <v>4850192.7300000004</v>
      </c>
      <c r="AP131" s="156">
        <f>IF(COUNTIF(AO$2:AO131,AO131)=1,1,0)</f>
        <v>0</v>
      </c>
      <c r="AQ131" s="156">
        <f t="shared" si="1"/>
        <v>9</v>
      </c>
      <c r="AR131" s="129">
        <f>Tabela232[[#This Row],[Saldo da conta 07/2018]]/Tabela232[[#This Row],[formel2]]</f>
        <v>538910.30333333334</v>
      </c>
      <c r="AS131" s="129">
        <f>INDEX('[1]Total repassado por obra'!$D$2:$D$127,MATCH(Tabela232[[#This Row],[ID obra]],'[1]Total repassado por obra'!$B$2:$B$127,0))</f>
        <v>495726</v>
      </c>
      <c r="AT131" s="129">
        <v>495726</v>
      </c>
      <c r="AU131" s="32" t="s">
        <v>324</v>
      </c>
      <c r="AV131" s="32" t="str">
        <f t="shared" si="2"/>
        <v>2013</v>
      </c>
      <c r="AW131" s="24" t="s">
        <v>59</v>
      </c>
      <c r="AX131" s="24" t="s">
        <v>59</v>
      </c>
      <c r="AY131" s="24"/>
      <c r="AZ131" s="24"/>
      <c r="BA131" s="24" t="s">
        <v>59</v>
      </c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</row>
    <row r="132" spans="1:85">
      <c r="A132" s="14" t="s">
        <v>309</v>
      </c>
      <c r="B132" s="14" t="s">
        <v>310</v>
      </c>
      <c r="C132" s="14" t="s">
        <v>60</v>
      </c>
      <c r="D132" s="14">
        <v>1002361</v>
      </c>
      <c r="E132" s="14" t="s">
        <v>327</v>
      </c>
      <c r="F132" s="14"/>
      <c r="G132" s="15" t="s">
        <v>331</v>
      </c>
      <c r="H132" s="16" t="s">
        <v>64</v>
      </c>
      <c r="I132" s="18">
        <v>0</v>
      </c>
      <c r="J132" s="48" t="s">
        <v>59</v>
      </c>
      <c r="K132" s="58" t="s">
        <v>64</v>
      </c>
      <c r="L132" s="60"/>
      <c r="M132" s="17"/>
      <c r="N132" s="81">
        <v>1</v>
      </c>
      <c r="O132" s="149">
        <f>IF(Tabela232[[#This Row],[Situação2]]=Tabela232[[#This Row],[Situação]],0,1)</f>
        <v>0</v>
      </c>
      <c r="P132" s="89" t="s">
        <v>64</v>
      </c>
      <c r="Q132" s="60"/>
      <c r="R132" s="60"/>
      <c r="S132" s="61">
        <v>1</v>
      </c>
      <c r="T132" s="96">
        <f>2018-Tabela232[[#This Row],[Ano do convênio]]</f>
        <v>5</v>
      </c>
      <c r="U132" s="76" t="s">
        <v>64</v>
      </c>
      <c r="V132" s="76" t="s">
        <v>988</v>
      </c>
      <c r="W132" s="76" t="s">
        <v>59</v>
      </c>
      <c r="X132" s="82">
        <f>IF(Tabela232[[#This Row],[Situação3]]=Tabela232[[#This Row],[Situação4]],0,1)</f>
        <v>0</v>
      </c>
      <c r="Y132" s="82"/>
      <c r="Z132" s="82">
        <v>1</v>
      </c>
      <c r="AA132" s="82" t="s">
        <v>204</v>
      </c>
      <c r="AB132" s="82" t="s">
        <v>988</v>
      </c>
      <c r="AC132" s="82">
        <v>0</v>
      </c>
      <c r="AD132" s="82" t="str">
        <f>Tabela232[[#This Row],[Situação3]]</f>
        <v>Não iniciada</v>
      </c>
      <c r="AE132" s="82" t="s">
        <v>204</v>
      </c>
      <c r="AF132" s="82" t="s">
        <v>988</v>
      </c>
      <c r="AG132" s="82">
        <v>0</v>
      </c>
      <c r="AH132" s="82"/>
      <c r="AI132" s="14"/>
      <c r="AJ132" s="14" t="s">
        <v>1603</v>
      </c>
      <c r="AK132" s="15" t="s">
        <v>60</v>
      </c>
      <c r="AL132" s="15" t="s">
        <v>78</v>
      </c>
      <c r="AM132" s="15" t="s">
        <v>60</v>
      </c>
      <c r="AN132" s="153">
        <f>INDEX('Simec OT - 020718'!$AX$1:$AX$137,MATCH(Tabela232[[#This Row],[ID obra]],'Simec OT - 020718'!$A$1:$A$137,0))</f>
        <v>394706.64</v>
      </c>
      <c r="AO132" s="129">
        <v>4850192.7300000004</v>
      </c>
      <c r="AP132" s="156">
        <f>IF(COUNTIF(AO$2:AO132,AO132)=1,1,0)</f>
        <v>0</v>
      </c>
      <c r="AQ132" s="156">
        <f t="shared" si="1"/>
        <v>9</v>
      </c>
      <c r="AR132" s="129">
        <f>Tabela232[[#This Row],[Saldo da conta 07/2018]]/Tabela232[[#This Row],[formel2]]</f>
        <v>538910.30333333334</v>
      </c>
      <c r="AS132" s="129">
        <f>INDEX('[1]Total repassado por obra'!$D$2:$D$127,MATCH(Tabela232[[#This Row],[ID obra]],'[1]Total repassado por obra'!$B$2:$B$127,0))</f>
        <v>491646</v>
      </c>
      <c r="AT132" s="129">
        <v>491646</v>
      </c>
      <c r="AU132" s="32" t="s">
        <v>324</v>
      </c>
      <c r="AV132" s="32" t="str">
        <f t="shared" si="2"/>
        <v>2013</v>
      </c>
      <c r="AW132" s="24" t="s">
        <v>59</v>
      </c>
      <c r="AX132" s="24" t="s">
        <v>59</v>
      </c>
      <c r="AY132" s="24"/>
      <c r="AZ132" s="24"/>
      <c r="BA132" s="24" t="s">
        <v>59</v>
      </c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</row>
    <row r="133" spans="1:85">
      <c r="A133" s="14" t="s">
        <v>309</v>
      </c>
      <c r="B133" s="14" t="s">
        <v>310</v>
      </c>
      <c r="C133" s="14" t="s">
        <v>60</v>
      </c>
      <c r="D133" s="14">
        <v>1002362</v>
      </c>
      <c r="E133" s="14" t="s">
        <v>328</v>
      </c>
      <c r="F133" s="14"/>
      <c r="G133" s="15" t="s">
        <v>331</v>
      </c>
      <c r="H133" s="16" t="s">
        <v>64</v>
      </c>
      <c r="I133" s="18">
        <v>0</v>
      </c>
      <c r="J133" s="48" t="s">
        <v>59</v>
      </c>
      <c r="K133" s="58" t="s">
        <v>64</v>
      </c>
      <c r="L133" s="60"/>
      <c r="M133" s="17"/>
      <c r="N133" s="81">
        <v>1</v>
      </c>
      <c r="O133" s="149">
        <f>IF(Tabela232[[#This Row],[Situação2]]=Tabela232[[#This Row],[Situação]],0,1)</f>
        <v>0</v>
      </c>
      <c r="P133" s="89" t="s">
        <v>64</v>
      </c>
      <c r="Q133" s="60"/>
      <c r="R133" s="60"/>
      <c r="S133" s="61">
        <v>1</v>
      </c>
      <c r="T133" s="96">
        <f>2018-Tabela232[[#This Row],[Ano do convênio]]</f>
        <v>5</v>
      </c>
      <c r="U133" s="76" t="s">
        <v>64</v>
      </c>
      <c r="V133" s="76" t="s">
        <v>988</v>
      </c>
      <c r="W133" s="76" t="s">
        <v>59</v>
      </c>
      <c r="X133" s="82">
        <f>IF(Tabela232[[#This Row],[Situação3]]=Tabela232[[#This Row],[Situação4]],0,1)</f>
        <v>0</v>
      </c>
      <c r="Y133" s="82"/>
      <c r="Z133" s="82">
        <v>1</v>
      </c>
      <c r="AA133" s="82" t="s">
        <v>204</v>
      </c>
      <c r="AB133" s="82" t="s">
        <v>988</v>
      </c>
      <c r="AC133" s="82">
        <v>0</v>
      </c>
      <c r="AD133" s="82" t="str">
        <f>Tabela232[[#This Row],[Situação3]]</f>
        <v>Não iniciada</v>
      </c>
      <c r="AE133" s="82" t="s">
        <v>204</v>
      </c>
      <c r="AF133" s="82" t="s">
        <v>988</v>
      </c>
      <c r="AG133" s="82">
        <v>0</v>
      </c>
      <c r="AH133" s="82"/>
      <c r="AI133" s="14"/>
      <c r="AJ133" s="14" t="s">
        <v>1603</v>
      </c>
      <c r="AK133" s="15" t="s">
        <v>60</v>
      </c>
      <c r="AL133" s="15" t="s">
        <v>78</v>
      </c>
      <c r="AM133" s="15" t="s">
        <v>60</v>
      </c>
      <c r="AN133" s="153">
        <f>INDEX('Simec OT - 020718'!$AX$1:$AX$137,MATCH(Tabela232[[#This Row],[ID obra]],'Simec OT - 020718'!$A$1:$A$137,0))</f>
        <v>395766.26</v>
      </c>
      <c r="AO133" s="129">
        <v>4850192.7300000004</v>
      </c>
      <c r="AP133" s="156">
        <f>IF(COUNTIF(AO$2:AO133,AO133)=1,1,0)</f>
        <v>0</v>
      </c>
      <c r="AQ133" s="156">
        <f t="shared" si="1"/>
        <v>9</v>
      </c>
      <c r="AR133" s="129">
        <f>Tabela232[[#This Row],[Saldo da conta 07/2018]]/Tabela232[[#This Row],[formel2]]</f>
        <v>538910.30333333334</v>
      </c>
      <c r="AS133" s="129">
        <f>INDEX('[1]Total repassado por obra'!$D$2:$D$127,MATCH(Tabela232[[#This Row],[ID obra]],'[1]Total repassado por obra'!$B$2:$B$127,0))</f>
        <v>492965</v>
      </c>
      <c r="AT133" s="129">
        <v>492965</v>
      </c>
      <c r="AU133" s="32" t="s">
        <v>324</v>
      </c>
      <c r="AV133" s="32" t="str">
        <f t="shared" si="2"/>
        <v>2013</v>
      </c>
      <c r="AW133" s="24" t="s">
        <v>59</v>
      </c>
      <c r="AX133" s="24" t="s">
        <v>59</v>
      </c>
      <c r="AY133" s="24"/>
      <c r="AZ133" s="24"/>
      <c r="BA133" s="24" t="s">
        <v>59</v>
      </c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</row>
    <row r="134" spans="1:85">
      <c r="A134" s="14" t="s">
        <v>309</v>
      </c>
      <c r="B134" s="14" t="s">
        <v>310</v>
      </c>
      <c r="C134" s="14" t="s">
        <v>60</v>
      </c>
      <c r="D134" s="14">
        <v>1002363</v>
      </c>
      <c r="E134" s="14" t="s">
        <v>65</v>
      </c>
      <c r="F134" s="14"/>
      <c r="G134" s="15" t="s">
        <v>331</v>
      </c>
      <c r="H134" s="16" t="s">
        <v>64</v>
      </c>
      <c r="I134" s="18">
        <v>0</v>
      </c>
      <c r="J134" s="48" t="s">
        <v>59</v>
      </c>
      <c r="K134" s="58" t="s">
        <v>64</v>
      </c>
      <c r="L134" s="60"/>
      <c r="M134" s="17"/>
      <c r="N134" s="81">
        <v>1</v>
      </c>
      <c r="O134" s="149">
        <f>IF(Tabela232[[#This Row],[Situação2]]=Tabela232[[#This Row],[Situação]],0,1)</f>
        <v>0</v>
      </c>
      <c r="P134" s="89" t="s">
        <v>64</v>
      </c>
      <c r="Q134" s="60"/>
      <c r="R134" s="60"/>
      <c r="S134" s="61">
        <v>1</v>
      </c>
      <c r="T134" s="96">
        <f>2018-Tabela232[[#This Row],[Ano do convênio]]</f>
        <v>5</v>
      </c>
      <c r="U134" s="76" t="s">
        <v>64</v>
      </c>
      <c r="V134" s="76" t="s">
        <v>988</v>
      </c>
      <c r="W134" s="76" t="s">
        <v>59</v>
      </c>
      <c r="X134" s="82">
        <f>IF(Tabela232[[#This Row],[Situação3]]=Tabela232[[#This Row],[Situação4]],0,1)</f>
        <v>0</v>
      </c>
      <c r="Y134" s="82"/>
      <c r="Z134" s="82">
        <v>1</v>
      </c>
      <c r="AA134" s="82" t="s">
        <v>204</v>
      </c>
      <c r="AB134" s="82" t="s">
        <v>988</v>
      </c>
      <c r="AC134" s="82">
        <v>0</v>
      </c>
      <c r="AD134" s="82" t="str">
        <f>Tabela232[[#This Row],[Situação3]]</f>
        <v>Não iniciada</v>
      </c>
      <c r="AE134" s="82" t="s">
        <v>204</v>
      </c>
      <c r="AF134" s="82" t="s">
        <v>988</v>
      </c>
      <c r="AG134" s="82">
        <v>0</v>
      </c>
      <c r="AH134" s="82"/>
      <c r="AI134" s="14"/>
      <c r="AJ134" s="14" t="s">
        <v>1603</v>
      </c>
      <c r="AK134" s="15" t="s">
        <v>60</v>
      </c>
      <c r="AL134" s="15" t="s">
        <v>78</v>
      </c>
      <c r="AM134" s="15" t="s">
        <v>60</v>
      </c>
      <c r="AN134" s="153">
        <f>INDEX('Simec OT - 020718'!$AX$1:$AX$137,MATCH(Tabela232[[#This Row],[ID obra]],'Simec OT - 020718'!$A$1:$A$137,0))</f>
        <v>397895.01</v>
      </c>
      <c r="AO134" s="129">
        <v>4850192.7300000004</v>
      </c>
      <c r="AP134" s="156">
        <f>IF(COUNTIF(AO$2:AO134,AO134)=1,1,0)</f>
        <v>0</v>
      </c>
      <c r="AQ134" s="156">
        <f t="shared" ref="AQ134:AQ137" si="3">COUNTIF($AO$2:$AO$137,AO134)</f>
        <v>9</v>
      </c>
      <c r="AR134" s="129">
        <f>Tabela232[[#This Row],[Saldo da conta 07/2018]]/Tabela232[[#This Row],[formel2]]</f>
        <v>538910.30333333334</v>
      </c>
      <c r="AS134" s="129">
        <f>INDEX('[1]Total repassado por obra'!$D$2:$D$127,MATCH(Tabela232[[#This Row],[ID obra]],'[1]Total repassado por obra'!$B$2:$B$127,0))</f>
        <v>495617</v>
      </c>
      <c r="AT134" s="129">
        <v>495617</v>
      </c>
      <c r="AU134" s="32" t="s">
        <v>324</v>
      </c>
      <c r="AV134" s="32" t="str">
        <f t="shared" si="2"/>
        <v>2013</v>
      </c>
      <c r="AW134" s="24" t="s">
        <v>59</v>
      </c>
      <c r="AX134" s="24" t="s">
        <v>59</v>
      </c>
      <c r="AY134" s="24"/>
      <c r="AZ134" s="24"/>
      <c r="BA134" s="24" t="s">
        <v>59</v>
      </c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</row>
    <row r="135" spans="1:85">
      <c r="A135" s="14" t="s">
        <v>309</v>
      </c>
      <c r="B135" s="14" t="s">
        <v>310</v>
      </c>
      <c r="C135" s="14" t="s">
        <v>60</v>
      </c>
      <c r="D135" s="14">
        <v>1002364</v>
      </c>
      <c r="E135" s="14" t="s">
        <v>268</v>
      </c>
      <c r="F135" s="14"/>
      <c r="G135" s="15" t="s">
        <v>331</v>
      </c>
      <c r="H135" s="16" t="s">
        <v>64</v>
      </c>
      <c r="I135" s="18">
        <v>0</v>
      </c>
      <c r="J135" s="48" t="s">
        <v>59</v>
      </c>
      <c r="K135" s="58" t="s">
        <v>64</v>
      </c>
      <c r="L135" s="60"/>
      <c r="M135" s="17"/>
      <c r="N135" s="81">
        <v>1</v>
      </c>
      <c r="O135" s="149">
        <f>IF(Tabela232[[#This Row],[Situação2]]=Tabela232[[#This Row],[Situação]],0,1)</f>
        <v>0</v>
      </c>
      <c r="P135" s="89" t="s">
        <v>64</v>
      </c>
      <c r="Q135" s="60"/>
      <c r="R135" s="60"/>
      <c r="S135" s="61">
        <v>1</v>
      </c>
      <c r="T135" s="96">
        <f>2018-Tabela232[[#This Row],[Ano do convênio]]</f>
        <v>5</v>
      </c>
      <c r="U135" s="76" t="s">
        <v>64</v>
      </c>
      <c r="V135" s="76" t="s">
        <v>988</v>
      </c>
      <c r="W135" s="76" t="s">
        <v>59</v>
      </c>
      <c r="X135" s="82">
        <f>IF(Tabela232[[#This Row],[Situação3]]=Tabela232[[#This Row],[Situação4]],0,1)</f>
        <v>0</v>
      </c>
      <c r="Y135" s="82"/>
      <c r="Z135" s="82">
        <v>1</v>
      </c>
      <c r="AA135" s="82" t="s">
        <v>204</v>
      </c>
      <c r="AB135" s="82" t="s">
        <v>988</v>
      </c>
      <c r="AC135" s="82">
        <v>0</v>
      </c>
      <c r="AD135" s="82" t="str">
        <f>Tabela232[[#This Row],[Situação3]]</f>
        <v>Não iniciada</v>
      </c>
      <c r="AE135" s="82" t="s">
        <v>204</v>
      </c>
      <c r="AF135" s="82" t="s">
        <v>988</v>
      </c>
      <c r="AG135" s="82">
        <v>0</v>
      </c>
      <c r="AH135" s="82"/>
      <c r="AI135" s="14"/>
      <c r="AJ135" s="14" t="s">
        <v>1603</v>
      </c>
      <c r="AK135" s="15" t="s">
        <v>60</v>
      </c>
      <c r="AL135" s="15" t="s">
        <v>78</v>
      </c>
      <c r="AM135" s="15" t="s">
        <v>60</v>
      </c>
      <c r="AN135" s="153">
        <f>INDEX('Simec OT - 020718'!$AX$1:$AX$137,MATCH(Tabela232[[#This Row],[ID obra]],'Simec OT - 020718'!$A$1:$A$137,0))</f>
        <v>395433.76</v>
      </c>
      <c r="AO135" s="129">
        <v>4850192.7300000004</v>
      </c>
      <c r="AP135" s="156">
        <f>IF(COUNTIF(AO$2:AO135,AO135)=1,1,0)</f>
        <v>0</v>
      </c>
      <c r="AQ135" s="156">
        <f t="shared" si="3"/>
        <v>9</v>
      </c>
      <c r="AR135" s="129">
        <f>Tabela232[[#This Row],[Saldo da conta 07/2018]]/Tabela232[[#This Row],[formel2]]</f>
        <v>538910.30333333334</v>
      </c>
      <c r="AS135" s="129">
        <f>INDEX('[1]Total repassado por obra'!$D$2:$D$127,MATCH(Tabela232[[#This Row],[ID obra]],'[1]Total repassado por obra'!$B$2:$B$127,0))</f>
        <v>492551</v>
      </c>
      <c r="AT135" s="129">
        <v>492551</v>
      </c>
      <c r="AU135" s="32" t="s">
        <v>324</v>
      </c>
      <c r="AV135" s="32" t="str">
        <f t="shared" si="2"/>
        <v>2013</v>
      </c>
      <c r="AW135" s="24" t="s">
        <v>59</v>
      </c>
      <c r="AX135" s="24" t="s">
        <v>59</v>
      </c>
      <c r="AY135" s="24"/>
      <c r="AZ135" s="24"/>
      <c r="BA135" s="24" t="s">
        <v>59</v>
      </c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</row>
    <row r="136" spans="1:85">
      <c r="A136" s="14" t="s">
        <v>309</v>
      </c>
      <c r="B136" s="14" t="s">
        <v>310</v>
      </c>
      <c r="C136" s="14" t="s">
        <v>60</v>
      </c>
      <c r="D136" s="14">
        <v>1002365</v>
      </c>
      <c r="E136" s="14" t="s">
        <v>56</v>
      </c>
      <c r="F136" s="14"/>
      <c r="G136" s="15" t="s">
        <v>331</v>
      </c>
      <c r="H136" s="16" t="s">
        <v>64</v>
      </c>
      <c r="I136" s="18">
        <v>0</v>
      </c>
      <c r="J136" s="48" t="s">
        <v>59</v>
      </c>
      <c r="K136" s="58" t="s">
        <v>64</v>
      </c>
      <c r="L136" s="60"/>
      <c r="M136" s="17"/>
      <c r="N136" s="81">
        <v>1</v>
      </c>
      <c r="O136" s="149">
        <f>IF(Tabela232[[#This Row],[Situação2]]=Tabela232[[#This Row],[Situação]],0,1)</f>
        <v>0</v>
      </c>
      <c r="P136" s="89" t="s">
        <v>64</v>
      </c>
      <c r="Q136" s="60"/>
      <c r="R136" s="60"/>
      <c r="S136" s="61">
        <v>1</v>
      </c>
      <c r="T136" s="96">
        <f>2018-Tabela232[[#This Row],[Ano do convênio]]</f>
        <v>5</v>
      </c>
      <c r="U136" s="76" t="s">
        <v>64</v>
      </c>
      <c r="V136" s="76" t="s">
        <v>988</v>
      </c>
      <c r="W136" s="76" t="s">
        <v>59</v>
      </c>
      <c r="X136" s="82">
        <f>IF(Tabela232[[#This Row],[Situação3]]=Tabela232[[#This Row],[Situação4]],0,1)</f>
        <v>0</v>
      </c>
      <c r="Y136" s="82"/>
      <c r="Z136" s="82">
        <v>1</v>
      </c>
      <c r="AA136" s="82" t="s">
        <v>204</v>
      </c>
      <c r="AB136" s="82" t="s">
        <v>988</v>
      </c>
      <c r="AC136" s="82">
        <v>0</v>
      </c>
      <c r="AD136" s="82" t="str">
        <f>Tabela232[[#This Row],[Situação3]]</f>
        <v>Não iniciada</v>
      </c>
      <c r="AE136" s="82" t="s">
        <v>204</v>
      </c>
      <c r="AF136" s="82" t="s">
        <v>988</v>
      </c>
      <c r="AG136" s="82">
        <v>0</v>
      </c>
      <c r="AH136" s="82"/>
      <c r="AI136" s="14"/>
      <c r="AJ136" s="14" t="s">
        <v>1603</v>
      </c>
      <c r="AK136" s="15" t="s">
        <v>60</v>
      </c>
      <c r="AL136" s="15" t="s">
        <v>78</v>
      </c>
      <c r="AM136" s="15" t="s">
        <v>60</v>
      </c>
      <c r="AN136" s="153">
        <f>INDEX('Simec OT - 020718'!$AX$1:$AX$137,MATCH(Tabela232[[#This Row],[ID obra]],'Simec OT - 020718'!$A$1:$A$137,0))</f>
        <v>394652.89</v>
      </c>
      <c r="AO136" s="129">
        <v>4850192.7300000004</v>
      </c>
      <c r="AP136" s="156">
        <f>IF(COUNTIF(AO$2:AO136,AO136)=1,1,0)</f>
        <v>0</v>
      </c>
      <c r="AQ136" s="156">
        <f t="shared" si="3"/>
        <v>9</v>
      </c>
      <c r="AR136" s="129">
        <f>Tabela232[[#This Row],[Saldo da conta 07/2018]]/Tabela232[[#This Row],[formel2]]</f>
        <v>538910.30333333334</v>
      </c>
      <c r="AS136" s="129">
        <f>INDEX('[1]Total repassado por obra'!$D$2:$D$127,MATCH(Tabela232[[#This Row],[ID obra]],'[1]Total repassado por obra'!$B$2:$B$127,0))</f>
        <v>491579</v>
      </c>
      <c r="AT136" s="129">
        <v>491579</v>
      </c>
      <c r="AU136" s="32" t="s">
        <v>324</v>
      </c>
      <c r="AV136" s="32" t="str">
        <f t="shared" ref="AV136" si="4">RIGHT(AU136,4)</f>
        <v>2013</v>
      </c>
      <c r="AW136" s="24" t="s">
        <v>59</v>
      </c>
      <c r="AX136" s="24" t="s">
        <v>59</v>
      </c>
      <c r="AY136" s="24"/>
      <c r="AZ136" s="24"/>
      <c r="BA136" s="24" t="s">
        <v>59</v>
      </c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</row>
    <row r="137" spans="1:85">
      <c r="A137" s="14" t="s">
        <v>309</v>
      </c>
      <c r="B137" s="14" t="s">
        <v>310</v>
      </c>
      <c r="C137" s="14" t="s">
        <v>60</v>
      </c>
      <c r="D137" s="14">
        <v>1004081</v>
      </c>
      <c r="E137" s="14" t="s">
        <v>329</v>
      </c>
      <c r="F137" s="14"/>
      <c r="G137" s="15" t="s">
        <v>59</v>
      </c>
      <c r="H137" s="16" t="s">
        <v>64</v>
      </c>
      <c r="I137" s="18">
        <v>0</v>
      </c>
      <c r="J137" s="48" t="s">
        <v>59</v>
      </c>
      <c r="K137" s="58" t="s">
        <v>64</v>
      </c>
      <c r="L137" s="60"/>
      <c r="M137" s="17"/>
      <c r="N137" s="81">
        <v>1</v>
      </c>
      <c r="O137" s="149">
        <f>IF(Tabela232[[#This Row],[Situação2]]=Tabela232[[#This Row],[Situação]],0,1)</f>
        <v>0</v>
      </c>
      <c r="P137" s="89" t="s">
        <v>64</v>
      </c>
      <c r="Q137" s="60"/>
      <c r="R137" s="60"/>
      <c r="S137" s="61">
        <v>1</v>
      </c>
      <c r="T137" s="96" t="s">
        <v>59</v>
      </c>
      <c r="U137" s="76" t="s">
        <v>64</v>
      </c>
      <c r="V137" s="76" t="s">
        <v>988</v>
      </c>
      <c r="W137" s="76" t="s">
        <v>59</v>
      </c>
      <c r="X137" s="82">
        <f>IF(Tabela232[[#This Row],[Situação3]]=Tabela232[[#This Row],[Situação4]],0,1)</f>
        <v>0</v>
      </c>
      <c r="Y137" s="82"/>
      <c r="Z137" s="82">
        <v>0</v>
      </c>
      <c r="AA137" s="82" t="s">
        <v>64</v>
      </c>
      <c r="AB137" s="82" t="s">
        <v>988</v>
      </c>
      <c r="AC137" s="82">
        <v>0</v>
      </c>
      <c r="AD137" s="82" t="str">
        <f>Tabela232[[#This Row],[Situação3]]</f>
        <v>Não iniciada</v>
      </c>
      <c r="AE137" s="82" t="s">
        <v>64</v>
      </c>
      <c r="AF137" s="82" t="s">
        <v>988</v>
      </c>
      <c r="AG137" s="82">
        <v>0</v>
      </c>
      <c r="AH137" s="82"/>
      <c r="AI137" s="14"/>
      <c r="AJ137" s="14"/>
      <c r="AK137" s="15" t="s">
        <v>78</v>
      </c>
      <c r="AL137" s="15" t="s">
        <v>78</v>
      </c>
      <c r="AM137" s="15" t="s">
        <v>78</v>
      </c>
      <c r="AN137" s="153">
        <f>INDEX('Simec OT - 020718'!$AX$1:$AX$137,MATCH(Tabela232[[#This Row],[ID obra]],'Simec OT - 020718'!$A$1:$A$137,0))</f>
        <v>0</v>
      </c>
      <c r="AO137" s="126">
        <v>0</v>
      </c>
      <c r="AP137" s="157">
        <f>IF(COUNTIF(AO$2:AO137,AO137)=1,1,0)</f>
        <v>0</v>
      </c>
      <c r="AQ137" s="156">
        <f t="shared" si="3"/>
        <v>25</v>
      </c>
      <c r="AR137" s="129">
        <f>Tabela232[[#This Row],[Saldo da conta 07/2018]]/Tabela232[[#This Row],[formel2]]</f>
        <v>0</v>
      </c>
      <c r="AS137" s="126" t="s">
        <v>59</v>
      </c>
      <c r="AT137" s="129" t="s">
        <v>59</v>
      </c>
      <c r="AU137" s="14"/>
      <c r="AV137" s="14"/>
      <c r="AW137" s="24" t="s">
        <v>59</v>
      </c>
      <c r="AX137" s="24" t="s">
        <v>59</v>
      </c>
      <c r="AY137" s="24"/>
      <c r="AZ137" s="24"/>
      <c r="BA137" s="24" t="s">
        <v>59</v>
      </c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</row>
    <row r="138" spans="1:85">
      <c r="A138" s="14"/>
      <c r="B138" s="14"/>
      <c r="C138" s="14"/>
      <c r="D138" s="14"/>
      <c r="E138" s="14"/>
      <c r="F138" s="14"/>
      <c r="G138" s="15"/>
      <c r="H138" s="217">
        <f>COUNTIF([Situação],"em andamento")</f>
        <v>19</v>
      </c>
      <c r="I138" s="218">
        <f>COUNTIF([% Executado],"=0")</f>
        <v>94</v>
      </c>
      <c r="J138" s="59"/>
      <c r="K138" s="217">
        <f>COUNTIF([Situação2],"em andamento")</f>
        <v>32</v>
      </c>
      <c r="L138" s="60"/>
      <c r="M138" s="61"/>
      <c r="N138" s="218">
        <f>SUM([Obra não iniciada em Jun/2017])</f>
        <v>75</v>
      </c>
      <c r="O138" s="218">
        <f>SUBTOTAL(109,[Divergência])</f>
        <v>36</v>
      </c>
      <c r="P138" s="18">
        <f>COUNTIF([Situação3],"em andamento")</f>
        <v>29</v>
      </c>
      <c r="Q138" s="99">
        <f>AVERAGE(Q3:Q116)</f>
        <v>21.853836065573756</v>
      </c>
      <c r="R138" s="15"/>
      <c r="S138" s="219">
        <f>SUBTOTAL(109,[Obra não iniciada em Mar/18])</f>
        <v>60</v>
      </c>
      <c r="T138" s="220">
        <f>AVERAGE(T4:T136)</f>
        <v>5.4915254237288131</v>
      </c>
      <c r="U138" s="221"/>
      <c r="V138" s="222"/>
      <c r="W138" s="222"/>
      <c r="X138" s="218">
        <f>SUBTOTAL(109,[Divergência2])</f>
        <v>27</v>
      </c>
      <c r="Y138" s="218">
        <f>SUBTOTAL(109,[Terreno irregular])</f>
        <v>14</v>
      </c>
      <c r="Z138" s="218"/>
      <c r="AA138" s="218"/>
      <c r="AB138" s="218"/>
      <c r="AC138" s="218"/>
      <c r="AD138" s="218"/>
      <c r="AE138" s="218"/>
      <c r="AF138" s="218"/>
      <c r="AG138" s="218"/>
      <c r="AH138" s="218"/>
      <c r="AI138" s="14"/>
      <c r="AJ138" s="14"/>
      <c r="AK138" s="223">
        <f>COUNTIF([Inconsistência no Simec],"Sim")</f>
        <v>75</v>
      </c>
      <c r="AL138" s="223">
        <f>COUNTIF([SIMEC desatualizado],"Sim")</f>
        <v>72</v>
      </c>
      <c r="AM138" s="14"/>
      <c r="AN138" s="14"/>
      <c r="AO138" s="14"/>
      <c r="AP138" s="14"/>
      <c r="AQ138" s="14"/>
      <c r="AR138" s="14"/>
      <c r="AS138" s="14"/>
      <c r="AT138" s="14"/>
      <c r="AU138" s="32"/>
      <c r="AV138" s="32"/>
      <c r="AW138" s="27"/>
      <c r="AX138" s="27"/>
      <c r="AY138" s="27"/>
      <c r="AZ138" s="27"/>
      <c r="BA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</row>
    <row r="139" spans="1:85">
      <c r="A139" s="92" t="s">
        <v>1451</v>
      </c>
      <c r="O139" s="31">
        <f>36/135</f>
        <v>0.26666666666666666</v>
      </c>
      <c r="X139" s="47">
        <f>27/135</f>
        <v>0.2</v>
      </c>
      <c r="Y139" s="47">
        <f>Tabela232[[#Totals],[Terreno irregular]]/60</f>
        <v>0.23333333333333334</v>
      </c>
      <c r="Z139" s="47"/>
      <c r="AA139" s="47"/>
      <c r="AB139" s="47"/>
      <c r="AC139" s="47"/>
      <c r="AD139" s="47"/>
      <c r="AE139" s="47" t="s">
        <v>1788</v>
      </c>
      <c r="AF139" s="47" t="s">
        <v>1789</v>
      </c>
      <c r="AG139" s="47"/>
      <c r="AH139" s="47"/>
      <c r="AK139" s="147">
        <f>Tabela232[[#Totals],[Inconsistência no Simec]]/135</f>
        <v>0.55555555555555558</v>
      </c>
      <c r="AL139" s="147">
        <f>Tabela232[[#Totals],[SIMEC desatualizado]]/135</f>
        <v>0.53333333333333333</v>
      </c>
    </row>
    <row r="140" spans="1:85">
      <c r="A140" s="90" t="s">
        <v>1444</v>
      </c>
      <c r="AD140" s="31" t="s">
        <v>1787</v>
      </c>
      <c r="AE140" s="31">
        <f>12-3</f>
        <v>9</v>
      </c>
      <c r="AF140" s="31">
        <v>10</v>
      </c>
      <c r="AG140" s="31">
        <f>AE140/AF140</f>
        <v>0.9</v>
      </c>
    </row>
    <row r="141" spans="1:85">
      <c r="A141" s="101" t="s">
        <v>1450</v>
      </c>
      <c r="AD141" s="31" t="s">
        <v>1790</v>
      </c>
      <c r="AE141" s="31">
        <f>25-12</f>
        <v>13</v>
      </c>
      <c r="AF141" s="31">
        <f>12</f>
        <v>12</v>
      </c>
      <c r="AG141" s="31">
        <f>AE141/AF141</f>
        <v>1.0833333333333333</v>
      </c>
      <c r="AM141" s="31" t="s">
        <v>1631</v>
      </c>
      <c r="AN141" s="158">
        <f>SUMIFS($AO$2:$AO$138,$AP$2:$AP$138,1,$P$2:$P$138,"Não iniciada")</f>
        <v>23994611.780000001</v>
      </c>
      <c r="AR141" s="158">
        <f>SUMIFS($AR$2:$AR$138,$P$2:$P$138,"Não iniciada")</f>
        <v>21873124.652500011</v>
      </c>
      <c r="AS141" s="188" t="s">
        <v>1676</v>
      </c>
      <c r="AT141" s="158">
        <f>SUMIFS($AT$2:$AT$138,$P$2:$P$138,"Não iniciada")</f>
        <v>26151006.25</v>
      </c>
    </row>
    <row r="142" spans="1:85">
      <c r="A142" s="108" t="s">
        <v>1454</v>
      </c>
      <c r="AG142" s="31">
        <f>AG141/AG140</f>
        <v>1.2037037037037035</v>
      </c>
      <c r="AM142" s="31" t="s">
        <v>1632</v>
      </c>
      <c r="AN142" s="158">
        <f>SUMIFS($AO$2:$AO$138,$AP$2:$AP$138,1,$P$2:$P$138,"Paralisada")</f>
        <v>3457359.15</v>
      </c>
      <c r="AR142" s="158">
        <f>SUMIFS($AR$2:$AR$138,$P$2:$P$138,"Paralisada")</f>
        <v>6986992.0571666667</v>
      </c>
      <c r="AS142" s="188" t="s">
        <v>1677</v>
      </c>
      <c r="AT142" s="158">
        <f>SUMIFS($AT$2:$AT$138,$P$2:$P$138,"Paralisada")</f>
        <v>15564808</v>
      </c>
    </row>
    <row r="143" spans="1:85">
      <c r="A143" s="57" t="s">
        <v>1680</v>
      </c>
      <c r="AA143" s="31">
        <f>63/85</f>
        <v>0.74117647058823533</v>
      </c>
      <c r="AM143" s="31" t="s">
        <v>1633</v>
      </c>
      <c r="AN143" s="158">
        <f>SUMIFS($AO$2:$AO$138,$AP$2:$AP$138,1,$P$2:$P$138,"Não iniciada",$Y$2:$Y$138,1)</f>
        <v>10087450.369999999</v>
      </c>
      <c r="AR143" s="158">
        <f>SUMIFS($AR$2:$AR$138,$P$2:$P$138,"Não iniciada",$Y$2:$Y$138,1)</f>
        <v>7463354.8733333349</v>
      </c>
      <c r="AS143" s="188" t="s">
        <v>1678</v>
      </c>
      <c r="AT143" s="158">
        <f>SUMIFS($AT$2:$AT$138,$P$2:$P$138,"Não iniciada",$Y$2:$Y$138,1)</f>
        <v>6460673.125</v>
      </c>
    </row>
    <row r="145" spans="27:44">
      <c r="AA145" s="31">
        <f>58/135</f>
        <v>0.42962962962962964</v>
      </c>
      <c r="AR145" s="31">
        <f>26/138</f>
        <v>0.18840579710144928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:G107 G108:G137" numberStoredAsText="1"/>
  </ignoredErrors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3:F27"/>
  <sheetViews>
    <sheetView topLeftCell="A10" workbookViewId="0">
      <selection activeCell="E27" sqref="E27"/>
    </sheetView>
  </sheetViews>
  <sheetFormatPr baseColWidth="10" defaultColWidth="10.90625" defaultRowHeight="14.5"/>
  <cols>
    <col min="1" max="1" width="14.90625" bestFit="1" customWidth="1"/>
    <col min="2" max="2" width="18.6328125" bestFit="1" customWidth="1"/>
    <col min="3" max="4" width="20.6328125" bestFit="1" customWidth="1"/>
    <col min="5" max="6" width="13.7265625" bestFit="1" customWidth="1"/>
    <col min="7" max="7" width="10" bestFit="1" customWidth="1"/>
    <col min="8" max="11" width="20.6328125" bestFit="1" customWidth="1"/>
    <col min="12" max="12" width="24.453125" bestFit="1" customWidth="1"/>
    <col min="13" max="13" width="25.54296875" bestFit="1" customWidth="1"/>
    <col min="14" max="14" width="15.453125" bestFit="1" customWidth="1"/>
    <col min="15" max="15" width="14.36328125" bestFit="1" customWidth="1"/>
    <col min="16" max="16" width="14.36328125" customWidth="1"/>
    <col min="17" max="23" width="41.36328125" bestFit="1" customWidth="1"/>
    <col min="24" max="24" width="14.36328125" bestFit="1" customWidth="1"/>
  </cols>
  <sheetData>
    <row r="3" spans="1:2">
      <c r="A3" s="33" t="s">
        <v>1711</v>
      </c>
      <c r="B3" t="s">
        <v>1720</v>
      </c>
    </row>
    <row r="4" spans="1:2">
      <c r="A4" s="31" t="s">
        <v>1615</v>
      </c>
      <c r="B4" s="34">
        <v>2</v>
      </c>
    </row>
    <row r="5" spans="1:2">
      <c r="A5" s="31" t="s">
        <v>204</v>
      </c>
      <c r="B5" s="34">
        <v>5</v>
      </c>
    </row>
    <row r="6" spans="1:2">
      <c r="A6" s="31" t="s">
        <v>89</v>
      </c>
      <c r="B6" s="34">
        <v>17</v>
      </c>
    </row>
    <row r="7" spans="1:2">
      <c r="A7" s="31" t="s">
        <v>1443</v>
      </c>
      <c r="B7" s="34">
        <v>25</v>
      </c>
    </row>
    <row r="8" spans="1:2">
      <c r="A8" s="31" t="s">
        <v>64</v>
      </c>
      <c r="B8" s="34">
        <v>54</v>
      </c>
    </row>
    <row r="9" spans="1:2">
      <c r="A9" s="31" t="s">
        <v>67</v>
      </c>
      <c r="B9" s="34">
        <v>28</v>
      </c>
    </row>
    <row r="10" spans="1:2">
      <c r="A10" s="31" t="s">
        <v>1719</v>
      </c>
      <c r="B10" s="34">
        <v>4</v>
      </c>
    </row>
    <row r="11" spans="1:2">
      <c r="A11" s="31" t="s">
        <v>1611</v>
      </c>
      <c r="B11" s="34">
        <v>135</v>
      </c>
    </row>
    <row r="12" spans="1:2" s="31" customFormat="1">
      <c r="B12" s="34"/>
    </row>
    <row r="13" spans="1:2" s="31" customFormat="1">
      <c r="B13" s="34"/>
    </row>
    <row r="14" spans="1:2" s="31" customFormat="1">
      <c r="B14" s="34"/>
    </row>
    <row r="15" spans="1:2" s="31" customFormat="1">
      <c r="B15" s="34"/>
    </row>
    <row r="16" spans="1:2" s="31" customFormat="1">
      <c r="B16" s="34"/>
    </row>
    <row r="17" spans="1:6" s="31" customFormat="1">
      <c r="B17" s="34"/>
    </row>
    <row r="18" spans="1:6">
      <c r="A18" s="43" t="s">
        <v>10</v>
      </c>
      <c r="B18" s="198">
        <v>42856</v>
      </c>
      <c r="C18" s="198">
        <v>42887</v>
      </c>
      <c r="D18" s="198">
        <v>43191</v>
      </c>
      <c r="E18" s="198">
        <v>43405</v>
      </c>
    </row>
    <row r="19" spans="1:6">
      <c r="A19" s="31" t="s">
        <v>204</v>
      </c>
      <c r="B19" t="s">
        <v>59</v>
      </c>
      <c r="C19" t="s">
        <v>59</v>
      </c>
      <c r="D19" s="34">
        <v>5</v>
      </c>
      <c r="E19" s="34">
        <v>5</v>
      </c>
    </row>
    <row r="20" spans="1:6">
      <c r="A20" s="31" t="s">
        <v>89</v>
      </c>
      <c r="B20" t="s">
        <v>59</v>
      </c>
      <c r="C20" s="34">
        <v>3</v>
      </c>
      <c r="D20" s="34">
        <v>12</v>
      </c>
      <c r="E20" s="34">
        <v>17</v>
      </c>
      <c r="F20">
        <f>E20/E25</f>
        <v>0.12592592592592591</v>
      </c>
    </row>
    <row r="21" spans="1:6">
      <c r="A21" s="31" t="s">
        <v>1443</v>
      </c>
      <c r="B21" s="34">
        <v>19</v>
      </c>
      <c r="C21" s="34">
        <v>32</v>
      </c>
      <c r="D21" s="34">
        <v>31</v>
      </c>
      <c r="E21" s="34">
        <v>27</v>
      </c>
    </row>
    <row r="22" spans="1:6">
      <c r="A22" s="31" t="s">
        <v>64</v>
      </c>
      <c r="B22" s="34">
        <v>94</v>
      </c>
      <c r="C22" s="34">
        <v>75</v>
      </c>
      <c r="D22" s="34">
        <v>60</v>
      </c>
      <c r="E22" s="34">
        <v>58</v>
      </c>
    </row>
    <row r="23" spans="1:6">
      <c r="A23" s="31" t="s">
        <v>67</v>
      </c>
      <c r="B23" s="34">
        <v>22</v>
      </c>
      <c r="C23" s="34">
        <v>23</v>
      </c>
      <c r="D23" s="34">
        <v>27</v>
      </c>
      <c r="E23" s="34">
        <v>28</v>
      </c>
    </row>
    <row r="24" spans="1:6" s="31" customFormat="1">
      <c r="A24" s="31" t="s">
        <v>1718</v>
      </c>
      <c r="B24" s="34" t="s">
        <v>59</v>
      </c>
      <c r="C24" s="34">
        <v>2</v>
      </c>
      <c r="D24" s="31" t="s">
        <v>59</v>
      </c>
      <c r="E24" s="34"/>
    </row>
    <row r="25" spans="1:6">
      <c r="B25" s="34">
        <v>135</v>
      </c>
      <c r="C25" s="34">
        <v>135</v>
      </c>
      <c r="D25" s="34">
        <v>135</v>
      </c>
      <c r="E25" s="34">
        <v>135</v>
      </c>
    </row>
    <row r="27" spans="1:6">
      <c r="A27" t="s">
        <v>1721</v>
      </c>
      <c r="B27" s="47">
        <f>59/194</f>
        <v>0.30412371134020616</v>
      </c>
      <c r="E27" s="47">
        <f>(59+17)/194</f>
        <v>0.39175257731958762</v>
      </c>
    </row>
  </sheetData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N109"/>
  <sheetViews>
    <sheetView topLeftCell="D33" workbookViewId="0">
      <selection activeCell="B53" sqref="B53:E58"/>
    </sheetView>
  </sheetViews>
  <sheetFormatPr baseColWidth="10" defaultColWidth="10.90625" defaultRowHeight="14.5"/>
  <cols>
    <col min="2" max="2" width="18.26953125" customWidth="1"/>
    <col min="3" max="3" width="7.453125" bestFit="1" customWidth="1"/>
    <col min="4" max="5" width="15.453125" customWidth="1"/>
    <col min="6" max="6" width="14.90625" customWidth="1"/>
    <col min="7" max="7" width="12.54296875" customWidth="1"/>
    <col min="8" max="8" width="9.6328125" customWidth="1"/>
  </cols>
  <sheetData>
    <row r="1" spans="2:14">
      <c r="B1" s="43" t="s">
        <v>343</v>
      </c>
    </row>
    <row r="2" spans="2:14">
      <c r="B2" s="41" t="s">
        <v>337</v>
      </c>
      <c r="C2" s="42" t="s">
        <v>338</v>
      </c>
      <c r="D2" s="42" t="s">
        <v>339</v>
      </c>
      <c r="E2" s="42" t="s">
        <v>340</v>
      </c>
      <c r="F2" s="42" t="s">
        <v>341</v>
      </c>
      <c r="G2" s="42" t="s">
        <v>342</v>
      </c>
      <c r="I2" s="45" t="s">
        <v>5</v>
      </c>
      <c r="J2" s="45" t="s">
        <v>6</v>
      </c>
      <c r="K2" s="45" t="s">
        <v>58</v>
      </c>
      <c r="L2" s="45" t="s">
        <v>64</v>
      </c>
      <c r="M2" s="45" t="s">
        <v>67</v>
      </c>
      <c r="N2" s="45" t="s">
        <v>336</v>
      </c>
    </row>
    <row r="3" spans="2:14">
      <c r="B3" s="35" t="s">
        <v>54</v>
      </c>
      <c r="C3" s="24" t="s">
        <v>55</v>
      </c>
      <c r="D3" s="38"/>
      <c r="E3" s="38">
        <v>7</v>
      </c>
      <c r="F3" s="38">
        <v>1</v>
      </c>
      <c r="G3" s="38">
        <v>8</v>
      </c>
      <c r="I3" s="35" t="s">
        <v>54</v>
      </c>
      <c r="J3" s="31" t="s">
        <v>55</v>
      </c>
      <c r="K3" s="34"/>
      <c r="L3" s="34">
        <v>7</v>
      </c>
      <c r="M3" s="34">
        <v>1</v>
      </c>
      <c r="N3" s="34">
        <v>8</v>
      </c>
    </row>
    <row r="4" spans="2:14">
      <c r="B4" s="35" t="s">
        <v>85</v>
      </c>
      <c r="C4" s="24" t="s">
        <v>86</v>
      </c>
      <c r="D4" s="38">
        <v>1</v>
      </c>
      <c r="E4" s="38">
        <v>1</v>
      </c>
      <c r="F4" s="38">
        <v>1</v>
      </c>
      <c r="G4" s="38">
        <v>3</v>
      </c>
      <c r="I4" s="35" t="s">
        <v>85</v>
      </c>
      <c r="J4" s="31" t="s">
        <v>86</v>
      </c>
      <c r="K4" s="34">
        <v>1</v>
      </c>
      <c r="L4" s="34">
        <v>1</v>
      </c>
      <c r="M4" s="34">
        <v>1</v>
      </c>
      <c r="N4" s="34">
        <v>3</v>
      </c>
    </row>
    <row r="5" spans="2:14">
      <c r="B5" s="35" t="s">
        <v>98</v>
      </c>
      <c r="C5" s="24" t="s">
        <v>55</v>
      </c>
      <c r="D5" s="38"/>
      <c r="E5" s="38">
        <v>3</v>
      </c>
      <c r="F5" s="38"/>
      <c r="G5" s="38">
        <v>3</v>
      </c>
      <c r="I5" s="35" t="s">
        <v>98</v>
      </c>
      <c r="J5" s="31" t="s">
        <v>55</v>
      </c>
      <c r="K5" s="34"/>
      <c r="L5" s="34">
        <v>2</v>
      </c>
      <c r="M5" s="34">
        <v>1</v>
      </c>
      <c r="N5" s="34">
        <v>3</v>
      </c>
    </row>
    <row r="6" spans="2:14">
      <c r="B6" s="35" t="s">
        <v>108</v>
      </c>
      <c r="C6" s="24" t="s">
        <v>55</v>
      </c>
      <c r="D6" s="38">
        <v>1</v>
      </c>
      <c r="E6" s="38">
        <v>2</v>
      </c>
      <c r="F6" s="38">
        <v>1</v>
      </c>
      <c r="G6" s="38">
        <v>4</v>
      </c>
      <c r="I6" s="35" t="s">
        <v>108</v>
      </c>
      <c r="J6" s="31" t="s">
        <v>55</v>
      </c>
      <c r="K6" s="34">
        <v>2</v>
      </c>
      <c r="L6" s="34">
        <v>2</v>
      </c>
      <c r="M6" s="34"/>
      <c r="N6" s="34">
        <v>4</v>
      </c>
    </row>
    <row r="7" spans="2:14">
      <c r="B7" s="35" t="s">
        <v>119</v>
      </c>
      <c r="C7" s="24" t="s">
        <v>86</v>
      </c>
      <c r="D7" s="38"/>
      <c r="E7" s="38">
        <v>1</v>
      </c>
      <c r="F7" s="38"/>
      <c r="G7" s="38">
        <v>1</v>
      </c>
      <c r="I7" s="35" t="s">
        <v>119</v>
      </c>
      <c r="J7" s="31" t="s">
        <v>86</v>
      </c>
      <c r="K7" s="34"/>
      <c r="L7" s="34">
        <v>1</v>
      </c>
      <c r="M7" s="34"/>
      <c r="N7" s="34">
        <v>1</v>
      </c>
    </row>
    <row r="8" spans="2:14">
      <c r="B8" s="35" t="s">
        <v>124</v>
      </c>
      <c r="C8" s="24" t="s">
        <v>55</v>
      </c>
      <c r="D8" s="38"/>
      <c r="E8" s="38">
        <v>8</v>
      </c>
      <c r="F8" s="38"/>
      <c r="G8" s="38">
        <v>8</v>
      </c>
      <c r="I8" s="35" t="s">
        <v>124</v>
      </c>
      <c r="J8" s="31" t="s">
        <v>55</v>
      </c>
      <c r="K8" s="34"/>
      <c r="L8" s="34">
        <v>8</v>
      </c>
      <c r="M8" s="34"/>
      <c r="N8" s="34">
        <v>8</v>
      </c>
    </row>
    <row r="9" spans="2:14">
      <c r="B9" s="35" t="s">
        <v>138</v>
      </c>
      <c r="C9" s="24" t="s">
        <v>55</v>
      </c>
      <c r="D9" s="38">
        <v>2</v>
      </c>
      <c r="E9" s="38"/>
      <c r="F9" s="38"/>
      <c r="G9" s="38">
        <v>2</v>
      </c>
      <c r="I9" s="35" t="s">
        <v>138</v>
      </c>
      <c r="J9" s="31" t="s">
        <v>55</v>
      </c>
      <c r="K9" s="34">
        <v>2</v>
      </c>
      <c r="L9" s="34"/>
      <c r="M9" s="34"/>
      <c r="N9" s="34">
        <v>2</v>
      </c>
    </row>
    <row r="10" spans="2:14">
      <c r="B10" s="35" t="s">
        <v>145</v>
      </c>
      <c r="C10" s="24" t="s">
        <v>146</v>
      </c>
      <c r="D10" s="38">
        <v>4</v>
      </c>
      <c r="E10" s="38">
        <v>5</v>
      </c>
      <c r="F10" s="38">
        <v>6</v>
      </c>
      <c r="G10" s="38">
        <v>15</v>
      </c>
      <c r="I10" s="35" t="s">
        <v>145</v>
      </c>
      <c r="J10" s="31" t="s">
        <v>146</v>
      </c>
      <c r="K10" s="34">
        <v>4</v>
      </c>
      <c r="L10" s="34">
        <v>5</v>
      </c>
      <c r="M10" s="34">
        <v>6</v>
      </c>
      <c r="N10" s="34">
        <v>15</v>
      </c>
    </row>
    <row r="11" spans="2:14">
      <c r="B11" s="35" t="s">
        <v>177</v>
      </c>
      <c r="C11" s="24" t="s">
        <v>55</v>
      </c>
      <c r="D11" s="38">
        <v>3</v>
      </c>
      <c r="E11" s="38"/>
      <c r="F11" s="38"/>
      <c r="G11" s="38">
        <v>3</v>
      </c>
      <c r="I11" s="35" t="s">
        <v>177</v>
      </c>
      <c r="J11" s="31" t="s">
        <v>55</v>
      </c>
      <c r="K11" s="34">
        <v>2</v>
      </c>
      <c r="L11" s="34">
        <v>1</v>
      </c>
      <c r="M11" s="34"/>
      <c r="N11" s="34">
        <v>3</v>
      </c>
    </row>
    <row r="12" spans="2:14">
      <c r="B12" s="35" t="s">
        <v>191</v>
      </c>
      <c r="C12" s="24" t="s">
        <v>86</v>
      </c>
      <c r="D12" s="38">
        <v>1</v>
      </c>
      <c r="E12" s="38">
        <v>1</v>
      </c>
      <c r="F12" s="38"/>
      <c r="G12" s="38">
        <v>2</v>
      </c>
      <c r="I12" s="35" t="s">
        <v>191</v>
      </c>
      <c r="J12" s="31" t="s">
        <v>86</v>
      </c>
      <c r="K12" s="34">
        <v>1</v>
      </c>
      <c r="L12" s="34">
        <v>1</v>
      </c>
      <c r="M12" s="34"/>
      <c r="N12" s="34">
        <v>2</v>
      </c>
    </row>
    <row r="13" spans="2:14">
      <c r="B13" s="35" t="s">
        <v>195</v>
      </c>
      <c r="C13" s="24" t="s">
        <v>146</v>
      </c>
      <c r="D13" s="38">
        <v>1</v>
      </c>
      <c r="E13" s="38">
        <v>1</v>
      </c>
      <c r="F13" s="38"/>
      <c r="G13" s="38">
        <v>2</v>
      </c>
      <c r="I13" s="35" t="s">
        <v>195</v>
      </c>
      <c r="J13" s="31" t="s">
        <v>146</v>
      </c>
      <c r="K13" s="34"/>
      <c r="L13" s="34">
        <v>2</v>
      </c>
      <c r="M13" s="34"/>
      <c r="N13" s="34">
        <v>2</v>
      </c>
    </row>
    <row r="14" spans="2:14">
      <c r="B14" s="35" t="s">
        <v>201</v>
      </c>
      <c r="C14" s="24" t="s">
        <v>202</v>
      </c>
      <c r="D14" s="38"/>
      <c r="E14" s="38">
        <v>4</v>
      </c>
      <c r="F14" s="38">
        <v>1</v>
      </c>
      <c r="G14" s="38">
        <v>5</v>
      </c>
      <c r="I14" s="35" t="s">
        <v>201</v>
      </c>
      <c r="J14" s="31" t="s">
        <v>202</v>
      </c>
      <c r="K14" s="34"/>
      <c r="L14" s="34">
        <v>4</v>
      </c>
      <c r="M14" s="34">
        <v>1</v>
      </c>
      <c r="N14" s="34">
        <v>5</v>
      </c>
    </row>
    <row r="15" spans="2:14">
      <c r="B15" s="35" t="s">
        <v>207</v>
      </c>
      <c r="C15" s="24" t="s">
        <v>86</v>
      </c>
      <c r="D15" s="38">
        <v>4</v>
      </c>
      <c r="E15" s="38">
        <v>2</v>
      </c>
      <c r="F15" s="38"/>
      <c r="G15" s="38">
        <v>6</v>
      </c>
      <c r="I15" s="35" t="s">
        <v>207</v>
      </c>
      <c r="J15" s="31" t="s">
        <v>86</v>
      </c>
      <c r="K15" s="34">
        <v>4</v>
      </c>
      <c r="L15" s="34">
        <v>2</v>
      </c>
      <c r="M15" s="34"/>
      <c r="N15" s="34">
        <v>6</v>
      </c>
    </row>
    <row r="16" spans="2:14">
      <c r="B16" s="35" t="s">
        <v>221</v>
      </c>
      <c r="C16" s="24" t="s">
        <v>55</v>
      </c>
      <c r="D16" s="38"/>
      <c r="E16" s="38">
        <v>7</v>
      </c>
      <c r="F16" s="38">
        <v>1</v>
      </c>
      <c r="G16" s="38">
        <v>8</v>
      </c>
      <c r="I16" s="35" t="s">
        <v>221</v>
      </c>
      <c r="J16" s="31" t="s">
        <v>55</v>
      </c>
      <c r="K16" s="34"/>
      <c r="L16" s="34">
        <v>7</v>
      </c>
      <c r="M16" s="34">
        <v>1</v>
      </c>
      <c r="N16" s="34">
        <v>8</v>
      </c>
    </row>
    <row r="17" spans="2:14">
      <c r="B17" s="35" t="s">
        <v>240</v>
      </c>
      <c r="C17" s="24" t="s">
        <v>146</v>
      </c>
      <c r="D17" s="38">
        <v>2</v>
      </c>
      <c r="E17" s="38">
        <v>10</v>
      </c>
      <c r="F17" s="38">
        <v>2</v>
      </c>
      <c r="G17" s="38">
        <v>14</v>
      </c>
      <c r="I17" s="35" t="s">
        <v>240</v>
      </c>
      <c r="J17" s="31" t="s">
        <v>146</v>
      </c>
      <c r="K17" s="34"/>
      <c r="L17" s="34">
        <v>12</v>
      </c>
      <c r="M17" s="34">
        <v>2</v>
      </c>
      <c r="N17" s="34">
        <v>14</v>
      </c>
    </row>
    <row r="18" spans="2:14">
      <c r="B18" s="35" t="s">
        <v>259</v>
      </c>
      <c r="C18" s="24" t="s">
        <v>55</v>
      </c>
      <c r="D18" s="38"/>
      <c r="E18" s="38">
        <v>8</v>
      </c>
      <c r="F18" s="38">
        <v>1</v>
      </c>
      <c r="G18" s="38">
        <v>9</v>
      </c>
      <c r="I18" s="35" t="s">
        <v>259</v>
      </c>
      <c r="J18" s="31" t="s">
        <v>55</v>
      </c>
      <c r="K18" s="34"/>
      <c r="L18" s="34">
        <v>8</v>
      </c>
      <c r="M18" s="34">
        <v>1</v>
      </c>
      <c r="N18" s="34">
        <v>9</v>
      </c>
    </row>
    <row r="19" spans="2:14">
      <c r="B19" s="35" t="s">
        <v>272</v>
      </c>
      <c r="C19" s="24" t="s">
        <v>146</v>
      </c>
      <c r="D19" s="38">
        <v>1</v>
      </c>
      <c r="E19" s="38">
        <v>5</v>
      </c>
      <c r="F19" s="38">
        <v>6</v>
      </c>
      <c r="G19" s="38">
        <v>12</v>
      </c>
      <c r="I19" s="35" t="s">
        <v>272</v>
      </c>
      <c r="J19" s="31" t="s">
        <v>146</v>
      </c>
      <c r="K19" s="34">
        <v>1</v>
      </c>
      <c r="L19" s="34">
        <v>5</v>
      </c>
      <c r="M19" s="34">
        <v>6</v>
      </c>
      <c r="N19" s="34">
        <v>12</v>
      </c>
    </row>
    <row r="20" spans="2:14">
      <c r="B20" s="35" t="s">
        <v>292</v>
      </c>
      <c r="C20" s="24" t="s">
        <v>86</v>
      </c>
      <c r="D20" s="38">
        <v>1</v>
      </c>
      <c r="E20" s="38">
        <v>1</v>
      </c>
      <c r="F20" s="38"/>
      <c r="G20" s="38">
        <v>2</v>
      </c>
      <c r="I20" s="35" t="s">
        <v>292</v>
      </c>
      <c r="J20" s="31" t="s">
        <v>86</v>
      </c>
      <c r="K20" s="34">
        <v>1</v>
      </c>
      <c r="L20" s="34">
        <v>1</v>
      </c>
      <c r="M20" s="34"/>
      <c r="N20" s="34">
        <v>2</v>
      </c>
    </row>
    <row r="21" spans="2:14">
      <c r="B21" s="35" t="s">
        <v>297</v>
      </c>
      <c r="C21" s="24" t="s">
        <v>202</v>
      </c>
      <c r="D21" s="38">
        <v>1</v>
      </c>
      <c r="E21" s="38">
        <v>2</v>
      </c>
      <c r="F21" s="38"/>
      <c r="G21" s="38">
        <v>3</v>
      </c>
      <c r="I21" s="35" t="s">
        <v>297</v>
      </c>
      <c r="J21" s="31" t="s">
        <v>202</v>
      </c>
      <c r="K21" s="34">
        <v>1</v>
      </c>
      <c r="L21" s="34">
        <v>2</v>
      </c>
      <c r="M21" s="34"/>
      <c r="N21" s="34">
        <v>3</v>
      </c>
    </row>
    <row r="22" spans="2:14">
      <c r="B22" s="35" t="s">
        <v>301</v>
      </c>
      <c r="C22" s="24" t="s">
        <v>202</v>
      </c>
      <c r="D22" s="38"/>
      <c r="E22" s="38">
        <v>3</v>
      </c>
      <c r="F22" s="38">
        <v>1</v>
      </c>
      <c r="G22" s="38">
        <v>4</v>
      </c>
      <c r="I22" s="35" t="s">
        <v>301</v>
      </c>
      <c r="J22" s="31" t="s">
        <v>202</v>
      </c>
      <c r="K22" s="34"/>
      <c r="L22" s="34">
        <v>3</v>
      </c>
      <c r="M22" s="34">
        <v>1</v>
      </c>
      <c r="N22" s="34">
        <v>4</v>
      </c>
    </row>
    <row r="23" spans="2:14">
      <c r="B23" s="36" t="s">
        <v>309</v>
      </c>
      <c r="C23" s="24" t="s">
        <v>310</v>
      </c>
      <c r="D23" s="38"/>
      <c r="E23" s="38">
        <v>20</v>
      </c>
      <c r="F23" s="38">
        <v>1</v>
      </c>
      <c r="G23" s="38">
        <v>21</v>
      </c>
      <c r="I23" s="36" t="s">
        <v>309</v>
      </c>
      <c r="J23" s="31" t="s">
        <v>310</v>
      </c>
      <c r="K23" s="34"/>
      <c r="L23" s="34">
        <v>20</v>
      </c>
      <c r="M23" s="34">
        <v>1</v>
      </c>
      <c r="N23" s="34">
        <v>21</v>
      </c>
    </row>
    <row r="24" spans="2:14">
      <c r="B24" s="37" t="s">
        <v>342</v>
      </c>
      <c r="C24" s="39"/>
      <c r="D24" s="40">
        <v>22</v>
      </c>
      <c r="E24" s="40">
        <v>91</v>
      </c>
      <c r="F24" s="40">
        <v>22</v>
      </c>
      <c r="G24" s="40">
        <v>135</v>
      </c>
      <c r="I24" s="37" t="s">
        <v>336</v>
      </c>
      <c r="J24" s="37"/>
      <c r="K24" s="46">
        <v>19</v>
      </c>
      <c r="L24" s="46">
        <v>94</v>
      </c>
      <c r="M24" s="46">
        <v>22</v>
      </c>
      <c r="N24" s="46">
        <v>135</v>
      </c>
    </row>
    <row r="25" spans="2:14">
      <c r="K25" s="47">
        <f>K24/$N$24</f>
        <v>0.14074074074074075</v>
      </c>
      <c r="L25" s="47">
        <f>L24/$N$24</f>
        <v>0.6962962962962963</v>
      </c>
      <c r="M25" s="47">
        <f>M24/$N$24</f>
        <v>0.16296296296296298</v>
      </c>
    </row>
    <row r="26" spans="2:14">
      <c r="B26" s="43" t="s">
        <v>344</v>
      </c>
    </row>
    <row r="27" spans="2:14">
      <c r="B27" s="41" t="s">
        <v>337</v>
      </c>
      <c r="C27" s="42" t="s">
        <v>338</v>
      </c>
      <c r="D27" s="42" t="s">
        <v>345</v>
      </c>
      <c r="E27" s="44" t="s">
        <v>339</v>
      </c>
      <c r="F27" s="44" t="s">
        <v>340</v>
      </c>
      <c r="G27" s="44" t="s">
        <v>341</v>
      </c>
      <c r="H27" s="42" t="s">
        <v>346</v>
      </c>
      <c r="I27" s="42" t="s">
        <v>342</v>
      </c>
    </row>
    <row r="28" spans="2:14">
      <c r="B28" s="35" t="s">
        <v>54</v>
      </c>
      <c r="C28" s="24" t="s">
        <v>55</v>
      </c>
      <c r="D28" s="38"/>
      <c r="E28" s="38">
        <v>2</v>
      </c>
      <c r="F28" s="38">
        <v>5</v>
      </c>
      <c r="G28" s="38">
        <v>1</v>
      </c>
      <c r="H28" s="38"/>
      <c r="I28" s="38">
        <v>8</v>
      </c>
    </row>
    <row r="29" spans="2:14">
      <c r="B29" s="35" t="s">
        <v>85</v>
      </c>
      <c r="C29" s="24" t="s">
        <v>86</v>
      </c>
      <c r="D29" s="38">
        <v>1</v>
      </c>
      <c r="E29" s="38"/>
      <c r="F29" s="38">
        <v>1</v>
      </c>
      <c r="G29" s="38">
        <v>1</v>
      </c>
      <c r="H29" s="38"/>
      <c r="I29" s="38">
        <v>3</v>
      </c>
    </row>
    <row r="30" spans="2:14">
      <c r="B30" s="35" t="s">
        <v>98</v>
      </c>
      <c r="C30" s="24" t="s">
        <v>55</v>
      </c>
      <c r="D30" s="38"/>
      <c r="E30" s="38">
        <v>3</v>
      </c>
      <c r="F30" s="38"/>
      <c r="G30" s="38"/>
      <c r="H30" s="38"/>
      <c r="I30" s="38">
        <v>3</v>
      </c>
    </row>
    <row r="31" spans="2:14">
      <c r="B31" s="35" t="s">
        <v>108</v>
      </c>
      <c r="C31" s="24" t="s">
        <v>55</v>
      </c>
      <c r="D31" s="38"/>
      <c r="E31" s="38">
        <v>1</v>
      </c>
      <c r="F31" s="38">
        <v>2</v>
      </c>
      <c r="G31" s="38">
        <v>1</v>
      </c>
      <c r="H31" s="38"/>
      <c r="I31" s="38">
        <v>4</v>
      </c>
    </row>
    <row r="32" spans="2:14">
      <c r="B32" s="35" t="s">
        <v>119</v>
      </c>
      <c r="C32" s="24" t="s">
        <v>86</v>
      </c>
      <c r="D32" s="38"/>
      <c r="E32" s="38">
        <v>1</v>
      </c>
      <c r="F32" s="38"/>
      <c r="G32" s="38"/>
      <c r="H32" s="38"/>
      <c r="I32" s="38">
        <v>1</v>
      </c>
    </row>
    <row r="33" spans="2:9">
      <c r="B33" s="35" t="s">
        <v>124</v>
      </c>
      <c r="C33" s="24" t="s">
        <v>55</v>
      </c>
      <c r="D33" s="38"/>
      <c r="E33" s="38"/>
      <c r="F33" s="38">
        <v>8</v>
      </c>
      <c r="G33" s="38"/>
      <c r="H33" s="38"/>
      <c r="I33" s="38">
        <v>8</v>
      </c>
    </row>
    <row r="34" spans="2:9">
      <c r="B34" s="35" t="s">
        <v>138</v>
      </c>
      <c r="C34" s="24" t="s">
        <v>55</v>
      </c>
      <c r="D34" s="38"/>
      <c r="E34" s="38">
        <v>2</v>
      </c>
      <c r="F34" s="38"/>
      <c r="G34" s="38"/>
      <c r="H34" s="38"/>
      <c r="I34" s="38">
        <v>2</v>
      </c>
    </row>
    <row r="35" spans="2:9">
      <c r="B35" s="35" t="s">
        <v>145</v>
      </c>
      <c r="C35" s="24" t="s">
        <v>146</v>
      </c>
      <c r="D35" s="38"/>
      <c r="E35" s="38">
        <v>7</v>
      </c>
      <c r="F35" s="38">
        <v>5</v>
      </c>
      <c r="G35" s="38">
        <v>3</v>
      </c>
      <c r="H35" s="38"/>
      <c r="I35" s="38">
        <v>15</v>
      </c>
    </row>
    <row r="36" spans="2:9">
      <c r="B36" s="35" t="s">
        <v>177</v>
      </c>
      <c r="C36" s="24" t="s">
        <v>55</v>
      </c>
      <c r="D36" s="38">
        <v>2</v>
      </c>
      <c r="E36" s="38">
        <v>1</v>
      </c>
      <c r="F36" s="38"/>
      <c r="G36" s="38"/>
      <c r="H36" s="38"/>
      <c r="I36" s="38">
        <v>3</v>
      </c>
    </row>
    <row r="37" spans="2:9">
      <c r="B37" s="35" t="s">
        <v>191</v>
      </c>
      <c r="C37" s="24" t="s">
        <v>86</v>
      </c>
      <c r="D37" s="38"/>
      <c r="E37" s="38">
        <v>1</v>
      </c>
      <c r="F37" s="38">
        <v>1</v>
      </c>
      <c r="G37" s="38"/>
      <c r="H37" s="38"/>
      <c r="I37" s="38">
        <v>2</v>
      </c>
    </row>
    <row r="38" spans="2:9">
      <c r="B38" s="35" t="s">
        <v>195</v>
      </c>
      <c r="C38" s="24" t="s">
        <v>146</v>
      </c>
      <c r="D38" s="38"/>
      <c r="E38" s="38">
        <v>1</v>
      </c>
      <c r="F38" s="38">
        <v>1</v>
      </c>
      <c r="G38" s="38"/>
      <c r="H38" s="38"/>
      <c r="I38" s="38">
        <v>2</v>
      </c>
    </row>
    <row r="39" spans="2:9">
      <c r="B39" s="35" t="s">
        <v>201</v>
      </c>
      <c r="C39" s="24" t="s">
        <v>202</v>
      </c>
      <c r="D39" s="38"/>
      <c r="E39" s="38"/>
      <c r="F39" s="38">
        <v>4</v>
      </c>
      <c r="G39" s="38">
        <v>1</v>
      </c>
      <c r="H39" s="38"/>
      <c r="I39" s="38">
        <v>5</v>
      </c>
    </row>
    <row r="40" spans="2:9">
      <c r="B40" s="35" t="s">
        <v>207</v>
      </c>
      <c r="C40" s="24" t="s">
        <v>86</v>
      </c>
      <c r="D40" s="38"/>
      <c r="E40" s="38"/>
      <c r="F40" s="38">
        <v>2</v>
      </c>
      <c r="G40" s="38">
        <v>4</v>
      </c>
      <c r="H40" s="38"/>
      <c r="I40" s="38">
        <v>6</v>
      </c>
    </row>
    <row r="41" spans="2:9">
      <c r="B41" s="35" t="s">
        <v>221</v>
      </c>
      <c r="C41" s="24" t="s">
        <v>55</v>
      </c>
      <c r="D41" s="38"/>
      <c r="E41" s="38">
        <v>1</v>
      </c>
      <c r="F41" s="38">
        <v>7</v>
      </c>
      <c r="G41" s="38"/>
      <c r="H41" s="38"/>
      <c r="I41" s="38">
        <v>8</v>
      </c>
    </row>
    <row r="42" spans="2:9">
      <c r="B42" s="35" t="s">
        <v>240</v>
      </c>
      <c r="C42" s="24" t="s">
        <v>146</v>
      </c>
      <c r="D42" s="38"/>
      <c r="E42" s="38">
        <v>6</v>
      </c>
      <c r="F42" s="38">
        <v>3</v>
      </c>
      <c r="G42" s="38">
        <v>5</v>
      </c>
      <c r="H42" s="38"/>
      <c r="I42" s="38">
        <v>14</v>
      </c>
    </row>
    <row r="43" spans="2:9">
      <c r="B43" s="35" t="s">
        <v>259</v>
      </c>
      <c r="C43" s="24" t="s">
        <v>55</v>
      </c>
      <c r="D43" s="38"/>
      <c r="E43" s="38">
        <v>1</v>
      </c>
      <c r="F43" s="38">
        <v>8</v>
      </c>
      <c r="G43" s="38"/>
      <c r="H43" s="38"/>
      <c r="I43" s="38">
        <v>9</v>
      </c>
    </row>
    <row r="44" spans="2:9">
      <c r="B44" s="35" t="s">
        <v>272</v>
      </c>
      <c r="C44" s="24" t="s">
        <v>146</v>
      </c>
      <c r="D44" s="38"/>
      <c r="E44" s="38"/>
      <c r="F44" s="38">
        <v>5</v>
      </c>
      <c r="G44" s="38">
        <v>5</v>
      </c>
      <c r="H44" s="38">
        <v>3</v>
      </c>
      <c r="I44" s="38">
        <v>13</v>
      </c>
    </row>
    <row r="45" spans="2:9">
      <c r="B45" s="35" t="s">
        <v>292</v>
      </c>
      <c r="C45" s="24" t="s">
        <v>86</v>
      </c>
      <c r="D45" s="38"/>
      <c r="E45" s="38">
        <v>1</v>
      </c>
      <c r="F45" s="38"/>
      <c r="G45" s="38">
        <v>1</v>
      </c>
      <c r="H45" s="38"/>
      <c r="I45" s="38">
        <v>2</v>
      </c>
    </row>
    <row r="46" spans="2:9">
      <c r="B46" s="35" t="s">
        <v>297</v>
      </c>
      <c r="C46" s="24" t="s">
        <v>202</v>
      </c>
      <c r="D46" s="38"/>
      <c r="E46" s="38">
        <v>3</v>
      </c>
      <c r="F46" s="38"/>
      <c r="G46" s="38"/>
      <c r="H46" s="38"/>
      <c r="I46" s="38">
        <v>3</v>
      </c>
    </row>
    <row r="47" spans="2:9">
      <c r="B47" s="35" t="s">
        <v>301</v>
      </c>
      <c r="C47" s="24" t="s">
        <v>202</v>
      </c>
      <c r="D47" s="38"/>
      <c r="E47" s="38">
        <v>3</v>
      </c>
      <c r="F47" s="38"/>
      <c r="G47" s="38">
        <v>1</v>
      </c>
      <c r="H47" s="38"/>
      <c r="I47" s="38">
        <v>4</v>
      </c>
    </row>
    <row r="48" spans="2:9">
      <c r="B48" s="36" t="s">
        <v>309</v>
      </c>
      <c r="C48" s="24" t="s">
        <v>310</v>
      </c>
      <c r="D48" s="38"/>
      <c r="E48" s="38"/>
      <c r="F48" s="38">
        <v>20</v>
      </c>
      <c r="G48" s="38">
        <v>1</v>
      </c>
      <c r="H48" s="38"/>
      <c r="I48" s="38">
        <v>21</v>
      </c>
    </row>
    <row r="49" spans="2:9">
      <c r="B49" s="37" t="s">
        <v>342</v>
      </c>
      <c r="C49" s="39"/>
      <c r="D49" s="40">
        <v>3</v>
      </c>
      <c r="E49" s="40">
        <v>34</v>
      </c>
      <c r="F49" s="40">
        <v>72</v>
      </c>
      <c r="G49" s="40">
        <v>24</v>
      </c>
      <c r="H49" s="40">
        <v>3</v>
      </c>
      <c r="I49" s="40">
        <v>136</v>
      </c>
    </row>
    <row r="53" spans="2:9">
      <c r="B53" s="45"/>
      <c r="C53" s="213">
        <v>42887</v>
      </c>
      <c r="D53" s="213">
        <v>43191</v>
      </c>
      <c r="E53" s="213">
        <v>43556</v>
      </c>
    </row>
    <row r="54" spans="2:9">
      <c r="B54" s="31" t="s">
        <v>89</v>
      </c>
      <c r="C54" s="31">
        <v>3</v>
      </c>
      <c r="D54" s="34">
        <v>12</v>
      </c>
      <c r="E54" s="212">
        <v>25</v>
      </c>
      <c r="F54" s="31"/>
      <c r="G54" s="31"/>
    </row>
    <row r="55" spans="2:9">
      <c r="B55" s="31" t="s">
        <v>1443</v>
      </c>
      <c r="C55" s="31">
        <v>32</v>
      </c>
      <c r="D55" s="34">
        <v>31</v>
      </c>
      <c r="E55" s="31">
        <v>34</v>
      </c>
      <c r="F55" s="31"/>
      <c r="G55" s="31"/>
    </row>
    <row r="56" spans="2:9">
      <c r="B56" s="31" t="s">
        <v>67</v>
      </c>
      <c r="C56" s="31">
        <v>23</v>
      </c>
      <c r="D56" s="34">
        <v>27</v>
      </c>
      <c r="E56" s="212">
        <v>18</v>
      </c>
      <c r="F56" s="31"/>
      <c r="G56" s="31"/>
    </row>
    <row r="57" spans="2:9">
      <c r="B57" s="31" t="s">
        <v>204</v>
      </c>
      <c r="C57" s="31">
        <v>0</v>
      </c>
      <c r="D57" s="34">
        <v>5</v>
      </c>
      <c r="E57">
        <v>55</v>
      </c>
      <c r="F57" s="31"/>
      <c r="G57" s="31"/>
    </row>
    <row r="58" spans="2:9">
      <c r="B58" s="31" t="s">
        <v>64</v>
      </c>
      <c r="C58" s="31">
        <v>75</v>
      </c>
      <c r="D58" s="34">
        <v>60</v>
      </c>
      <c r="E58" s="31">
        <v>3</v>
      </c>
      <c r="F58" s="31"/>
      <c r="G58" s="31"/>
    </row>
    <row r="59" spans="2:9">
      <c r="B59" s="31" t="s">
        <v>336</v>
      </c>
      <c r="C59" s="31">
        <v>133</v>
      </c>
      <c r="D59" s="34">
        <v>135</v>
      </c>
      <c r="E59" s="31">
        <v>135</v>
      </c>
      <c r="F59" s="31"/>
      <c r="G59" s="31"/>
    </row>
    <row r="60" spans="2:9">
      <c r="C60" s="31">
        <f>C58/C59</f>
        <v>0.56390977443609025</v>
      </c>
      <c r="D60">
        <f>D58/D59</f>
        <v>0.44444444444444442</v>
      </c>
    </row>
    <row r="61" spans="2:9">
      <c r="C61" s="47">
        <f>C54/$C$59</f>
        <v>2.2556390977443608E-2</v>
      </c>
      <c r="D61">
        <f>10/75</f>
        <v>0.13333333333333333</v>
      </c>
      <c r="E61">
        <f>23/133</f>
        <v>0.17293233082706766</v>
      </c>
    </row>
    <row r="62" spans="2:9">
      <c r="C62" s="47">
        <f>C58/$C$59</f>
        <v>0.56390977443609025</v>
      </c>
    </row>
    <row r="63" spans="2:9">
      <c r="C63" s="47">
        <f>C56/$C$59</f>
        <v>0.17293233082706766</v>
      </c>
    </row>
    <row r="64" spans="2:9">
      <c r="C64" s="47">
        <f>C55/$C$59</f>
        <v>0.24060150375939848</v>
      </c>
    </row>
    <row r="65" spans="2:13">
      <c r="D65">
        <f>D58/(135-D54-D57)</f>
        <v>0.50847457627118642</v>
      </c>
    </row>
    <row r="68" spans="2:13">
      <c r="B68" s="31"/>
      <c r="C68" s="97" t="s">
        <v>1449</v>
      </c>
      <c r="D68" s="31"/>
      <c r="E68" s="31"/>
      <c r="F68" s="31"/>
      <c r="G68" s="31"/>
      <c r="H68" s="31"/>
    </row>
    <row r="69" spans="2:13">
      <c r="B69" s="33" t="s">
        <v>13</v>
      </c>
      <c r="C69" s="31" t="s">
        <v>204</v>
      </c>
      <c r="D69" s="31" t="s">
        <v>89</v>
      </c>
      <c r="E69" s="31" t="s">
        <v>1443</v>
      </c>
      <c r="F69" s="31" t="s">
        <v>64</v>
      </c>
      <c r="G69" s="31" t="s">
        <v>67</v>
      </c>
      <c r="H69" t="s">
        <v>1611</v>
      </c>
      <c r="L69">
        <f>426/30</f>
        <v>14.2</v>
      </c>
      <c r="M69">
        <f>477/30</f>
        <v>15.9</v>
      </c>
    </row>
    <row r="70" spans="2:13">
      <c r="B70" s="31" t="s">
        <v>89</v>
      </c>
      <c r="C70" s="31"/>
      <c r="D70" s="31">
        <v>3</v>
      </c>
      <c r="E70" s="31"/>
      <c r="F70" s="31"/>
      <c r="G70" s="31"/>
      <c r="H70">
        <v>3</v>
      </c>
    </row>
    <row r="71" spans="2:13">
      <c r="B71" s="31" t="s">
        <v>64</v>
      </c>
      <c r="C71" s="31">
        <v>5</v>
      </c>
      <c r="D71" s="31"/>
      <c r="E71" s="31">
        <v>7</v>
      </c>
      <c r="F71" s="31">
        <v>60</v>
      </c>
      <c r="G71" s="31">
        <v>3</v>
      </c>
      <c r="H71">
        <v>75</v>
      </c>
      <c r="I71">
        <f>10/75%</f>
        <v>13.333333333333334</v>
      </c>
      <c r="L71">
        <f>365+60</f>
        <v>425</v>
      </c>
      <c r="M71">
        <f>365+120</f>
        <v>485</v>
      </c>
    </row>
    <row r="72" spans="2:13">
      <c r="B72" s="31" t="s">
        <v>67</v>
      </c>
      <c r="C72" s="31"/>
      <c r="D72" s="31">
        <v>3</v>
      </c>
      <c r="E72" s="31">
        <v>4</v>
      </c>
      <c r="F72" s="31"/>
      <c r="G72" s="31">
        <v>16</v>
      </c>
      <c r="H72">
        <v>23</v>
      </c>
      <c r="I72">
        <f>7/23</f>
        <v>0.30434782608695654</v>
      </c>
      <c r="J72">
        <f>3/23</f>
        <v>0.13043478260869565</v>
      </c>
    </row>
    <row r="73" spans="2:13">
      <c r="B73" s="31" t="s">
        <v>1443</v>
      </c>
      <c r="C73" s="31"/>
      <c r="D73" s="31">
        <v>6</v>
      </c>
      <c r="E73" s="31">
        <v>18</v>
      </c>
      <c r="F73" s="31"/>
      <c r="G73" s="31">
        <v>8</v>
      </c>
      <c r="H73">
        <v>32</v>
      </c>
      <c r="I73">
        <f>E73/H73</f>
        <v>0.5625</v>
      </c>
    </row>
    <row r="74" spans="2:13">
      <c r="B74" s="31" t="s">
        <v>1611</v>
      </c>
      <c r="C74" s="31">
        <v>5</v>
      </c>
      <c r="D74" s="31">
        <v>12</v>
      </c>
      <c r="E74" s="31">
        <v>29</v>
      </c>
      <c r="F74" s="31">
        <v>60</v>
      </c>
      <c r="G74" s="31">
        <v>27</v>
      </c>
      <c r="H74">
        <v>133</v>
      </c>
    </row>
    <row r="75" spans="2:13">
      <c r="D75">
        <f>12/135</f>
        <v>8.8888888888888892E-2</v>
      </c>
      <c r="G75">
        <f>G74/56</f>
        <v>0.48214285714285715</v>
      </c>
    </row>
    <row r="77" spans="2:13">
      <c r="F77">
        <f>9/13</f>
        <v>0.69230769230769229</v>
      </c>
      <c r="G77">
        <f>16/23</f>
        <v>0.69565217391304346</v>
      </c>
      <c r="I77">
        <f>60/135</f>
        <v>0.44444444444444442</v>
      </c>
    </row>
    <row r="78" spans="2:13">
      <c r="F78">
        <f>18/32</f>
        <v>0.5625</v>
      </c>
    </row>
    <row r="79" spans="2:13">
      <c r="F79">
        <f>37/133</f>
        <v>0.2781954887218045</v>
      </c>
    </row>
    <row r="80" spans="2:13">
      <c r="F80">
        <f>27/133</f>
        <v>0.20300751879699247</v>
      </c>
    </row>
    <row r="81" spans="2:10">
      <c r="I81" s="132" t="s">
        <v>1613</v>
      </c>
      <c r="J81" s="133" t="s">
        <v>1466</v>
      </c>
    </row>
    <row r="82" spans="2:10">
      <c r="B82" t="s">
        <v>1612</v>
      </c>
      <c r="C82" t="s">
        <v>1466</v>
      </c>
      <c r="I82" s="134">
        <v>5</v>
      </c>
      <c r="J82" s="134" t="s">
        <v>60</v>
      </c>
    </row>
    <row r="83" spans="2:10">
      <c r="B83" t="s">
        <v>17</v>
      </c>
      <c r="C83" t="s">
        <v>59</v>
      </c>
      <c r="D83" t="s">
        <v>78</v>
      </c>
      <c r="E83" t="s">
        <v>60</v>
      </c>
      <c r="F83" t="s">
        <v>1611</v>
      </c>
      <c r="I83" s="134">
        <v>2</v>
      </c>
      <c r="J83" s="134" t="s">
        <v>78</v>
      </c>
    </row>
    <row r="84" spans="2:10">
      <c r="B84" t="s">
        <v>204</v>
      </c>
      <c r="C84">
        <v>4</v>
      </c>
      <c r="E84">
        <v>1</v>
      </c>
      <c r="F84">
        <v>5</v>
      </c>
      <c r="I84" s="134">
        <v>5</v>
      </c>
      <c r="J84" s="134" t="s">
        <v>60</v>
      </c>
    </row>
    <row r="85" spans="2:10">
      <c r="B85" t="s">
        <v>89</v>
      </c>
      <c r="D85">
        <v>5</v>
      </c>
      <c r="E85">
        <v>7</v>
      </c>
      <c r="F85">
        <v>12</v>
      </c>
      <c r="I85" s="134">
        <v>5</v>
      </c>
      <c r="J85" s="134" t="s">
        <v>78</v>
      </c>
    </row>
    <row r="86" spans="2:10">
      <c r="B86" t="s">
        <v>1443</v>
      </c>
      <c r="D86">
        <v>17</v>
      </c>
      <c r="E86">
        <v>12</v>
      </c>
      <c r="F86">
        <v>29</v>
      </c>
      <c r="I86" s="134">
        <v>4</v>
      </c>
      <c r="J86" s="134" t="s">
        <v>60</v>
      </c>
    </row>
    <row r="87" spans="2:10">
      <c r="B87" t="s">
        <v>64</v>
      </c>
      <c r="C87">
        <v>46</v>
      </c>
      <c r="E87">
        <v>14</v>
      </c>
      <c r="F87">
        <v>60</v>
      </c>
      <c r="I87" s="134">
        <v>4</v>
      </c>
      <c r="J87" s="134" t="s">
        <v>60</v>
      </c>
    </row>
    <row r="88" spans="2:10">
      <c r="B88" t="s">
        <v>67</v>
      </c>
      <c r="E88">
        <v>27</v>
      </c>
      <c r="F88">
        <v>27</v>
      </c>
      <c r="I88" s="134">
        <v>4</v>
      </c>
      <c r="J88" s="134" t="s">
        <v>60</v>
      </c>
    </row>
    <row r="89" spans="2:10">
      <c r="B89" t="s">
        <v>1611</v>
      </c>
      <c r="C89">
        <v>50</v>
      </c>
      <c r="D89">
        <v>22</v>
      </c>
      <c r="E89">
        <v>61</v>
      </c>
      <c r="F89">
        <v>133</v>
      </c>
      <c r="I89" s="134">
        <v>6</v>
      </c>
      <c r="J89" s="134" t="s">
        <v>60</v>
      </c>
    </row>
    <row r="90" spans="2:10">
      <c r="F90">
        <f>46/68</f>
        <v>0.67647058823529416</v>
      </c>
      <c r="I90" s="94">
        <v>6</v>
      </c>
      <c r="J90" s="94" t="s">
        <v>60</v>
      </c>
    </row>
    <row r="91" spans="2:10">
      <c r="I91" s="94">
        <v>2</v>
      </c>
      <c r="J91" s="94" t="s">
        <v>78</v>
      </c>
    </row>
    <row r="92" spans="2:10">
      <c r="I92" s="94">
        <v>1</v>
      </c>
      <c r="J92" s="94" t="s">
        <v>78</v>
      </c>
    </row>
    <row r="93" spans="2:10">
      <c r="C93" t="s">
        <v>1618</v>
      </c>
      <c r="I93" s="94">
        <v>1</v>
      </c>
      <c r="J93" s="94" t="s">
        <v>78</v>
      </c>
    </row>
    <row r="94" spans="2:10">
      <c r="C94" s="31" t="s">
        <v>60</v>
      </c>
      <c r="D94" s="31" t="s">
        <v>78</v>
      </c>
      <c r="E94" s="31" t="s">
        <v>1611</v>
      </c>
    </row>
    <row r="95" spans="2:10">
      <c r="B95" s="31" t="s">
        <v>204</v>
      </c>
      <c r="C95" s="31">
        <v>1</v>
      </c>
      <c r="D95" s="31"/>
      <c r="E95">
        <v>1</v>
      </c>
    </row>
    <row r="96" spans="2:10">
      <c r="B96" s="31" t="s">
        <v>89</v>
      </c>
      <c r="C96" s="31">
        <v>7</v>
      </c>
      <c r="D96" s="31">
        <v>5</v>
      </c>
      <c r="E96">
        <v>12</v>
      </c>
      <c r="F96">
        <f>48/70</f>
        <v>0.68571428571428572</v>
      </c>
      <c r="G96">
        <f>13/71</f>
        <v>0.18309859154929578</v>
      </c>
      <c r="I96">
        <f>15/21</f>
        <v>0.7142857142857143</v>
      </c>
    </row>
    <row r="97" spans="2:9">
      <c r="B97" s="31" t="s">
        <v>1443</v>
      </c>
      <c r="C97" s="31">
        <v>14</v>
      </c>
      <c r="D97" s="31">
        <v>17</v>
      </c>
      <c r="E97">
        <v>31</v>
      </c>
      <c r="I97">
        <f>38/60</f>
        <v>0.6333333333333333</v>
      </c>
    </row>
    <row r="98" spans="2:9">
      <c r="B98" s="31" t="s">
        <v>64</v>
      </c>
      <c r="C98" s="31">
        <v>14</v>
      </c>
      <c r="D98" s="31"/>
      <c r="E98">
        <v>14</v>
      </c>
      <c r="I98">
        <f>21/27</f>
        <v>0.77777777777777779</v>
      </c>
    </row>
    <row r="99" spans="2:9">
      <c r="B99" s="31" t="s">
        <v>67</v>
      </c>
      <c r="C99" s="31">
        <v>27</v>
      </c>
      <c r="D99" s="31"/>
      <c r="E99">
        <v>27</v>
      </c>
    </row>
    <row r="100" spans="2:9">
      <c r="B100" s="31" t="s">
        <v>1611</v>
      </c>
      <c r="C100" s="31">
        <v>63</v>
      </c>
      <c r="D100" s="31">
        <v>22</v>
      </c>
      <c r="E100">
        <v>85</v>
      </c>
      <c r="F100">
        <f>C100/E100</f>
        <v>0.74117647058823533</v>
      </c>
    </row>
    <row r="102" spans="2:9">
      <c r="B102" s="31" t="s">
        <v>1622</v>
      </c>
      <c r="C102" s="31">
        <v>0</v>
      </c>
      <c r="D102" s="31">
        <v>1</v>
      </c>
      <c r="E102" s="31" t="s">
        <v>1629</v>
      </c>
      <c r="F102" s="31" t="s">
        <v>336</v>
      </c>
    </row>
    <row r="103" spans="2:9">
      <c r="B103" s="31" t="s">
        <v>204</v>
      </c>
      <c r="C103" s="31"/>
      <c r="D103" s="31">
        <v>2</v>
      </c>
      <c r="E103" s="31">
        <v>3</v>
      </c>
      <c r="F103" s="31">
        <v>5</v>
      </c>
    </row>
    <row r="104" spans="2:9">
      <c r="B104" s="31" t="s">
        <v>89</v>
      </c>
      <c r="C104" s="31">
        <v>9</v>
      </c>
      <c r="D104" s="31"/>
      <c r="E104" s="31">
        <v>3</v>
      </c>
      <c r="F104" s="31">
        <v>12</v>
      </c>
    </row>
    <row r="105" spans="2:9">
      <c r="B105" s="31" t="s">
        <v>1443</v>
      </c>
      <c r="C105" s="31">
        <v>5</v>
      </c>
      <c r="D105" s="31">
        <v>10</v>
      </c>
      <c r="E105" s="31">
        <v>14</v>
      </c>
      <c r="F105" s="31">
        <v>29</v>
      </c>
    </row>
    <row r="106" spans="2:9">
      <c r="B106" s="31" t="s">
        <v>64</v>
      </c>
      <c r="C106" s="31">
        <v>14</v>
      </c>
      <c r="D106" s="31">
        <v>38</v>
      </c>
      <c r="E106" s="31">
        <v>8</v>
      </c>
      <c r="F106" s="31">
        <v>60</v>
      </c>
      <c r="G106" s="47">
        <f>D106/F106</f>
        <v>0.6333333333333333</v>
      </c>
    </row>
    <row r="107" spans="2:9">
      <c r="B107" s="31" t="s">
        <v>67</v>
      </c>
      <c r="C107" s="31">
        <v>3</v>
      </c>
      <c r="D107" s="31">
        <v>21</v>
      </c>
      <c r="E107" s="31">
        <v>3</v>
      </c>
      <c r="F107" s="31">
        <v>27</v>
      </c>
      <c r="G107" s="47">
        <f>D107/F107</f>
        <v>0.77777777777777779</v>
      </c>
    </row>
    <row r="108" spans="2:9">
      <c r="B108" s="31" t="s">
        <v>1615</v>
      </c>
      <c r="C108" s="31">
        <v>2</v>
      </c>
      <c r="D108" s="31"/>
      <c r="E108" s="31"/>
      <c r="F108" s="31">
        <v>2</v>
      </c>
    </row>
    <row r="109" spans="2:9">
      <c r="B109" s="31" t="s">
        <v>336</v>
      </c>
      <c r="C109" s="31">
        <v>33</v>
      </c>
      <c r="D109" s="31">
        <v>71</v>
      </c>
      <c r="E109" s="31">
        <v>31</v>
      </c>
      <c r="F109" s="31">
        <v>135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L157"/>
  <sheetViews>
    <sheetView topLeftCell="D19" workbookViewId="0">
      <selection activeCell="K5" sqref="K5"/>
    </sheetView>
  </sheetViews>
  <sheetFormatPr baseColWidth="10" defaultColWidth="10.90625" defaultRowHeight="14.5"/>
  <cols>
    <col min="3" max="3" width="35.1796875" customWidth="1"/>
    <col min="4" max="4" width="18.54296875" bestFit="1" customWidth="1"/>
    <col min="5" max="5" width="3.81640625" customWidth="1"/>
    <col min="6" max="6" width="18.453125" customWidth="1"/>
    <col min="7" max="7" width="20.1796875" customWidth="1"/>
    <col min="8" max="8" width="19.08984375" customWidth="1"/>
    <col min="9" max="9" width="17.1796875" bestFit="1" customWidth="1"/>
  </cols>
  <sheetData>
    <row r="2" spans="2:12" ht="15" thickBot="1">
      <c r="B2" s="31" t="s">
        <v>145</v>
      </c>
    </row>
    <row r="3" spans="2:12" ht="15" thickBot="1">
      <c r="B3" s="162" t="s">
        <v>350</v>
      </c>
      <c r="C3" s="163" t="s">
        <v>8</v>
      </c>
      <c r="D3" s="163" t="s">
        <v>10</v>
      </c>
      <c r="E3" s="163" t="s">
        <v>354</v>
      </c>
      <c r="F3" s="163" t="s">
        <v>355</v>
      </c>
      <c r="G3" s="163" t="s">
        <v>356</v>
      </c>
      <c r="J3" s="47">
        <f>K3/$K$7</f>
        <v>0.13540462427745664</v>
      </c>
      <c r="K3">
        <v>937</v>
      </c>
      <c r="L3" s="31" t="s">
        <v>1669</v>
      </c>
    </row>
    <row r="4" spans="2:12">
      <c r="B4" s="68">
        <v>13408</v>
      </c>
      <c r="C4" s="69" t="s">
        <v>147</v>
      </c>
      <c r="D4" s="164" t="s">
        <v>64</v>
      </c>
      <c r="E4" s="69">
        <v>94340000</v>
      </c>
      <c r="F4" s="69"/>
      <c r="G4" s="69"/>
      <c r="J4" s="47">
        <f>K4/$K$7</f>
        <v>0.33150289017341039</v>
      </c>
      <c r="K4">
        <v>2294</v>
      </c>
      <c r="L4" s="31" t="s">
        <v>1670</v>
      </c>
    </row>
    <row r="5" spans="2:12">
      <c r="B5" s="68">
        <v>19651</v>
      </c>
      <c r="C5" s="69" t="s">
        <v>149</v>
      </c>
      <c r="D5" s="164" t="s">
        <v>1443</v>
      </c>
      <c r="E5" s="69">
        <v>94120280</v>
      </c>
      <c r="F5" s="69" t="s">
        <v>574</v>
      </c>
      <c r="G5" s="69" t="s">
        <v>575</v>
      </c>
      <c r="I5" s="47">
        <f>K5/K10</f>
        <v>0.13885809312638581</v>
      </c>
      <c r="J5" s="47">
        <f>K5/$K$7</f>
        <v>0.28959537572254335</v>
      </c>
      <c r="K5">
        <v>2004</v>
      </c>
      <c r="L5" s="31" t="s">
        <v>1671</v>
      </c>
    </row>
    <row r="6" spans="2:12">
      <c r="B6" s="68">
        <v>19874</v>
      </c>
      <c r="C6" s="69" t="s">
        <v>154</v>
      </c>
      <c r="D6" s="165" t="s">
        <v>67</v>
      </c>
      <c r="E6" s="69">
        <v>94010000</v>
      </c>
      <c r="F6" s="69" t="s">
        <v>581</v>
      </c>
      <c r="G6" s="69" t="s">
        <v>582</v>
      </c>
      <c r="J6" s="47">
        <f>K6/$K$7</f>
        <v>0.24349710982658959</v>
      </c>
      <c r="K6">
        <v>1685</v>
      </c>
      <c r="L6" s="31" t="s">
        <v>1672</v>
      </c>
    </row>
    <row r="7" spans="2:12">
      <c r="B7" s="68">
        <v>24614</v>
      </c>
      <c r="C7" s="69" t="s">
        <v>156</v>
      </c>
      <c r="D7" s="164" t="s">
        <v>1443</v>
      </c>
      <c r="E7" s="69">
        <v>94010000</v>
      </c>
      <c r="F7" s="69" t="s">
        <v>585</v>
      </c>
      <c r="G7" s="69" t="s">
        <v>586</v>
      </c>
      <c r="K7">
        <f>SUM(K3:K6)</f>
        <v>6920</v>
      </c>
      <c r="L7" s="31" t="s">
        <v>1673</v>
      </c>
    </row>
    <row r="8" spans="2:12">
      <c r="B8" s="68">
        <v>24615</v>
      </c>
      <c r="C8" s="69" t="s">
        <v>158</v>
      </c>
      <c r="D8" s="165" t="s">
        <v>67</v>
      </c>
      <c r="E8" s="69">
        <v>94010000</v>
      </c>
      <c r="F8" s="69" t="s">
        <v>588</v>
      </c>
      <c r="G8" s="69" t="s">
        <v>589</v>
      </c>
      <c r="J8" s="47">
        <f>(K3+K6)/K7</f>
        <v>0.37890173410404626</v>
      </c>
    </row>
    <row r="9" spans="2:12">
      <c r="B9" s="68">
        <v>24616</v>
      </c>
      <c r="C9" s="69" t="s">
        <v>159</v>
      </c>
      <c r="D9" s="165" t="s">
        <v>67</v>
      </c>
      <c r="E9" s="69">
        <v>94010000</v>
      </c>
      <c r="F9" s="69" t="s">
        <v>590</v>
      </c>
      <c r="G9" s="69" t="s">
        <v>1129</v>
      </c>
    </row>
    <row r="10" spans="2:12">
      <c r="B10" s="68">
        <v>24617</v>
      </c>
      <c r="C10" s="69" t="s">
        <v>160</v>
      </c>
      <c r="D10" s="164" t="s">
        <v>64</v>
      </c>
      <c r="E10" s="69">
        <v>94090090</v>
      </c>
      <c r="F10" s="69" t="s">
        <v>592</v>
      </c>
      <c r="G10" s="69" t="s">
        <v>1132</v>
      </c>
      <c r="K10">
        <v>14432</v>
      </c>
    </row>
    <row r="11" spans="2:12">
      <c r="B11" s="68">
        <v>24618</v>
      </c>
      <c r="C11" s="69" t="s">
        <v>161</v>
      </c>
      <c r="D11" s="164" t="s">
        <v>1443</v>
      </c>
      <c r="E11" s="69">
        <v>94110357</v>
      </c>
      <c r="F11" s="69" t="s">
        <v>594</v>
      </c>
      <c r="G11" s="69" t="s">
        <v>1134</v>
      </c>
    </row>
    <row r="12" spans="2:12">
      <c r="B12" s="68">
        <v>1010678</v>
      </c>
      <c r="C12" s="69" t="s">
        <v>1138</v>
      </c>
      <c r="D12" s="164" t="s">
        <v>1443</v>
      </c>
      <c r="E12" s="69">
        <v>94030020</v>
      </c>
      <c r="F12" s="69" t="s">
        <v>596</v>
      </c>
      <c r="G12" s="69" t="s">
        <v>1139</v>
      </c>
    </row>
    <row r="13" spans="2:12">
      <c r="B13" s="68">
        <v>1010679</v>
      </c>
      <c r="C13" s="69" t="s">
        <v>165</v>
      </c>
      <c r="D13" s="165" t="s">
        <v>67</v>
      </c>
      <c r="E13" s="69">
        <v>94155180</v>
      </c>
      <c r="F13" s="69" t="s">
        <v>600</v>
      </c>
      <c r="G13" s="69" t="s">
        <v>1145</v>
      </c>
    </row>
    <row r="14" spans="2:12">
      <c r="B14" s="68">
        <v>1010680</v>
      </c>
      <c r="C14" s="69" t="s">
        <v>168</v>
      </c>
      <c r="D14" s="164" t="s">
        <v>64</v>
      </c>
      <c r="E14" s="69">
        <v>94075310</v>
      </c>
      <c r="F14" s="69" t="s">
        <v>604</v>
      </c>
      <c r="G14" s="69" t="s">
        <v>1149</v>
      </c>
    </row>
    <row r="15" spans="2:12">
      <c r="B15" s="68">
        <v>1010681</v>
      </c>
      <c r="C15" s="69" t="s">
        <v>170</v>
      </c>
      <c r="D15" s="164" t="s">
        <v>1443</v>
      </c>
      <c r="E15" s="69">
        <v>94015171</v>
      </c>
      <c r="F15" s="69" t="s">
        <v>606</v>
      </c>
      <c r="G15" s="69" t="s">
        <v>1151</v>
      </c>
    </row>
    <row r="16" spans="2:12">
      <c r="B16" s="68">
        <v>1010682</v>
      </c>
      <c r="C16" s="69" t="s">
        <v>173</v>
      </c>
      <c r="D16" s="164" t="s">
        <v>64</v>
      </c>
      <c r="E16" s="69">
        <v>94180295</v>
      </c>
      <c r="F16" s="69" t="s">
        <v>612</v>
      </c>
      <c r="G16" s="69" t="s">
        <v>1155</v>
      </c>
    </row>
    <row r="17" spans="2:9">
      <c r="B17" s="68">
        <v>1011012</v>
      </c>
      <c r="C17" s="69" t="s">
        <v>174</v>
      </c>
      <c r="D17" s="164" t="s">
        <v>1443</v>
      </c>
      <c r="E17" s="69">
        <v>94000970</v>
      </c>
      <c r="F17" s="69" t="s">
        <v>614</v>
      </c>
      <c r="G17" s="69" t="s">
        <v>1157</v>
      </c>
    </row>
    <row r="18" spans="2:9">
      <c r="B18" s="68">
        <v>1011013</v>
      </c>
      <c r="C18" s="69" t="s">
        <v>176</v>
      </c>
      <c r="D18" s="165" t="s">
        <v>67</v>
      </c>
      <c r="E18" s="69">
        <v>94015290</v>
      </c>
      <c r="F18" s="69" t="s">
        <v>616</v>
      </c>
      <c r="G18" s="69" t="s">
        <v>1162</v>
      </c>
    </row>
    <row r="20" spans="2:9">
      <c r="B20" s="31" t="s">
        <v>1636</v>
      </c>
    </row>
    <row r="22" spans="2:9" ht="15" thickBot="1">
      <c r="B22" s="166" t="s">
        <v>7</v>
      </c>
      <c r="C22" s="167" t="s">
        <v>8</v>
      </c>
      <c r="D22" s="179" t="s">
        <v>5</v>
      </c>
      <c r="E22" s="167" t="s">
        <v>6</v>
      </c>
      <c r="F22" s="182" t="s">
        <v>1637</v>
      </c>
      <c r="G22" s="182" t="s">
        <v>1449</v>
      </c>
      <c r="H22" s="183" t="s">
        <v>1679</v>
      </c>
      <c r="I22" s="185" t="s">
        <v>1621</v>
      </c>
    </row>
    <row r="23" spans="2:9">
      <c r="B23" s="176">
        <v>25351</v>
      </c>
      <c r="C23" s="173" t="s">
        <v>56</v>
      </c>
      <c r="D23" s="180" t="s">
        <v>54</v>
      </c>
      <c r="E23" s="168" t="s">
        <v>55</v>
      </c>
      <c r="F23" s="169" t="s">
        <v>1443</v>
      </c>
      <c r="G23" s="169" t="s">
        <v>1443</v>
      </c>
      <c r="H23" s="129">
        <v>181924</v>
      </c>
      <c r="I23" s="184"/>
    </row>
    <row r="24" spans="2:9">
      <c r="B24" s="177">
        <v>25352</v>
      </c>
      <c r="C24" s="174" t="s">
        <v>62</v>
      </c>
      <c r="D24" s="181" t="s">
        <v>54</v>
      </c>
      <c r="E24" s="170" t="s">
        <v>55</v>
      </c>
      <c r="F24" s="171" t="s">
        <v>64</v>
      </c>
      <c r="G24" s="171" t="s">
        <v>64</v>
      </c>
      <c r="H24" s="129">
        <v>395596</v>
      </c>
      <c r="I24" s="184">
        <v>1</v>
      </c>
    </row>
    <row r="25" spans="2:9">
      <c r="B25" s="177">
        <v>25353</v>
      </c>
      <c r="C25" s="174" t="s">
        <v>65</v>
      </c>
      <c r="D25" s="181" t="s">
        <v>54</v>
      </c>
      <c r="E25" s="170" t="s">
        <v>55</v>
      </c>
      <c r="F25" s="171" t="s">
        <v>67</v>
      </c>
      <c r="G25" s="171" t="s">
        <v>67</v>
      </c>
      <c r="H25" s="129">
        <v>395596</v>
      </c>
      <c r="I25" s="184"/>
    </row>
    <row r="26" spans="2:9">
      <c r="B26" s="177">
        <v>33214</v>
      </c>
      <c r="C26" s="174" t="s">
        <v>68</v>
      </c>
      <c r="D26" s="181" t="s">
        <v>54</v>
      </c>
      <c r="E26" s="170" t="s">
        <v>55</v>
      </c>
      <c r="F26" s="171" t="s">
        <v>64</v>
      </c>
      <c r="G26" s="171" t="s">
        <v>64</v>
      </c>
      <c r="H26" s="129">
        <v>466078</v>
      </c>
      <c r="I26" s="184"/>
    </row>
    <row r="27" spans="2:9">
      <c r="B27" s="177">
        <v>33215</v>
      </c>
      <c r="C27" s="174" t="s">
        <v>71</v>
      </c>
      <c r="D27" s="181" t="s">
        <v>54</v>
      </c>
      <c r="E27" s="170" t="s">
        <v>55</v>
      </c>
      <c r="F27" s="171" t="s">
        <v>64</v>
      </c>
      <c r="G27" s="171" t="s">
        <v>64</v>
      </c>
      <c r="H27" s="129">
        <v>465162</v>
      </c>
      <c r="I27" s="184"/>
    </row>
    <row r="28" spans="2:9">
      <c r="B28" s="177">
        <v>1003823</v>
      </c>
      <c r="C28" s="174" t="s">
        <v>73</v>
      </c>
      <c r="D28" s="181" t="s">
        <v>54</v>
      </c>
      <c r="E28" s="170" t="s">
        <v>55</v>
      </c>
      <c r="F28" s="171" t="s">
        <v>1443</v>
      </c>
      <c r="G28" s="171" t="s">
        <v>1443</v>
      </c>
      <c r="H28" s="129">
        <v>466078</v>
      </c>
      <c r="I28" s="184"/>
    </row>
    <row r="29" spans="2:9">
      <c r="B29" s="177">
        <v>1012813</v>
      </c>
      <c r="C29" s="174" t="s">
        <v>76</v>
      </c>
      <c r="D29" s="181" t="s">
        <v>54</v>
      </c>
      <c r="E29" s="170" t="s">
        <v>55</v>
      </c>
      <c r="F29" s="171" t="s">
        <v>64</v>
      </c>
      <c r="G29" s="171" t="s">
        <v>1443</v>
      </c>
      <c r="H29" s="129" t="s">
        <v>59</v>
      </c>
      <c r="I29" s="184"/>
    </row>
    <row r="30" spans="2:9">
      <c r="B30" s="177">
        <v>1017726</v>
      </c>
      <c r="C30" s="175" t="s">
        <v>1638</v>
      </c>
      <c r="D30" s="181" t="s">
        <v>54</v>
      </c>
      <c r="E30" s="170" t="s">
        <v>55</v>
      </c>
      <c r="F30" s="171" t="s">
        <v>64</v>
      </c>
      <c r="G30" s="171" t="s">
        <v>64</v>
      </c>
      <c r="H30" s="129">
        <v>846775</v>
      </c>
      <c r="I30" s="184">
        <v>1</v>
      </c>
    </row>
    <row r="31" spans="2:9">
      <c r="B31" s="177">
        <v>19887</v>
      </c>
      <c r="C31" s="174" t="s">
        <v>87</v>
      </c>
      <c r="D31" s="181" t="s">
        <v>85</v>
      </c>
      <c r="E31" s="170" t="s">
        <v>86</v>
      </c>
      <c r="F31" s="171" t="s">
        <v>89</v>
      </c>
      <c r="G31" s="171" t="s">
        <v>89</v>
      </c>
      <c r="H31" s="129">
        <v>1498023</v>
      </c>
      <c r="I31" s="184"/>
    </row>
    <row r="32" spans="2:9">
      <c r="B32" s="177">
        <v>25121</v>
      </c>
      <c r="C32" s="174" t="s">
        <v>93</v>
      </c>
      <c r="D32" s="181" t="s">
        <v>85</v>
      </c>
      <c r="E32" s="170" t="s">
        <v>86</v>
      </c>
      <c r="F32" s="171" t="s">
        <v>67</v>
      </c>
      <c r="G32" s="171" t="s">
        <v>1443</v>
      </c>
      <c r="H32" s="129">
        <v>1659473</v>
      </c>
      <c r="I32" s="184"/>
    </row>
    <row r="33" spans="2:9">
      <c r="B33" s="177">
        <v>1006363</v>
      </c>
      <c r="C33" s="174" t="s">
        <v>96</v>
      </c>
      <c r="D33" s="181" t="s">
        <v>85</v>
      </c>
      <c r="E33" s="170" t="s">
        <v>86</v>
      </c>
      <c r="F33" s="171" t="s">
        <v>64</v>
      </c>
      <c r="G33" s="171" t="s">
        <v>64</v>
      </c>
      <c r="H33" s="129">
        <v>457231</v>
      </c>
      <c r="I33" s="184">
        <v>1</v>
      </c>
    </row>
    <row r="34" spans="2:9" ht="29">
      <c r="B34" s="177">
        <v>1004300</v>
      </c>
      <c r="C34" s="174" t="s">
        <v>99</v>
      </c>
      <c r="D34" s="181" t="s">
        <v>98</v>
      </c>
      <c r="E34" s="170" t="s">
        <v>55</v>
      </c>
      <c r="F34" s="171" t="s">
        <v>1443</v>
      </c>
      <c r="G34" s="171" t="s">
        <v>1443</v>
      </c>
      <c r="H34" s="129">
        <v>1081213</v>
      </c>
      <c r="I34" s="184"/>
    </row>
    <row r="35" spans="2:9">
      <c r="B35" s="177">
        <v>1004301</v>
      </c>
      <c r="C35" s="174" t="s">
        <v>102</v>
      </c>
      <c r="D35" s="181" t="s">
        <v>98</v>
      </c>
      <c r="E35" s="170" t="s">
        <v>55</v>
      </c>
      <c r="F35" s="171" t="s">
        <v>1443</v>
      </c>
      <c r="G35" s="171" t="s">
        <v>1443</v>
      </c>
      <c r="H35" s="129">
        <v>1121614</v>
      </c>
      <c r="I35" s="184"/>
    </row>
    <row r="36" spans="2:9">
      <c r="B36" s="177">
        <v>1010390</v>
      </c>
      <c r="C36" s="175" t="s">
        <v>1639</v>
      </c>
      <c r="D36" s="181" t="s">
        <v>98</v>
      </c>
      <c r="E36" s="170" t="s">
        <v>55</v>
      </c>
      <c r="F36" s="171" t="s">
        <v>1443</v>
      </c>
      <c r="G36" s="171" t="s">
        <v>1443</v>
      </c>
      <c r="H36" s="129">
        <v>993746</v>
      </c>
      <c r="I36" s="184"/>
    </row>
    <row r="37" spans="2:9">
      <c r="B37" s="177">
        <v>1004230</v>
      </c>
      <c r="C37" s="175" t="s">
        <v>485</v>
      </c>
      <c r="D37" s="181" t="s">
        <v>108</v>
      </c>
      <c r="E37" s="170" t="s">
        <v>55</v>
      </c>
      <c r="F37" s="171" t="s">
        <v>67</v>
      </c>
      <c r="G37" s="171" t="s">
        <v>67</v>
      </c>
      <c r="H37" s="129">
        <v>781396</v>
      </c>
      <c r="I37" s="184"/>
    </row>
    <row r="38" spans="2:9">
      <c r="B38" s="177">
        <v>1005696</v>
      </c>
      <c r="C38" s="174" t="s">
        <v>111</v>
      </c>
      <c r="D38" s="181" t="s">
        <v>108</v>
      </c>
      <c r="E38" s="170" t="s">
        <v>55</v>
      </c>
      <c r="F38" s="171" t="s">
        <v>64</v>
      </c>
      <c r="G38" s="171" t="s">
        <v>64</v>
      </c>
      <c r="H38" s="129">
        <v>461693</v>
      </c>
      <c r="I38" s="184"/>
    </row>
    <row r="39" spans="2:9">
      <c r="B39" s="177">
        <v>1006985</v>
      </c>
      <c r="C39" s="174" t="s">
        <v>113</v>
      </c>
      <c r="D39" s="181" t="s">
        <v>108</v>
      </c>
      <c r="E39" s="170" t="s">
        <v>55</v>
      </c>
      <c r="F39" s="171" t="s">
        <v>64</v>
      </c>
      <c r="G39" s="171" t="s">
        <v>64</v>
      </c>
      <c r="H39" s="129">
        <v>454293</v>
      </c>
      <c r="I39" s="184"/>
    </row>
    <row r="40" spans="2:9">
      <c r="B40" s="177">
        <v>1016714</v>
      </c>
      <c r="C40" s="175" t="s">
        <v>1657</v>
      </c>
      <c r="D40" s="181" t="s">
        <v>108</v>
      </c>
      <c r="E40" s="170" t="s">
        <v>55</v>
      </c>
      <c r="F40" s="171" t="s">
        <v>1443</v>
      </c>
      <c r="G40" s="171" t="s">
        <v>89</v>
      </c>
      <c r="H40" s="129">
        <v>1052710</v>
      </c>
      <c r="I40" s="184"/>
    </row>
    <row r="41" spans="2:9">
      <c r="B41" s="177">
        <v>1006367</v>
      </c>
      <c r="C41" s="174" t="s">
        <v>120</v>
      </c>
      <c r="D41" s="181" t="s">
        <v>119</v>
      </c>
      <c r="E41" s="170" t="s">
        <v>86</v>
      </c>
      <c r="F41" s="171" t="s">
        <v>1443</v>
      </c>
      <c r="G41" s="171" t="s">
        <v>1443</v>
      </c>
      <c r="H41" s="129">
        <v>1223204</v>
      </c>
      <c r="I41" s="184"/>
    </row>
    <row r="42" spans="2:9">
      <c r="B42" s="177">
        <v>1009202</v>
      </c>
      <c r="C42" s="174" t="s">
        <v>125</v>
      </c>
      <c r="D42" s="181" t="s">
        <v>124</v>
      </c>
      <c r="E42" s="170" t="s">
        <v>55</v>
      </c>
      <c r="F42" s="171" t="s">
        <v>64</v>
      </c>
      <c r="G42" s="171" t="s">
        <v>1443</v>
      </c>
      <c r="H42" s="129">
        <v>1033686</v>
      </c>
      <c r="I42" s="184"/>
    </row>
    <row r="43" spans="2:9">
      <c r="B43" s="177">
        <v>1009203</v>
      </c>
      <c r="C43" s="174" t="s">
        <v>128</v>
      </c>
      <c r="D43" s="181" t="s">
        <v>124</v>
      </c>
      <c r="E43" s="170" t="s">
        <v>55</v>
      </c>
      <c r="F43" s="171" t="s">
        <v>64</v>
      </c>
      <c r="G43" s="171" t="s">
        <v>1443</v>
      </c>
      <c r="H43" s="129">
        <v>453338</v>
      </c>
      <c r="I43" s="184"/>
    </row>
    <row r="44" spans="2:9">
      <c r="B44" s="177">
        <v>1009204</v>
      </c>
      <c r="C44" s="174" t="s">
        <v>129</v>
      </c>
      <c r="D44" s="181" t="s">
        <v>124</v>
      </c>
      <c r="E44" s="170" t="s">
        <v>55</v>
      </c>
      <c r="F44" s="171" t="s">
        <v>64</v>
      </c>
      <c r="G44" s="171" t="s">
        <v>1443</v>
      </c>
      <c r="H44" s="129">
        <v>450598</v>
      </c>
      <c r="I44" s="184"/>
    </row>
    <row r="45" spans="2:9" ht="29">
      <c r="B45" s="177">
        <v>1009205</v>
      </c>
      <c r="C45" s="174" t="s">
        <v>130</v>
      </c>
      <c r="D45" s="181" t="s">
        <v>124</v>
      </c>
      <c r="E45" s="170" t="s">
        <v>55</v>
      </c>
      <c r="F45" s="171" t="s">
        <v>64</v>
      </c>
      <c r="G45" s="171" t="s">
        <v>64</v>
      </c>
      <c r="H45" s="129">
        <v>450601</v>
      </c>
      <c r="I45" s="184"/>
    </row>
    <row r="46" spans="2:9">
      <c r="B46" s="177">
        <v>1011101</v>
      </c>
      <c r="C46" s="174" t="s">
        <v>131</v>
      </c>
      <c r="D46" s="181" t="s">
        <v>124</v>
      </c>
      <c r="E46" s="170" t="s">
        <v>55</v>
      </c>
      <c r="F46" s="171" t="s">
        <v>64</v>
      </c>
      <c r="G46" s="171" t="s">
        <v>64</v>
      </c>
      <c r="H46" s="129" t="s">
        <v>59</v>
      </c>
      <c r="I46" s="184"/>
    </row>
    <row r="47" spans="2:9" ht="29">
      <c r="B47" s="177">
        <v>1012814</v>
      </c>
      <c r="C47" s="174" t="s">
        <v>133</v>
      </c>
      <c r="D47" s="181" t="s">
        <v>124</v>
      </c>
      <c r="E47" s="170" t="s">
        <v>55</v>
      </c>
      <c r="F47" s="171" t="s">
        <v>64</v>
      </c>
      <c r="G47" s="171" t="s">
        <v>64</v>
      </c>
      <c r="H47" s="129" t="s">
        <v>59</v>
      </c>
      <c r="I47" s="184"/>
    </row>
    <row r="48" spans="2:9">
      <c r="B48" s="177">
        <v>1012815</v>
      </c>
      <c r="C48" s="174" t="s">
        <v>135</v>
      </c>
      <c r="D48" s="181" t="s">
        <v>124</v>
      </c>
      <c r="E48" s="170" t="s">
        <v>55</v>
      </c>
      <c r="F48" s="171" t="s">
        <v>64</v>
      </c>
      <c r="G48" s="171" t="s">
        <v>64</v>
      </c>
      <c r="H48" s="129" t="s">
        <v>59</v>
      </c>
      <c r="I48" s="184"/>
    </row>
    <row r="49" spans="2:9">
      <c r="B49" s="177">
        <v>1012816</v>
      </c>
      <c r="C49" s="175" t="s">
        <v>1658</v>
      </c>
      <c r="D49" s="181" t="s">
        <v>124</v>
      </c>
      <c r="E49" s="170" t="s">
        <v>55</v>
      </c>
      <c r="F49" s="171" t="s">
        <v>64</v>
      </c>
      <c r="G49" s="171" t="s">
        <v>64</v>
      </c>
      <c r="H49" s="129" t="s">
        <v>59</v>
      </c>
      <c r="I49" s="184"/>
    </row>
    <row r="50" spans="2:9" ht="29">
      <c r="B50" s="177">
        <v>1006081</v>
      </c>
      <c r="C50" s="174" t="s">
        <v>139</v>
      </c>
      <c r="D50" s="181" t="s">
        <v>138</v>
      </c>
      <c r="E50" s="170" t="s">
        <v>55</v>
      </c>
      <c r="F50" s="171" t="s">
        <v>1443</v>
      </c>
      <c r="G50" s="171" t="s">
        <v>67</v>
      </c>
      <c r="H50" s="129">
        <v>457691</v>
      </c>
      <c r="I50" s="184"/>
    </row>
    <row r="51" spans="2:9">
      <c r="B51" s="177">
        <v>1010867</v>
      </c>
      <c r="C51" s="175" t="s">
        <v>1659</v>
      </c>
      <c r="D51" s="181" t="s">
        <v>138</v>
      </c>
      <c r="E51" s="170" t="s">
        <v>55</v>
      </c>
      <c r="F51" s="171" t="s">
        <v>1443</v>
      </c>
      <c r="G51" s="171" t="s">
        <v>1443</v>
      </c>
      <c r="H51" s="129">
        <v>3187606</v>
      </c>
      <c r="I51" s="184"/>
    </row>
    <row r="52" spans="2:9" ht="29">
      <c r="B52" s="177">
        <v>13408</v>
      </c>
      <c r="C52" s="175" t="s">
        <v>1660</v>
      </c>
      <c r="D52" s="181" t="s">
        <v>145</v>
      </c>
      <c r="E52" s="170" t="s">
        <v>146</v>
      </c>
      <c r="F52" s="171" t="s">
        <v>64</v>
      </c>
      <c r="G52" s="171" t="s">
        <v>64</v>
      </c>
      <c r="H52" s="129">
        <v>860403</v>
      </c>
      <c r="I52" s="184"/>
    </row>
    <row r="53" spans="2:9">
      <c r="B53" s="177">
        <v>19651</v>
      </c>
      <c r="C53" s="174" t="s">
        <v>149</v>
      </c>
      <c r="D53" s="181" t="s">
        <v>145</v>
      </c>
      <c r="E53" s="170" t="s">
        <v>146</v>
      </c>
      <c r="F53" s="171" t="s">
        <v>1443</v>
      </c>
      <c r="G53" s="171" t="s">
        <v>1443</v>
      </c>
      <c r="H53" s="129">
        <v>1568209</v>
      </c>
      <c r="I53" s="184"/>
    </row>
    <row r="54" spans="2:9">
      <c r="B54" s="177">
        <v>19874</v>
      </c>
      <c r="C54" s="174" t="s">
        <v>154</v>
      </c>
      <c r="D54" s="181" t="s">
        <v>145</v>
      </c>
      <c r="E54" s="170" t="s">
        <v>146</v>
      </c>
      <c r="F54" s="171" t="s">
        <v>67</v>
      </c>
      <c r="G54" s="171" t="s">
        <v>67</v>
      </c>
      <c r="H54" s="129">
        <v>512428</v>
      </c>
      <c r="I54" s="184"/>
    </row>
    <row r="55" spans="2:9">
      <c r="B55" s="177">
        <v>24614</v>
      </c>
      <c r="C55" s="174" t="s">
        <v>156</v>
      </c>
      <c r="D55" s="181" t="s">
        <v>145</v>
      </c>
      <c r="E55" s="170" t="s">
        <v>146</v>
      </c>
      <c r="F55" s="171" t="s">
        <v>1443</v>
      </c>
      <c r="G55" s="171" t="s">
        <v>1443</v>
      </c>
      <c r="H55" s="129">
        <v>625815</v>
      </c>
      <c r="I55" s="184"/>
    </row>
    <row r="56" spans="2:9">
      <c r="B56" s="177">
        <v>24615</v>
      </c>
      <c r="C56" s="174" t="s">
        <v>158</v>
      </c>
      <c r="D56" s="181" t="s">
        <v>145</v>
      </c>
      <c r="E56" s="170" t="s">
        <v>146</v>
      </c>
      <c r="F56" s="171" t="s">
        <v>67</v>
      </c>
      <c r="G56" s="171" t="s">
        <v>67</v>
      </c>
      <c r="H56" s="129">
        <v>185312</v>
      </c>
      <c r="I56" s="184"/>
    </row>
    <row r="57" spans="2:9">
      <c r="B57" s="177">
        <v>24616</v>
      </c>
      <c r="C57" s="174" t="s">
        <v>159</v>
      </c>
      <c r="D57" s="181" t="s">
        <v>145</v>
      </c>
      <c r="E57" s="170" t="s">
        <v>146</v>
      </c>
      <c r="F57" s="171" t="s">
        <v>67</v>
      </c>
      <c r="G57" s="171" t="s">
        <v>67</v>
      </c>
      <c r="H57" s="129">
        <v>745746</v>
      </c>
      <c r="I57" s="184"/>
    </row>
    <row r="58" spans="2:9">
      <c r="B58" s="177">
        <v>24617</v>
      </c>
      <c r="C58" s="174" t="s">
        <v>160</v>
      </c>
      <c r="D58" s="181" t="s">
        <v>145</v>
      </c>
      <c r="E58" s="170" t="s">
        <v>146</v>
      </c>
      <c r="F58" s="171" t="s">
        <v>64</v>
      </c>
      <c r="G58" s="171" t="s">
        <v>64</v>
      </c>
      <c r="H58" s="129">
        <v>396749</v>
      </c>
      <c r="I58" s="184">
        <v>1</v>
      </c>
    </row>
    <row r="59" spans="2:9">
      <c r="B59" s="177">
        <v>24618</v>
      </c>
      <c r="C59" s="174" t="s">
        <v>161</v>
      </c>
      <c r="D59" s="181" t="s">
        <v>145</v>
      </c>
      <c r="E59" s="170" t="s">
        <v>146</v>
      </c>
      <c r="F59" s="171" t="s">
        <v>1443</v>
      </c>
      <c r="G59" s="171" t="s">
        <v>1443</v>
      </c>
      <c r="H59" s="129">
        <v>1580532</v>
      </c>
      <c r="I59" s="184"/>
    </row>
    <row r="60" spans="2:9">
      <c r="B60" s="177">
        <v>1010678</v>
      </c>
      <c r="C60" s="175" t="s">
        <v>1138</v>
      </c>
      <c r="D60" s="181" t="s">
        <v>145</v>
      </c>
      <c r="E60" s="170" t="s">
        <v>146</v>
      </c>
      <c r="F60" s="171" t="s">
        <v>64</v>
      </c>
      <c r="G60" s="171" t="s">
        <v>1443</v>
      </c>
      <c r="H60" s="129">
        <v>544245</v>
      </c>
      <c r="I60" s="184"/>
    </row>
    <row r="61" spans="2:9">
      <c r="B61" s="177">
        <v>1010679</v>
      </c>
      <c r="C61" s="174" t="s">
        <v>165</v>
      </c>
      <c r="D61" s="181" t="s">
        <v>145</v>
      </c>
      <c r="E61" s="170" t="s">
        <v>146</v>
      </c>
      <c r="F61" s="171" t="s">
        <v>1443</v>
      </c>
      <c r="G61" s="171" t="s">
        <v>67</v>
      </c>
      <c r="H61" s="129">
        <v>458626</v>
      </c>
      <c r="I61" s="184"/>
    </row>
    <row r="62" spans="2:9">
      <c r="B62" s="177">
        <v>1010680</v>
      </c>
      <c r="C62" s="175" t="s">
        <v>1661</v>
      </c>
      <c r="D62" s="181" t="s">
        <v>145</v>
      </c>
      <c r="E62" s="170" t="s">
        <v>146</v>
      </c>
      <c r="F62" s="171" t="s">
        <v>64</v>
      </c>
      <c r="G62" s="171" t="s">
        <v>204</v>
      </c>
      <c r="H62" s="129">
        <v>460192</v>
      </c>
      <c r="I62" s="184"/>
    </row>
    <row r="63" spans="2:9">
      <c r="B63" s="177">
        <v>1010681</v>
      </c>
      <c r="C63" s="174" t="s">
        <v>170</v>
      </c>
      <c r="D63" s="181" t="s">
        <v>145</v>
      </c>
      <c r="E63" s="170" t="s">
        <v>146</v>
      </c>
      <c r="F63" s="171" t="s">
        <v>1443</v>
      </c>
      <c r="G63" s="171" t="s">
        <v>1443</v>
      </c>
      <c r="H63" s="129">
        <v>953549</v>
      </c>
      <c r="I63" s="184"/>
    </row>
    <row r="64" spans="2:9">
      <c r="B64" s="177">
        <v>1010682</v>
      </c>
      <c r="C64" s="175" t="s">
        <v>1662</v>
      </c>
      <c r="D64" s="181" t="s">
        <v>145</v>
      </c>
      <c r="E64" s="170" t="s">
        <v>146</v>
      </c>
      <c r="F64" s="171" t="s">
        <v>64</v>
      </c>
      <c r="G64" s="171" t="s">
        <v>64</v>
      </c>
      <c r="H64" s="129">
        <v>459522</v>
      </c>
      <c r="I64" s="184"/>
    </row>
    <row r="65" spans="2:9">
      <c r="B65" s="177">
        <v>1011012</v>
      </c>
      <c r="C65" s="174" t="s">
        <v>174</v>
      </c>
      <c r="D65" s="181" t="s">
        <v>145</v>
      </c>
      <c r="E65" s="170" t="s">
        <v>146</v>
      </c>
      <c r="F65" s="171" t="s">
        <v>1443</v>
      </c>
      <c r="G65" s="171" t="s">
        <v>1443</v>
      </c>
      <c r="H65" s="129">
        <v>278826</v>
      </c>
      <c r="I65" s="184"/>
    </row>
    <row r="66" spans="2:9">
      <c r="B66" s="177">
        <v>1011013</v>
      </c>
      <c r="C66" s="174" t="s">
        <v>176</v>
      </c>
      <c r="D66" s="181" t="s">
        <v>145</v>
      </c>
      <c r="E66" s="170" t="s">
        <v>146</v>
      </c>
      <c r="F66" s="171" t="s">
        <v>1443</v>
      </c>
      <c r="G66" s="171" t="s">
        <v>67</v>
      </c>
      <c r="H66" s="129">
        <v>164132</v>
      </c>
      <c r="I66" s="184"/>
    </row>
    <row r="67" spans="2:9">
      <c r="B67" s="177">
        <v>25284</v>
      </c>
      <c r="C67" s="174" t="s">
        <v>178</v>
      </c>
      <c r="D67" s="181" t="s">
        <v>177</v>
      </c>
      <c r="E67" s="170" t="s">
        <v>55</v>
      </c>
      <c r="F67" s="171" t="s">
        <v>89</v>
      </c>
      <c r="G67" s="171" t="s">
        <v>89</v>
      </c>
      <c r="H67" s="129">
        <v>1563303</v>
      </c>
      <c r="I67" s="184"/>
    </row>
    <row r="68" spans="2:9">
      <c r="B68" s="177">
        <v>25286</v>
      </c>
      <c r="C68" s="174" t="s">
        <v>182</v>
      </c>
      <c r="D68" s="181" t="s">
        <v>177</v>
      </c>
      <c r="E68" s="170" t="s">
        <v>55</v>
      </c>
      <c r="F68" s="171" t="s">
        <v>89</v>
      </c>
      <c r="G68" s="171" t="s">
        <v>89</v>
      </c>
      <c r="H68" s="129">
        <v>1601359</v>
      </c>
      <c r="I68" s="184"/>
    </row>
    <row r="69" spans="2:9">
      <c r="B69" s="177">
        <v>1005588</v>
      </c>
      <c r="C69" s="174" t="s">
        <v>186</v>
      </c>
      <c r="D69" s="181" t="s">
        <v>177</v>
      </c>
      <c r="E69" s="170" t="s">
        <v>55</v>
      </c>
      <c r="F69" s="171" t="s">
        <v>1443</v>
      </c>
      <c r="G69" s="171" t="s">
        <v>1443</v>
      </c>
      <c r="H69" s="129">
        <v>787605</v>
      </c>
      <c r="I69" s="184"/>
    </row>
    <row r="70" spans="2:9">
      <c r="B70" s="177">
        <v>25130</v>
      </c>
      <c r="C70" s="174" t="s">
        <v>62</v>
      </c>
      <c r="D70" s="181" t="s">
        <v>191</v>
      </c>
      <c r="E70" s="170" t="s">
        <v>86</v>
      </c>
      <c r="F70" s="171" t="s">
        <v>67</v>
      </c>
      <c r="G70" s="171" t="s">
        <v>67</v>
      </c>
      <c r="H70" s="129">
        <v>1357041</v>
      </c>
      <c r="I70" s="184"/>
    </row>
    <row r="71" spans="2:9" ht="29">
      <c r="B71" s="177">
        <v>1006532</v>
      </c>
      <c r="C71" s="174" t="s">
        <v>193</v>
      </c>
      <c r="D71" s="181" t="s">
        <v>191</v>
      </c>
      <c r="E71" s="170" t="s">
        <v>86</v>
      </c>
      <c r="F71" s="171" t="s">
        <v>64</v>
      </c>
      <c r="G71" s="171" t="s">
        <v>64</v>
      </c>
      <c r="H71" s="129">
        <v>452087</v>
      </c>
      <c r="I71" s="184"/>
    </row>
    <row r="72" spans="2:9">
      <c r="B72" s="177">
        <v>1001606</v>
      </c>
      <c r="C72" s="174" t="s">
        <v>196</v>
      </c>
      <c r="D72" s="181" t="s">
        <v>195</v>
      </c>
      <c r="E72" s="170" t="s">
        <v>146</v>
      </c>
      <c r="F72" s="171" t="s">
        <v>1443</v>
      </c>
      <c r="G72" s="171" t="s">
        <v>1443</v>
      </c>
      <c r="H72" s="129">
        <v>1349132</v>
      </c>
      <c r="I72" s="184"/>
    </row>
    <row r="73" spans="2:9">
      <c r="B73" s="177">
        <v>1017501</v>
      </c>
      <c r="C73" s="175" t="s">
        <v>1194</v>
      </c>
      <c r="D73" s="181" t="s">
        <v>195</v>
      </c>
      <c r="E73" s="170" t="s">
        <v>146</v>
      </c>
      <c r="F73" s="171" t="s">
        <v>64</v>
      </c>
      <c r="G73" s="171" t="s">
        <v>64</v>
      </c>
      <c r="H73" s="129" t="s">
        <v>59</v>
      </c>
      <c r="I73" s="184"/>
    </row>
    <row r="74" spans="2:9">
      <c r="B74" s="177">
        <v>24448</v>
      </c>
      <c r="C74" s="174" t="s">
        <v>56</v>
      </c>
      <c r="D74" s="181" t="s">
        <v>201</v>
      </c>
      <c r="E74" s="170" t="s">
        <v>202</v>
      </c>
      <c r="F74" s="171" t="s">
        <v>64</v>
      </c>
      <c r="G74" s="171" t="s">
        <v>64</v>
      </c>
      <c r="H74" s="129">
        <v>481279</v>
      </c>
      <c r="I74" s="184"/>
    </row>
    <row r="75" spans="2:9">
      <c r="B75" s="177">
        <v>24449</v>
      </c>
      <c r="C75" s="174" t="s">
        <v>71</v>
      </c>
      <c r="D75" s="181" t="s">
        <v>201</v>
      </c>
      <c r="E75" s="170" t="s">
        <v>202</v>
      </c>
      <c r="F75" s="171" t="s">
        <v>67</v>
      </c>
      <c r="G75" s="171" t="s">
        <v>67</v>
      </c>
      <c r="H75" s="129">
        <v>1145442</v>
      </c>
      <c r="I75" s="184"/>
    </row>
    <row r="76" spans="2:9">
      <c r="B76" s="177">
        <v>24450</v>
      </c>
      <c r="C76" s="174" t="s">
        <v>62</v>
      </c>
      <c r="D76" s="181" t="s">
        <v>201</v>
      </c>
      <c r="E76" s="170" t="s">
        <v>202</v>
      </c>
      <c r="F76" s="171" t="s">
        <v>64</v>
      </c>
      <c r="G76" s="171" t="s">
        <v>204</v>
      </c>
      <c r="H76" s="129">
        <v>968507</v>
      </c>
      <c r="I76" s="184"/>
    </row>
    <row r="77" spans="2:9">
      <c r="B77" s="177">
        <v>24451</v>
      </c>
      <c r="C77" s="174" t="s">
        <v>65</v>
      </c>
      <c r="D77" s="181" t="s">
        <v>201</v>
      </c>
      <c r="E77" s="170" t="s">
        <v>202</v>
      </c>
      <c r="F77" s="171" t="s">
        <v>64</v>
      </c>
      <c r="G77" s="171" t="s">
        <v>204</v>
      </c>
      <c r="H77" s="129" t="s">
        <v>59</v>
      </c>
      <c r="I77" s="184"/>
    </row>
    <row r="78" spans="2:9">
      <c r="B78" s="177">
        <v>1014625</v>
      </c>
      <c r="C78" s="175" t="s">
        <v>1663</v>
      </c>
      <c r="D78" s="181" t="s">
        <v>201</v>
      </c>
      <c r="E78" s="170" t="s">
        <v>202</v>
      </c>
      <c r="F78" s="171" t="s">
        <v>64</v>
      </c>
      <c r="G78" s="171" t="s">
        <v>64</v>
      </c>
      <c r="H78" s="129">
        <v>441276</v>
      </c>
      <c r="I78" s="184"/>
    </row>
    <row r="79" spans="2:9">
      <c r="B79" s="177">
        <v>17386</v>
      </c>
      <c r="C79" s="175" t="s">
        <v>1664</v>
      </c>
      <c r="D79" s="181" t="s">
        <v>207</v>
      </c>
      <c r="E79" s="170" t="s">
        <v>86</v>
      </c>
      <c r="F79" s="171" t="s">
        <v>67</v>
      </c>
      <c r="G79" s="171" t="s">
        <v>67</v>
      </c>
      <c r="H79" s="129">
        <v>359463</v>
      </c>
      <c r="I79" s="184"/>
    </row>
    <row r="80" spans="2:9">
      <c r="B80" s="177">
        <v>25132</v>
      </c>
      <c r="C80" s="174" t="s">
        <v>212</v>
      </c>
      <c r="D80" s="181" t="s">
        <v>207</v>
      </c>
      <c r="E80" s="170" t="s">
        <v>86</v>
      </c>
      <c r="F80" s="171" t="s">
        <v>67</v>
      </c>
      <c r="G80" s="171" t="s">
        <v>89</v>
      </c>
      <c r="H80" s="129">
        <v>395004</v>
      </c>
      <c r="I80" s="184"/>
    </row>
    <row r="81" spans="2:9">
      <c r="B81" s="177">
        <v>25133</v>
      </c>
      <c r="C81" s="174" t="s">
        <v>216</v>
      </c>
      <c r="D81" s="181" t="s">
        <v>207</v>
      </c>
      <c r="E81" s="170" t="s">
        <v>86</v>
      </c>
      <c r="F81" s="171" t="s">
        <v>67</v>
      </c>
      <c r="G81" s="171" t="s">
        <v>89</v>
      </c>
      <c r="H81" s="129">
        <v>544229</v>
      </c>
      <c r="I81" s="184"/>
    </row>
    <row r="82" spans="2:9">
      <c r="B82" s="177">
        <v>25134</v>
      </c>
      <c r="C82" s="174" t="s">
        <v>217</v>
      </c>
      <c r="D82" s="181" t="s">
        <v>207</v>
      </c>
      <c r="E82" s="170" t="s">
        <v>86</v>
      </c>
      <c r="F82" s="171" t="s">
        <v>67</v>
      </c>
      <c r="G82" s="171" t="s">
        <v>89</v>
      </c>
      <c r="H82" s="129">
        <v>395004</v>
      </c>
      <c r="I82" s="184"/>
    </row>
    <row r="83" spans="2:9">
      <c r="B83" s="177">
        <v>25135</v>
      </c>
      <c r="C83" s="174" t="s">
        <v>218</v>
      </c>
      <c r="D83" s="181" t="s">
        <v>207</v>
      </c>
      <c r="E83" s="170" t="s">
        <v>86</v>
      </c>
      <c r="F83" s="171" t="s">
        <v>64</v>
      </c>
      <c r="G83" s="171" t="s">
        <v>64</v>
      </c>
      <c r="H83" s="129">
        <v>391048</v>
      </c>
      <c r="I83" s="184"/>
    </row>
    <row r="84" spans="2:9">
      <c r="B84" s="177">
        <v>1006536</v>
      </c>
      <c r="C84" s="175" t="s">
        <v>1665</v>
      </c>
      <c r="D84" s="181" t="s">
        <v>207</v>
      </c>
      <c r="E84" s="170" t="s">
        <v>86</v>
      </c>
      <c r="F84" s="171" t="s">
        <v>64</v>
      </c>
      <c r="G84" s="171" t="s">
        <v>64</v>
      </c>
      <c r="H84" s="129">
        <v>247882</v>
      </c>
      <c r="I84" s="184"/>
    </row>
    <row r="85" spans="2:9">
      <c r="B85" s="177">
        <v>19337</v>
      </c>
      <c r="C85" s="174" t="s">
        <v>222</v>
      </c>
      <c r="D85" s="181" t="s">
        <v>221</v>
      </c>
      <c r="E85" s="170" t="s">
        <v>55</v>
      </c>
      <c r="F85" s="171" t="s">
        <v>1443</v>
      </c>
      <c r="G85" s="171" t="s">
        <v>89</v>
      </c>
      <c r="H85" s="129">
        <v>1278351</v>
      </c>
      <c r="I85" s="184"/>
    </row>
    <row r="86" spans="2:9">
      <c r="B86" s="177">
        <v>25356</v>
      </c>
      <c r="C86" s="174" t="s">
        <v>227</v>
      </c>
      <c r="D86" s="181" t="s">
        <v>221</v>
      </c>
      <c r="E86" s="170" t="s">
        <v>55</v>
      </c>
      <c r="F86" s="171" t="s">
        <v>64</v>
      </c>
      <c r="G86" s="171" t="s">
        <v>64</v>
      </c>
      <c r="H86" s="129">
        <v>395565</v>
      </c>
      <c r="I86" s="184">
        <v>1</v>
      </c>
    </row>
    <row r="87" spans="2:9">
      <c r="B87" s="177">
        <v>25357</v>
      </c>
      <c r="C87" s="174" t="s">
        <v>230</v>
      </c>
      <c r="D87" s="181" t="s">
        <v>221</v>
      </c>
      <c r="E87" s="170" t="s">
        <v>55</v>
      </c>
      <c r="F87" s="171" t="s">
        <v>64</v>
      </c>
      <c r="G87" s="171" t="s">
        <v>64</v>
      </c>
      <c r="H87" s="129">
        <v>395595</v>
      </c>
      <c r="I87" s="184">
        <v>1</v>
      </c>
    </row>
    <row r="88" spans="2:9">
      <c r="B88" s="177">
        <v>25358</v>
      </c>
      <c r="C88" s="174" t="s">
        <v>232</v>
      </c>
      <c r="D88" s="181" t="s">
        <v>221</v>
      </c>
      <c r="E88" s="170" t="s">
        <v>55</v>
      </c>
      <c r="F88" s="171" t="s">
        <v>64</v>
      </c>
      <c r="G88" s="171" t="s">
        <v>64</v>
      </c>
      <c r="H88" s="129">
        <v>395270</v>
      </c>
      <c r="I88" s="184">
        <v>1</v>
      </c>
    </row>
    <row r="89" spans="2:9">
      <c r="B89" s="177">
        <v>25359</v>
      </c>
      <c r="C89" s="174" t="s">
        <v>233</v>
      </c>
      <c r="D89" s="181" t="s">
        <v>221</v>
      </c>
      <c r="E89" s="170" t="s">
        <v>55</v>
      </c>
      <c r="F89" s="171" t="s">
        <v>64</v>
      </c>
      <c r="G89" s="171" t="s">
        <v>64</v>
      </c>
      <c r="H89" s="129">
        <v>395603</v>
      </c>
      <c r="I89" s="184">
        <v>1</v>
      </c>
    </row>
    <row r="90" spans="2:9">
      <c r="B90" s="177">
        <v>25360</v>
      </c>
      <c r="C90" s="174" t="s">
        <v>234</v>
      </c>
      <c r="D90" s="181" t="s">
        <v>221</v>
      </c>
      <c r="E90" s="170" t="s">
        <v>55</v>
      </c>
      <c r="F90" s="171" t="s">
        <v>64</v>
      </c>
      <c r="G90" s="171" t="s">
        <v>64</v>
      </c>
      <c r="H90" s="129">
        <v>395598</v>
      </c>
      <c r="I90" s="184">
        <v>1</v>
      </c>
    </row>
    <row r="91" spans="2:9">
      <c r="B91" s="177">
        <v>1005814</v>
      </c>
      <c r="C91" s="175" t="s">
        <v>1656</v>
      </c>
      <c r="D91" s="181" t="s">
        <v>221</v>
      </c>
      <c r="E91" s="170" t="s">
        <v>55</v>
      </c>
      <c r="F91" s="171" t="s">
        <v>64</v>
      </c>
      <c r="G91" s="171" t="s">
        <v>64</v>
      </c>
      <c r="H91" s="129">
        <v>246178</v>
      </c>
      <c r="I91" s="184">
        <v>1</v>
      </c>
    </row>
    <row r="92" spans="2:9">
      <c r="B92" s="177">
        <v>1009214</v>
      </c>
      <c r="C92" s="174" t="s">
        <v>237</v>
      </c>
      <c r="D92" s="181" t="s">
        <v>221</v>
      </c>
      <c r="E92" s="170" t="s">
        <v>55</v>
      </c>
      <c r="F92" s="171" t="s">
        <v>64</v>
      </c>
      <c r="G92" s="171" t="s">
        <v>64</v>
      </c>
      <c r="H92" s="129">
        <v>245829</v>
      </c>
      <c r="I92" s="184">
        <v>1</v>
      </c>
    </row>
    <row r="93" spans="2:9">
      <c r="B93" s="177">
        <v>18129</v>
      </c>
      <c r="C93" s="174" t="s">
        <v>241</v>
      </c>
      <c r="D93" s="181" t="s">
        <v>240</v>
      </c>
      <c r="E93" s="170" t="s">
        <v>146</v>
      </c>
      <c r="F93" s="171" t="s">
        <v>1443</v>
      </c>
      <c r="G93" s="171" t="s">
        <v>67</v>
      </c>
      <c r="H93" s="129">
        <v>240260</v>
      </c>
      <c r="I93" s="184"/>
    </row>
    <row r="94" spans="2:9">
      <c r="B94" s="177">
        <v>19600</v>
      </c>
      <c r="C94" s="174" t="s">
        <v>244</v>
      </c>
      <c r="D94" s="181" t="s">
        <v>240</v>
      </c>
      <c r="E94" s="170" t="s">
        <v>146</v>
      </c>
      <c r="F94" s="171" t="s">
        <v>1443</v>
      </c>
      <c r="G94" s="171" t="s">
        <v>67</v>
      </c>
      <c r="H94" s="129">
        <v>252347</v>
      </c>
      <c r="I94" s="184"/>
    </row>
    <row r="95" spans="2:9">
      <c r="B95" s="177">
        <v>20024</v>
      </c>
      <c r="C95" s="174" t="s">
        <v>245</v>
      </c>
      <c r="D95" s="181" t="s">
        <v>240</v>
      </c>
      <c r="E95" s="170" t="s">
        <v>146</v>
      </c>
      <c r="F95" s="171" t="s">
        <v>64</v>
      </c>
      <c r="G95" s="171" t="s">
        <v>67</v>
      </c>
      <c r="H95" s="129">
        <v>171614</v>
      </c>
      <c r="I95" s="184"/>
    </row>
    <row r="96" spans="2:9">
      <c r="B96" s="177">
        <v>20029</v>
      </c>
      <c r="C96" s="174" t="s">
        <v>246</v>
      </c>
      <c r="D96" s="181" t="s">
        <v>240</v>
      </c>
      <c r="E96" s="170" t="s">
        <v>146</v>
      </c>
      <c r="F96" s="171" t="s">
        <v>1443</v>
      </c>
      <c r="G96" s="171" t="s">
        <v>67</v>
      </c>
      <c r="H96" s="129">
        <v>252347</v>
      </c>
      <c r="I96" s="184"/>
    </row>
    <row r="97" spans="2:9">
      <c r="B97" s="177">
        <v>20033</v>
      </c>
      <c r="C97" s="174" t="s">
        <v>247</v>
      </c>
      <c r="D97" s="181" t="s">
        <v>240</v>
      </c>
      <c r="E97" s="170" t="s">
        <v>146</v>
      </c>
      <c r="F97" s="171" t="s">
        <v>1443</v>
      </c>
      <c r="G97" s="171" t="s">
        <v>67</v>
      </c>
      <c r="H97" s="129">
        <v>252347</v>
      </c>
      <c r="I97" s="184"/>
    </row>
    <row r="98" spans="2:9">
      <c r="B98" s="177">
        <v>20061</v>
      </c>
      <c r="C98" s="174" t="s">
        <v>248</v>
      </c>
      <c r="D98" s="181" t="s">
        <v>240</v>
      </c>
      <c r="E98" s="170" t="s">
        <v>146</v>
      </c>
      <c r="F98" s="171" t="s">
        <v>64</v>
      </c>
      <c r="G98" s="171" t="s">
        <v>67</v>
      </c>
      <c r="H98" s="129">
        <v>171614</v>
      </c>
      <c r="I98" s="184"/>
    </row>
    <row r="99" spans="2:9">
      <c r="B99" s="177">
        <v>20179</v>
      </c>
      <c r="C99" s="174" t="s">
        <v>249</v>
      </c>
      <c r="D99" s="181" t="s">
        <v>240</v>
      </c>
      <c r="E99" s="170" t="s">
        <v>146</v>
      </c>
      <c r="F99" s="171" t="s">
        <v>1443</v>
      </c>
      <c r="G99" s="171" t="s">
        <v>67</v>
      </c>
      <c r="H99" s="129">
        <v>252347</v>
      </c>
      <c r="I99" s="184"/>
    </row>
    <row r="100" spans="2:9">
      <c r="B100" s="177">
        <v>24619</v>
      </c>
      <c r="C100" s="174" t="s">
        <v>250</v>
      </c>
      <c r="D100" s="181" t="s">
        <v>240</v>
      </c>
      <c r="E100" s="170" t="s">
        <v>146</v>
      </c>
      <c r="F100" s="171" t="s">
        <v>67</v>
      </c>
      <c r="G100" s="171" t="s">
        <v>67</v>
      </c>
      <c r="H100" s="129">
        <v>850318</v>
      </c>
      <c r="I100" s="184"/>
    </row>
    <row r="101" spans="2:9">
      <c r="B101" s="177">
        <v>24620</v>
      </c>
      <c r="C101" s="174" t="s">
        <v>252</v>
      </c>
      <c r="D101" s="181" t="s">
        <v>240</v>
      </c>
      <c r="E101" s="170" t="s">
        <v>146</v>
      </c>
      <c r="F101" s="171" t="s">
        <v>64</v>
      </c>
      <c r="G101" s="171" t="s">
        <v>64</v>
      </c>
      <c r="H101" s="129">
        <v>539519</v>
      </c>
      <c r="I101" s="184">
        <v>1</v>
      </c>
    </row>
    <row r="102" spans="2:9">
      <c r="B102" s="177">
        <v>24621</v>
      </c>
      <c r="C102" s="174" t="s">
        <v>253</v>
      </c>
      <c r="D102" s="181" t="s">
        <v>240</v>
      </c>
      <c r="E102" s="170" t="s">
        <v>146</v>
      </c>
      <c r="F102" s="171" t="s">
        <v>1443</v>
      </c>
      <c r="G102" s="171" t="s">
        <v>1443</v>
      </c>
      <c r="H102" s="129">
        <v>527329</v>
      </c>
      <c r="I102" s="184"/>
    </row>
    <row r="103" spans="2:9">
      <c r="B103" s="177">
        <v>24622</v>
      </c>
      <c r="C103" s="174" t="s">
        <v>254</v>
      </c>
      <c r="D103" s="181" t="s">
        <v>240</v>
      </c>
      <c r="E103" s="170" t="s">
        <v>146</v>
      </c>
      <c r="F103" s="171" t="s">
        <v>64</v>
      </c>
      <c r="G103" s="171" t="s">
        <v>67</v>
      </c>
      <c r="H103" s="129">
        <v>539635</v>
      </c>
      <c r="I103" s="184"/>
    </row>
    <row r="104" spans="2:9">
      <c r="B104" s="177">
        <v>24623</v>
      </c>
      <c r="C104" s="174" t="s">
        <v>255</v>
      </c>
      <c r="D104" s="181" t="s">
        <v>240</v>
      </c>
      <c r="E104" s="170" t="s">
        <v>146</v>
      </c>
      <c r="F104" s="171" t="s">
        <v>67</v>
      </c>
      <c r="G104" s="171" t="s">
        <v>67</v>
      </c>
      <c r="H104" s="129">
        <v>860660</v>
      </c>
      <c r="I104" s="184"/>
    </row>
    <row r="105" spans="2:9">
      <c r="B105" s="177">
        <v>1009321</v>
      </c>
      <c r="C105" s="175" t="s">
        <v>1655</v>
      </c>
      <c r="D105" s="181" t="s">
        <v>240</v>
      </c>
      <c r="E105" s="170" t="s">
        <v>146</v>
      </c>
      <c r="F105" s="171" t="s">
        <v>64</v>
      </c>
      <c r="G105" s="171" t="s">
        <v>1443</v>
      </c>
      <c r="H105" s="129" t="s">
        <v>59</v>
      </c>
      <c r="I105" s="184"/>
    </row>
    <row r="106" spans="2:9">
      <c r="B106" s="177">
        <v>1009322</v>
      </c>
      <c r="C106" s="175" t="s">
        <v>761</v>
      </c>
      <c r="D106" s="181" t="s">
        <v>240</v>
      </c>
      <c r="E106" s="170" t="s">
        <v>146</v>
      </c>
      <c r="F106" s="171" t="s">
        <v>64</v>
      </c>
      <c r="G106" s="171" t="s">
        <v>1443</v>
      </c>
      <c r="H106" s="129" t="s">
        <v>59</v>
      </c>
      <c r="I106" s="184"/>
    </row>
    <row r="107" spans="2:9">
      <c r="B107" s="177">
        <v>17717</v>
      </c>
      <c r="C107" s="175" t="s">
        <v>1652</v>
      </c>
      <c r="D107" s="181" t="s">
        <v>259</v>
      </c>
      <c r="E107" s="170" t="s">
        <v>55</v>
      </c>
      <c r="F107" s="171" t="s">
        <v>64</v>
      </c>
      <c r="G107" s="172" t="s">
        <v>64</v>
      </c>
      <c r="H107" s="187">
        <v>902065.125</v>
      </c>
      <c r="I107" s="184">
        <v>1</v>
      </c>
    </row>
    <row r="108" spans="2:9">
      <c r="B108" s="177">
        <v>17718</v>
      </c>
      <c r="C108" s="175" t="s">
        <v>1653</v>
      </c>
      <c r="D108" s="181" t="s">
        <v>259</v>
      </c>
      <c r="E108" s="170" t="s">
        <v>55</v>
      </c>
      <c r="F108" s="171" t="s">
        <v>64</v>
      </c>
      <c r="G108" s="172" t="s">
        <v>64</v>
      </c>
      <c r="H108" s="187">
        <v>902065.125</v>
      </c>
      <c r="I108" s="184"/>
    </row>
    <row r="109" spans="2:9">
      <c r="B109" s="177">
        <v>17720</v>
      </c>
      <c r="C109" s="175" t="s">
        <v>1654</v>
      </c>
      <c r="D109" s="181" t="s">
        <v>259</v>
      </c>
      <c r="E109" s="170" t="s">
        <v>55</v>
      </c>
      <c r="F109" s="171" t="s">
        <v>1443</v>
      </c>
      <c r="G109" s="171" t="s">
        <v>89</v>
      </c>
      <c r="H109" s="187">
        <v>902065.125</v>
      </c>
      <c r="I109" s="184"/>
    </row>
    <row r="110" spans="2:9">
      <c r="B110" s="177">
        <v>19529</v>
      </c>
      <c r="C110" s="174" t="s">
        <v>264</v>
      </c>
      <c r="D110" s="181" t="s">
        <v>259</v>
      </c>
      <c r="E110" s="170" t="s">
        <v>55</v>
      </c>
      <c r="F110" s="171" t="s">
        <v>64</v>
      </c>
      <c r="G110" s="172" t="s">
        <v>64</v>
      </c>
      <c r="H110" s="129">
        <v>1118052</v>
      </c>
      <c r="I110" s="184"/>
    </row>
    <row r="111" spans="2:9">
      <c r="B111" s="177">
        <v>19531</v>
      </c>
      <c r="C111" s="174" t="s">
        <v>266</v>
      </c>
      <c r="D111" s="181" t="s">
        <v>259</v>
      </c>
      <c r="E111" s="170" t="s">
        <v>55</v>
      </c>
      <c r="F111" s="171" t="s">
        <v>64</v>
      </c>
      <c r="G111" s="172" t="s">
        <v>64</v>
      </c>
      <c r="H111" s="129">
        <v>426997</v>
      </c>
      <c r="I111" s="184"/>
    </row>
    <row r="112" spans="2:9">
      <c r="B112" s="177">
        <v>19536</v>
      </c>
      <c r="C112" s="174" t="s">
        <v>267</v>
      </c>
      <c r="D112" s="181" t="s">
        <v>259</v>
      </c>
      <c r="E112" s="170" t="s">
        <v>55</v>
      </c>
      <c r="F112" s="171" t="s">
        <v>64</v>
      </c>
      <c r="G112" s="172" t="s">
        <v>64</v>
      </c>
      <c r="H112" s="129">
        <v>427101</v>
      </c>
      <c r="I112" s="184"/>
    </row>
    <row r="113" spans="2:9">
      <c r="B113" s="177">
        <v>25309</v>
      </c>
      <c r="C113" s="174" t="s">
        <v>268</v>
      </c>
      <c r="D113" s="181" t="s">
        <v>259</v>
      </c>
      <c r="E113" s="170" t="s">
        <v>55</v>
      </c>
      <c r="F113" s="171" t="s">
        <v>64</v>
      </c>
      <c r="G113" s="172" t="s">
        <v>64</v>
      </c>
      <c r="H113" s="129">
        <v>969501</v>
      </c>
      <c r="I113" s="184"/>
    </row>
    <row r="114" spans="2:9">
      <c r="B114" s="177">
        <v>25311</v>
      </c>
      <c r="C114" s="174" t="s">
        <v>270</v>
      </c>
      <c r="D114" s="181" t="s">
        <v>259</v>
      </c>
      <c r="E114" s="170" t="s">
        <v>55</v>
      </c>
      <c r="F114" s="171" t="s">
        <v>64</v>
      </c>
      <c r="G114" s="172" t="s">
        <v>64</v>
      </c>
      <c r="H114" s="129">
        <v>969501</v>
      </c>
      <c r="I114" s="184"/>
    </row>
    <row r="115" spans="2:9">
      <c r="B115" s="177">
        <v>25312</v>
      </c>
      <c r="C115" s="174" t="s">
        <v>271</v>
      </c>
      <c r="D115" s="181" t="s">
        <v>259</v>
      </c>
      <c r="E115" s="170" t="s">
        <v>55</v>
      </c>
      <c r="F115" s="171" t="s">
        <v>64</v>
      </c>
      <c r="G115" s="172" t="s">
        <v>64</v>
      </c>
      <c r="H115" s="129">
        <v>453100</v>
      </c>
      <c r="I115" s="184">
        <v>1</v>
      </c>
    </row>
    <row r="116" spans="2:9">
      <c r="B116" s="177">
        <v>8969</v>
      </c>
      <c r="C116" s="175" t="s">
        <v>1650</v>
      </c>
      <c r="D116" s="181" t="s">
        <v>272</v>
      </c>
      <c r="E116" s="170" t="s">
        <v>146</v>
      </c>
      <c r="F116" s="171" t="s">
        <v>59</v>
      </c>
      <c r="G116" s="171" t="s">
        <v>1615</v>
      </c>
      <c r="H116" s="129">
        <v>1404673</v>
      </c>
      <c r="I116" s="184"/>
    </row>
    <row r="117" spans="2:9" ht="29">
      <c r="B117" s="177">
        <v>13418</v>
      </c>
      <c r="C117" s="175" t="s">
        <v>1651</v>
      </c>
      <c r="D117" s="181" t="s">
        <v>272</v>
      </c>
      <c r="E117" s="170" t="s">
        <v>146</v>
      </c>
      <c r="F117" s="171" t="s">
        <v>59</v>
      </c>
      <c r="G117" s="171" t="s">
        <v>1615</v>
      </c>
      <c r="H117" s="129">
        <v>421174</v>
      </c>
      <c r="I117" s="184"/>
    </row>
    <row r="118" spans="2:9">
      <c r="B118" s="177">
        <v>19778</v>
      </c>
      <c r="C118" s="174" t="s">
        <v>277</v>
      </c>
      <c r="D118" s="181" t="s">
        <v>272</v>
      </c>
      <c r="E118" s="170" t="s">
        <v>146</v>
      </c>
      <c r="F118" s="171" t="s">
        <v>64</v>
      </c>
      <c r="G118" s="171" t="s">
        <v>64</v>
      </c>
      <c r="H118" s="129">
        <v>364809</v>
      </c>
      <c r="I118" s="184"/>
    </row>
    <row r="119" spans="2:9">
      <c r="B119" s="177">
        <v>19910</v>
      </c>
      <c r="C119" s="174" t="s">
        <v>280</v>
      </c>
      <c r="D119" s="181" t="s">
        <v>272</v>
      </c>
      <c r="E119" s="170" t="s">
        <v>146</v>
      </c>
      <c r="F119" s="171" t="s">
        <v>64</v>
      </c>
      <c r="G119" s="171" t="s">
        <v>64</v>
      </c>
      <c r="H119" s="129">
        <v>364809</v>
      </c>
      <c r="I119" s="184"/>
    </row>
    <row r="120" spans="2:9">
      <c r="B120" s="177">
        <v>19965</v>
      </c>
      <c r="C120" s="174" t="s">
        <v>281</v>
      </c>
      <c r="D120" s="181" t="s">
        <v>272</v>
      </c>
      <c r="E120" s="170" t="s">
        <v>146</v>
      </c>
      <c r="F120" s="171" t="s">
        <v>67</v>
      </c>
      <c r="G120" s="171" t="s">
        <v>67</v>
      </c>
      <c r="H120" s="129">
        <v>936409</v>
      </c>
      <c r="I120" s="184"/>
    </row>
    <row r="121" spans="2:9">
      <c r="B121" s="177">
        <v>20098</v>
      </c>
      <c r="C121" s="174" t="s">
        <v>283</v>
      </c>
      <c r="D121" s="181" t="s">
        <v>272</v>
      </c>
      <c r="E121" s="170" t="s">
        <v>146</v>
      </c>
      <c r="F121" s="171" t="s">
        <v>64</v>
      </c>
      <c r="G121" s="171" t="s">
        <v>64</v>
      </c>
      <c r="H121" s="129">
        <v>364809</v>
      </c>
      <c r="I121" s="184"/>
    </row>
    <row r="122" spans="2:9">
      <c r="B122" s="177">
        <v>24531</v>
      </c>
      <c r="C122" s="174" t="s">
        <v>268</v>
      </c>
      <c r="D122" s="181" t="s">
        <v>272</v>
      </c>
      <c r="E122" s="170" t="s">
        <v>146</v>
      </c>
      <c r="F122" s="171" t="s">
        <v>64</v>
      </c>
      <c r="G122" s="171" t="s">
        <v>204</v>
      </c>
      <c r="H122" s="129">
        <v>185529</v>
      </c>
      <c r="I122" s="184"/>
    </row>
    <row r="123" spans="2:9">
      <c r="B123" s="177">
        <v>24532</v>
      </c>
      <c r="C123" s="174" t="s">
        <v>285</v>
      </c>
      <c r="D123" s="181" t="s">
        <v>272</v>
      </c>
      <c r="E123" s="170" t="s">
        <v>146</v>
      </c>
      <c r="F123" s="171" t="s">
        <v>67</v>
      </c>
      <c r="G123" s="171" t="s">
        <v>67</v>
      </c>
      <c r="H123" s="129">
        <v>960924</v>
      </c>
      <c r="I123" s="184"/>
    </row>
    <row r="124" spans="2:9">
      <c r="B124" s="177">
        <v>24533</v>
      </c>
      <c r="C124" s="174" t="s">
        <v>286</v>
      </c>
      <c r="D124" s="181" t="s">
        <v>272</v>
      </c>
      <c r="E124" s="170" t="s">
        <v>146</v>
      </c>
      <c r="F124" s="171" t="s">
        <v>64</v>
      </c>
      <c r="G124" s="171" t="s">
        <v>204</v>
      </c>
      <c r="H124" s="129">
        <v>185180</v>
      </c>
      <c r="I124" s="184"/>
    </row>
    <row r="125" spans="2:9" ht="29">
      <c r="B125" s="177">
        <v>24534</v>
      </c>
      <c r="C125" s="174" t="s">
        <v>287</v>
      </c>
      <c r="D125" s="181" t="s">
        <v>272</v>
      </c>
      <c r="E125" s="170" t="s">
        <v>146</v>
      </c>
      <c r="F125" s="171" t="s">
        <v>67</v>
      </c>
      <c r="G125" s="171" t="s">
        <v>67</v>
      </c>
      <c r="H125" s="129">
        <v>953326</v>
      </c>
      <c r="I125" s="184"/>
    </row>
    <row r="126" spans="2:9">
      <c r="B126" s="177">
        <v>24535</v>
      </c>
      <c r="C126" s="174" t="s">
        <v>288</v>
      </c>
      <c r="D126" s="181" t="s">
        <v>272</v>
      </c>
      <c r="E126" s="170" t="s">
        <v>146</v>
      </c>
      <c r="F126" s="171" t="s">
        <v>67</v>
      </c>
      <c r="G126" s="171" t="s">
        <v>67</v>
      </c>
      <c r="H126" s="129">
        <v>958470</v>
      </c>
      <c r="I126" s="184"/>
    </row>
    <row r="127" spans="2:9" ht="29">
      <c r="B127" s="177">
        <v>24536</v>
      </c>
      <c r="C127" s="174" t="s">
        <v>289</v>
      </c>
      <c r="D127" s="181" t="s">
        <v>272</v>
      </c>
      <c r="E127" s="170" t="s">
        <v>146</v>
      </c>
      <c r="F127" s="171" t="s">
        <v>67</v>
      </c>
      <c r="G127" s="171" t="s">
        <v>67</v>
      </c>
      <c r="H127" s="129">
        <v>956434</v>
      </c>
      <c r="I127" s="184"/>
    </row>
    <row r="128" spans="2:9">
      <c r="B128" s="177">
        <v>25206</v>
      </c>
      <c r="C128" s="174" t="s">
        <v>293</v>
      </c>
      <c r="D128" s="181" t="s">
        <v>292</v>
      </c>
      <c r="E128" s="170" t="s">
        <v>86</v>
      </c>
      <c r="F128" s="171" t="s">
        <v>67</v>
      </c>
      <c r="G128" s="171" t="s">
        <v>67</v>
      </c>
      <c r="H128" s="129">
        <v>392883</v>
      </c>
      <c r="I128" s="184"/>
    </row>
    <row r="129" spans="2:9">
      <c r="B129" s="177">
        <v>1014175</v>
      </c>
      <c r="C129" s="175" t="s">
        <v>860</v>
      </c>
      <c r="D129" s="181" t="s">
        <v>292</v>
      </c>
      <c r="E129" s="170" t="s">
        <v>86</v>
      </c>
      <c r="F129" s="171" t="s">
        <v>67</v>
      </c>
      <c r="G129" s="171" t="s">
        <v>1443</v>
      </c>
      <c r="H129" s="129">
        <v>1495705</v>
      </c>
      <c r="I129" s="184"/>
    </row>
    <row r="130" spans="2:9">
      <c r="B130" s="177">
        <v>24484</v>
      </c>
      <c r="C130" s="174" t="s">
        <v>68</v>
      </c>
      <c r="D130" s="181" t="s">
        <v>297</v>
      </c>
      <c r="E130" s="170" t="s">
        <v>202</v>
      </c>
      <c r="F130" s="171" t="s">
        <v>1443</v>
      </c>
      <c r="G130" s="171" t="s">
        <v>89</v>
      </c>
      <c r="H130" s="129">
        <v>7426830</v>
      </c>
      <c r="I130" s="184"/>
    </row>
    <row r="131" spans="2:9">
      <c r="B131" s="177">
        <v>1010716</v>
      </c>
      <c r="C131" s="174" t="s">
        <v>56</v>
      </c>
      <c r="D131" s="181" t="s">
        <v>297</v>
      </c>
      <c r="E131" s="170" t="s">
        <v>202</v>
      </c>
      <c r="F131" s="171" t="s">
        <v>1443</v>
      </c>
      <c r="G131" s="171" t="s">
        <v>89</v>
      </c>
      <c r="H131" s="129">
        <v>6407008</v>
      </c>
      <c r="I131" s="184"/>
    </row>
    <row r="132" spans="2:9">
      <c r="B132" s="177">
        <v>1010717</v>
      </c>
      <c r="C132" s="174" t="s">
        <v>300</v>
      </c>
      <c r="D132" s="181" t="s">
        <v>297</v>
      </c>
      <c r="E132" s="170" t="s">
        <v>202</v>
      </c>
      <c r="F132" s="171" t="s">
        <v>1443</v>
      </c>
      <c r="G132" s="171" t="s">
        <v>89</v>
      </c>
      <c r="H132" s="129">
        <v>2147736</v>
      </c>
      <c r="I132" s="184"/>
    </row>
    <row r="133" spans="2:9" ht="29">
      <c r="B133" s="178" t="s">
        <v>1668</v>
      </c>
      <c r="C133" s="175" t="s">
        <v>1649</v>
      </c>
      <c r="D133" s="181" t="s">
        <v>301</v>
      </c>
      <c r="E133" s="170" t="s">
        <v>202</v>
      </c>
      <c r="F133" s="171" t="s">
        <v>67</v>
      </c>
      <c r="G133" s="171" t="s">
        <v>1443</v>
      </c>
      <c r="H133" s="129">
        <v>1501468</v>
      </c>
      <c r="I133" s="184"/>
    </row>
    <row r="134" spans="2:9">
      <c r="B134" s="178">
        <v>1006108</v>
      </c>
      <c r="C134" s="174" t="s">
        <v>304</v>
      </c>
      <c r="D134" s="181" t="s">
        <v>301</v>
      </c>
      <c r="E134" s="170" t="s">
        <v>202</v>
      </c>
      <c r="F134" s="171" t="s">
        <v>1443</v>
      </c>
      <c r="G134" s="171" t="s">
        <v>1443</v>
      </c>
      <c r="H134" s="129">
        <v>1489092</v>
      </c>
      <c r="I134" s="184"/>
    </row>
    <row r="135" spans="2:9" ht="29">
      <c r="B135" s="177">
        <v>1006109</v>
      </c>
      <c r="C135" s="174" t="s">
        <v>306</v>
      </c>
      <c r="D135" s="181" t="s">
        <v>301</v>
      </c>
      <c r="E135" s="170" t="s">
        <v>202</v>
      </c>
      <c r="F135" s="171" t="s">
        <v>1443</v>
      </c>
      <c r="G135" s="171" t="s">
        <v>1443</v>
      </c>
      <c r="H135" s="129">
        <v>1729756</v>
      </c>
      <c r="I135" s="184"/>
    </row>
    <row r="136" spans="2:9">
      <c r="B136" s="177">
        <v>1006110</v>
      </c>
      <c r="C136" s="174" t="s">
        <v>308</v>
      </c>
      <c r="D136" s="181" t="s">
        <v>301</v>
      </c>
      <c r="E136" s="170" t="s">
        <v>202</v>
      </c>
      <c r="F136" s="171" t="s">
        <v>1443</v>
      </c>
      <c r="G136" s="171" t="s">
        <v>1443</v>
      </c>
      <c r="H136" s="129">
        <v>1489338</v>
      </c>
      <c r="I136" s="184"/>
    </row>
    <row r="137" spans="2:9">
      <c r="B137" s="177">
        <v>4443</v>
      </c>
      <c r="C137" s="174" t="s">
        <v>1640</v>
      </c>
      <c r="D137" s="181" t="s">
        <v>309</v>
      </c>
      <c r="E137" s="170" t="s">
        <v>310</v>
      </c>
      <c r="F137" s="171" t="s">
        <v>67</v>
      </c>
      <c r="G137" s="171" t="s">
        <v>1443</v>
      </c>
      <c r="H137" s="129">
        <v>1645414</v>
      </c>
      <c r="I137" s="184"/>
    </row>
    <row r="138" spans="2:9" ht="29">
      <c r="B138" s="177">
        <v>7895</v>
      </c>
      <c r="C138" s="174" t="s">
        <v>1641</v>
      </c>
      <c r="D138" s="181" t="s">
        <v>309</v>
      </c>
      <c r="E138" s="170" t="s">
        <v>310</v>
      </c>
      <c r="F138" s="171" t="s">
        <v>64</v>
      </c>
      <c r="G138" s="171" t="s">
        <v>64</v>
      </c>
      <c r="H138" s="187">
        <v>342547.75</v>
      </c>
      <c r="I138" s="184"/>
    </row>
    <row r="139" spans="2:9" ht="29">
      <c r="B139" s="177">
        <v>8235</v>
      </c>
      <c r="C139" s="175" t="s">
        <v>1648</v>
      </c>
      <c r="D139" s="181" t="s">
        <v>309</v>
      </c>
      <c r="E139" s="170" t="s">
        <v>310</v>
      </c>
      <c r="F139" s="171" t="s">
        <v>64</v>
      </c>
      <c r="G139" s="171" t="s">
        <v>64</v>
      </c>
      <c r="H139" s="187">
        <v>342547.75</v>
      </c>
      <c r="I139" s="184"/>
    </row>
    <row r="140" spans="2:9" ht="29">
      <c r="B140" s="177">
        <v>8236</v>
      </c>
      <c r="C140" s="174" t="s">
        <v>1642</v>
      </c>
      <c r="D140" s="181" t="s">
        <v>309</v>
      </c>
      <c r="E140" s="170" t="s">
        <v>310</v>
      </c>
      <c r="F140" s="171" t="s">
        <v>64</v>
      </c>
      <c r="G140" s="171" t="s">
        <v>64</v>
      </c>
      <c r="H140" s="187">
        <v>342547.75</v>
      </c>
      <c r="I140" s="184"/>
    </row>
    <row r="141" spans="2:9" ht="29">
      <c r="B141" s="177">
        <v>8237</v>
      </c>
      <c r="C141" s="174" t="s">
        <v>1643</v>
      </c>
      <c r="D141" s="181" t="s">
        <v>309</v>
      </c>
      <c r="E141" s="170" t="s">
        <v>310</v>
      </c>
      <c r="F141" s="171" t="s">
        <v>64</v>
      </c>
      <c r="G141" s="171" t="s">
        <v>64</v>
      </c>
      <c r="H141" s="187">
        <v>342547.75</v>
      </c>
      <c r="I141" s="184"/>
    </row>
    <row r="142" spans="2:9" ht="29">
      <c r="B142" s="177">
        <v>8238</v>
      </c>
      <c r="C142" s="174" t="s">
        <v>1644</v>
      </c>
      <c r="D142" s="181" t="s">
        <v>309</v>
      </c>
      <c r="E142" s="170" t="s">
        <v>310</v>
      </c>
      <c r="F142" s="171" t="s">
        <v>64</v>
      </c>
      <c r="G142" s="171" t="s">
        <v>64</v>
      </c>
      <c r="H142" s="187">
        <v>342547.75</v>
      </c>
      <c r="I142" s="184"/>
    </row>
    <row r="143" spans="2:9">
      <c r="B143" s="177">
        <v>8239</v>
      </c>
      <c r="C143" s="174" t="s">
        <v>1645</v>
      </c>
      <c r="D143" s="181" t="s">
        <v>309</v>
      </c>
      <c r="E143" s="170" t="s">
        <v>310</v>
      </c>
      <c r="F143" s="171" t="s">
        <v>64</v>
      </c>
      <c r="G143" s="171" t="s">
        <v>64</v>
      </c>
      <c r="H143" s="187">
        <v>342547.75</v>
      </c>
      <c r="I143" s="184"/>
    </row>
    <row r="144" spans="2:9">
      <c r="B144" s="177">
        <v>8240</v>
      </c>
      <c r="C144" s="174" t="s">
        <v>1646</v>
      </c>
      <c r="D144" s="181" t="s">
        <v>309</v>
      </c>
      <c r="E144" s="170" t="s">
        <v>310</v>
      </c>
      <c r="F144" s="171" t="s">
        <v>64</v>
      </c>
      <c r="G144" s="171" t="s">
        <v>64</v>
      </c>
      <c r="H144" s="187">
        <v>342547.75</v>
      </c>
      <c r="I144" s="184"/>
    </row>
    <row r="145" spans="2:9" ht="29">
      <c r="B145" s="177">
        <v>8241</v>
      </c>
      <c r="C145" s="174" t="s">
        <v>1647</v>
      </c>
      <c r="D145" s="181" t="s">
        <v>309</v>
      </c>
      <c r="E145" s="170" t="s">
        <v>310</v>
      </c>
      <c r="F145" s="171" t="s">
        <v>64</v>
      </c>
      <c r="G145" s="171" t="s">
        <v>64</v>
      </c>
      <c r="H145" s="187">
        <v>342547.75</v>
      </c>
      <c r="I145" s="184"/>
    </row>
    <row r="146" spans="2:9">
      <c r="B146" s="177">
        <v>1001247</v>
      </c>
      <c r="C146" s="174" t="s">
        <v>68</v>
      </c>
      <c r="D146" s="181" t="s">
        <v>309</v>
      </c>
      <c r="E146" s="170" t="s">
        <v>310</v>
      </c>
      <c r="F146" s="171" t="s">
        <v>64</v>
      </c>
      <c r="G146" s="171" t="s">
        <v>64</v>
      </c>
      <c r="H146" s="129">
        <v>490673</v>
      </c>
      <c r="I146" s="184"/>
    </row>
    <row r="147" spans="2:9">
      <c r="B147" s="177">
        <v>1001248</v>
      </c>
      <c r="C147" s="174" t="s">
        <v>62</v>
      </c>
      <c r="D147" s="181" t="s">
        <v>309</v>
      </c>
      <c r="E147" s="170" t="s">
        <v>310</v>
      </c>
      <c r="F147" s="171" t="s">
        <v>64</v>
      </c>
      <c r="G147" s="171" t="s">
        <v>64</v>
      </c>
      <c r="H147" s="129">
        <v>490673</v>
      </c>
      <c r="I147" s="184"/>
    </row>
    <row r="148" spans="2:9">
      <c r="B148" s="177">
        <v>1002357</v>
      </c>
      <c r="C148" s="174" t="s">
        <v>323</v>
      </c>
      <c r="D148" s="181" t="s">
        <v>309</v>
      </c>
      <c r="E148" s="170" t="s">
        <v>310</v>
      </c>
      <c r="F148" s="171" t="s">
        <v>64</v>
      </c>
      <c r="G148" s="171" t="s">
        <v>64</v>
      </c>
      <c r="H148" s="129">
        <v>490426</v>
      </c>
      <c r="I148" s="184"/>
    </row>
    <row r="149" spans="2:9">
      <c r="B149" s="177">
        <v>1002358</v>
      </c>
      <c r="C149" s="174" t="s">
        <v>325</v>
      </c>
      <c r="D149" s="181" t="s">
        <v>309</v>
      </c>
      <c r="E149" s="170" t="s">
        <v>310</v>
      </c>
      <c r="F149" s="171" t="s">
        <v>64</v>
      </c>
      <c r="G149" s="171" t="s">
        <v>64</v>
      </c>
      <c r="H149" s="129">
        <v>491762</v>
      </c>
      <c r="I149" s="184"/>
    </row>
    <row r="150" spans="2:9">
      <c r="B150" s="177">
        <v>1002359</v>
      </c>
      <c r="C150" s="174" t="s">
        <v>326</v>
      </c>
      <c r="D150" s="181" t="s">
        <v>309</v>
      </c>
      <c r="E150" s="170" t="s">
        <v>310</v>
      </c>
      <c r="F150" s="171" t="s">
        <v>64</v>
      </c>
      <c r="G150" s="171" t="s">
        <v>64</v>
      </c>
      <c r="H150" s="129">
        <v>487365</v>
      </c>
      <c r="I150" s="184"/>
    </row>
    <row r="151" spans="2:9">
      <c r="B151" s="177">
        <v>1002360</v>
      </c>
      <c r="C151" s="174" t="s">
        <v>73</v>
      </c>
      <c r="D151" s="181" t="s">
        <v>309</v>
      </c>
      <c r="E151" s="170" t="s">
        <v>310</v>
      </c>
      <c r="F151" s="171" t="s">
        <v>64</v>
      </c>
      <c r="G151" s="171" t="s">
        <v>64</v>
      </c>
      <c r="H151" s="129">
        <v>495726</v>
      </c>
      <c r="I151" s="184"/>
    </row>
    <row r="152" spans="2:9">
      <c r="B152" s="177">
        <v>1002361</v>
      </c>
      <c r="C152" s="174" t="s">
        <v>327</v>
      </c>
      <c r="D152" s="181" t="s">
        <v>309</v>
      </c>
      <c r="E152" s="170" t="s">
        <v>310</v>
      </c>
      <c r="F152" s="171" t="s">
        <v>64</v>
      </c>
      <c r="G152" s="171" t="s">
        <v>64</v>
      </c>
      <c r="H152" s="129">
        <v>491646</v>
      </c>
      <c r="I152" s="184"/>
    </row>
    <row r="153" spans="2:9">
      <c r="B153" s="177">
        <v>1002362</v>
      </c>
      <c r="C153" s="174" t="s">
        <v>328</v>
      </c>
      <c r="D153" s="181" t="s">
        <v>309</v>
      </c>
      <c r="E153" s="170" t="s">
        <v>310</v>
      </c>
      <c r="F153" s="171" t="s">
        <v>64</v>
      </c>
      <c r="G153" s="171" t="s">
        <v>64</v>
      </c>
      <c r="H153" s="129">
        <v>492965</v>
      </c>
      <c r="I153" s="184"/>
    </row>
    <row r="154" spans="2:9">
      <c r="B154" s="177">
        <v>1002363</v>
      </c>
      <c r="C154" s="174" t="s">
        <v>65</v>
      </c>
      <c r="D154" s="181" t="s">
        <v>309</v>
      </c>
      <c r="E154" s="170" t="s">
        <v>310</v>
      </c>
      <c r="F154" s="171" t="s">
        <v>64</v>
      </c>
      <c r="G154" s="171" t="s">
        <v>64</v>
      </c>
      <c r="H154" s="129">
        <v>495617</v>
      </c>
      <c r="I154" s="184"/>
    </row>
    <row r="155" spans="2:9">
      <c r="B155" s="177">
        <v>1002364</v>
      </c>
      <c r="C155" s="174" t="s">
        <v>268</v>
      </c>
      <c r="D155" s="181" t="s">
        <v>309</v>
      </c>
      <c r="E155" s="170" t="s">
        <v>310</v>
      </c>
      <c r="F155" s="171" t="s">
        <v>64</v>
      </c>
      <c r="G155" s="171" t="s">
        <v>64</v>
      </c>
      <c r="H155" s="129">
        <v>492551</v>
      </c>
      <c r="I155" s="184"/>
    </row>
    <row r="156" spans="2:9">
      <c r="B156" s="177">
        <v>1002365</v>
      </c>
      <c r="C156" s="174" t="s">
        <v>56</v>
      </c>
      <c r="D156" s="181" t="s">
        <v>309</v>
      </c>
      <c r="E156" s="170" t="s">
        <v>310</v>
      </c>
      <c r="F156" s="171" t="s">
        <v>64</v>
      </c>
      <c r="G156" s="171" t="s">
        <v>64</v>
      </c>
      <c r="H156" s="129">
        <v>491579</v>
      </c>
      <c r="I156" s="184"/>
    </row>
    <row r="157" spans="2:9">
      <c r="B157" s="177">
        <v>1004081</v>
      </c>
      <c r="C157" s="174" t="s">
        <v>329</v>
      </c>
      <c r="D157" s="181" t="s">
        <v>309</v>
      </c>
      <c r="E157" s="170" t="s">
        <v>310</v>
      </c>
      <c r="F157" s="171" t="s">
        <v>64</v>
      </c>
      <c r="G157" s="171" t="s">
        <v>64</v>
      </c>
      <c r="H157" s="129" t="s">
        <v>59</v>
      </c>
      <c r="I157" s="184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3:B10"/>
  <sheetViews>
    <sheetView workbookViewId="0">
      <selection activeCell="B9" sqref="B9"/>
    </sheetView>
  </sheetViews>
  <sheetFormatPr baseColWidth="10" defaultColWidth="10.90625" defaultRowHeight="14.5"/>
  <cols>
    <col min="1" max="1" width="20.7265625" bestFit="1" customWidth="1"/>
    <col min="2" max="2" width="24.6328125" bestFit="1" customWidth="1"/>
  </cols>
  <sheetData>
    <row r="3" spans="1:2">
      <c r="A3" s="33" t="s">
        <v>1666</v>
      </c>
      <c r="B3" t="s">
        <v>1667</v>
      </c>
    </row>
    <row r="4" spans="1:2">
      <c r="A4" s="53" t="s">
        <v>1615</v>
      </c>
      <c r="B4" s="34">
        <v>0</v>
      </c>
    </row>
    <row r="5" spans="1:2">
      <c r="A5" s="53" t="s">
        <v>204</v>
      </c>
      <c r="B5" s="155">
        <v>1375091.69</v>
      </c>
    </row>
    <row r="6" spans="1:2">
      <c r="A6" s="53" t="s">
        <v>89</v>
      </c>
      <c r="B6" s="155">
        <v>21782384.329999998</v>
      </c>
    </row>
    <row r="7" spans="1:2">
      <c r="A7" s="53" t="s">
        <v>1443</v>
      </c>
      <c r="B7" s="155">
        <v>23986707.669999994</v>
      </c>
    </row>
    <row r="8" spans="1:2">
      <c r="A8" s="53" t="s">
        <v>64</v>
      </c>
      <c r="B8" s="155">
        <v>16193579.640000002</v>
      </c>
    </row>
    <row r="9" spans="1:2">
      <c r="A9" s="53" t="s">
        <v>67</v>
      </c>
      <c r="B9" s="155">
        <v>11909157.519999998</v>
      </c>
    </row>
    <row r="10" spans="1:2">
      <c r="A10" s="53" t="s">
        <v>336</v>
      </c>
      <c r="B10" s="155">
        <v>75246920.849999994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8" sqref="D8"/>
    </sheetView>
  </sheetViews>
  <sheetFormatPr baseColWidth="10" defaultColWidth="10.90625" defaultRowHeight="14.5"/>
  <cols>
    <col min="2" max="2" width="19.6328125" bestFit="1" customWidth="1"/>
    <col min="3" max="3" width="11.7265625" customWidth="1"/>
    <col min="4" max="4" width="12.26953125" bestFit="1" customWidth="1"/>
  </cols>
  <sheetData>
    <row r="1" spans="1:4">
      <c r="A1" s="31" t="s">
        <v>1712</v>
      </c>
    </row>
    <row r="2" spans="1:4" s="31" customFormat="1"/>
    <row r="3" spans="1:4">
      <c r="A3" s="191" t="s">
        <v>10</v>
      </c>
      <c r="B3" s="191" t="s">
        <v>1714</v>
      </c>
      <c r="C3" s="191" t="s">
        <v>1713</v>
      </c>
      <c r="D3" s="191" t="s">
        <v>1715</v>
      </c>
    </row>
    <row r="4" spans="1:4">
      <c r="A4" s="193" t="s">
        <v>64</v>
      </c>
      <c r="B4" s="192">
        <v>60</v>
      </c>
      <c r="C4" s="192">
        <v>75</v>
      </c>
      <c r="D4" s="192">
        <v>13</v>
      </c>
    </row>
    <row r="5" spans="1:4">
      <c r="A5" s="193" t="s">
        <v>1443</v>
      </c>
      <c r="B5" s="192">
        <v>31</v>
      </c>
      <c r="C5" s="192">
        <v>31</v>
      </c>
      <c r="D5" s="192">
        <v>30</v>
      </c>
    </row>
    <row r="6" spans="1:4" s="31" customFormat="1">
      <c r="A6" s="193" t="s">
        <v>67</v>
      </c>
      <c r="B6" s="192">
        <v>27</v>
      </c>
      <c r="C6" s="192">
        <v>19</v>
      </c>
      <c r="D6" s="192">
        <v>16</v>
      </c>
    </row>
    <row r="7" spans="1:4">
      <c r="A7" s="193" t="s">
        <v>89</v>
      </c>
      <c r="B7" s="192">
        <v>12</v>
      </c>
      <c r="C7" s="192">
        <v>10</v>
      </c>
      <c r="D7" s="192">
        <v>15</v>
      </c>
    </row>
    <row r="8" spans="1:4" ht="15" thickBot="1">
      <c r="A8" s="194" t="s">
        <v>204</v>
      </c>
      <c r="B8" s="195">
        <v>5</v>
      </c>
      <c r="C8" s="195">
        <v>0</v>
      </c>
      <c r="D8" s="195">
        <v>61</v>
      </c>
    </row>
    <row r="9" spans="1:4" ht="15" thickTop="1">
      <c r="A9" s="196" t="s">
        <v>342</v>
      </c>
      <c r="B9" s="197">
        <f>SUM(B4:B8)</f>
        <v>135</v>
      </c>
      <c r="C9" s="197">
        <f>SUM(C4:C8)</f>
        <v>135</v>
      </c>
      <c r="D9" s="197">
        <f>SUM(D4:D8)</f>
        <v>135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SIMEC-Mai17</vt:lpstr>
      <vt:lpstr>Simec OT - 020718</vt:lpstr>
      <vt:lpstr>Tabelle3</vt:lpstr>
      <vt:lpstr>Baseline consolidado (2)</vt:lpstr>
      <vt:lpstr>Pivot</vt:lpstr>
      <vt:lpstr>Cópia tabelas</vt:lpstr>
      <vt:lpstr>tabelas relatorio</vt:lpstr>
      <vt:lpstr>Pivot 2</vt:lpstr>
      <vt:lpstr>Tabelle1</vt:lpstr>
      <vt:lpstr>Tabelle2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Vaz Mondo</dc:creator>
  <cp:lastModifiedBy>Bianca Vaz Mondo</cp:lastModifiedBy>
  <dcterms:created xsi:type="dcterms:W3CDTF">2018-05-15T16:05:04Z</dcterms:created>
  <dcterms:modified xsi:type="dcterms:W3CDTF">2019-07-05T19:57:46Z</dcterms:modified>
</cp:coreProperties>
</file>