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workbookProtection workbookPassword="CF76" lockStructure="1"/>
  <bookViews>
    <workbookView xWindow="0" yWindow="390" windowWidth="4110" windowHeight="2925" tabRatio="863"/>
  </bookViews>
  <sheets>
    <sheet name="Modem Registers Calculations" sheetId="11" r:id="rId1"/>
    <sheet name="BWtable" sheetId="9" state="hidden" r:id="rId2"/>
    <sheet name="Hidden calc" sheetId="14" state="hidden" r:id="rId3"/>
    <sheet name="ook_table" sheetId="8" state="hidden" r:id="rId4"/>
    <sheet name="Tables for DS" sheetId="7" state="hidden" r:id="rId5"/>
    <sheet name="stal harmonics" sheetId="6" state="hidden" r:id="rId6"/>
    <sheet name="PH + FIFO MODE" sheetId="1" r:id="rId7"/>
    <sheet name="FIFO MODE" sheetId="5" r:id="rId8"/>
    <sheet name="REGISTERS Settings SUMMARY" sheetId="12" r:id="rId9"/>
    <sheet name="VERSIONS CHANGES" sheetId="13" state="hidden" r:id="rId10"/>
    <sheet name="PH_general" sheetId="4" state="hidden" r:id="rId11"/>
  </sheets>
  <definedNames>
    <definedName name="_xlnm._FilterDatabase" localSheetId="6" hidden="1">'PH + FIFO MODE'!#REF!</definedName>
    <definedName name="CRCtype">PH_general!$E$20:$E$23</definedName>
    <definedName name="EnableDisable">PH_general!$H$33:$H$34</definedName>
    <definedName name="hex_0_to_FF">PH_general!$A$18:$A$273</definedName>
    <definedName name="LSBorMSB">PH_general!$E$14:$E$15</definedName>
    <definedName name="Man_inv">PH_general!$B$5:$B$6</definedName>
    <definedName name="man_prea_pol">PH_general!$B$9:$B$10</definedName>
    <definedName name="ModemSet">PH_general!$G$48:$G$49</definedName>
    <definedName name="nn">PH_general!$E$10:$E$11</definedName>
    <definedName name="NOonly">PH_general!$I$15</definedName>
    <definedName name="OFFonly">PH_general!$I$13</definedName>
    <definedName name="ON_only">PH_general!$I$10</definedName>
    <definedName name="ONorOFF">PH_general!$E$10:$E$11</definedName>
    <definedName name="ONorOFF1">PH_general!$D$10:$D$12</definedName>
    <definedName name="option">PH_general!$G$36:$G$38</definedName>
    <definedName name="PerBer">PH_general!$E$57:$E$58</definedName>
    <definedName name="percentage">PH_general!$E$91:$E$92</definedName>
    <definedName name="range_0_15">PH_general!$E$35:$E$50</definedName>
    <definedName name="range0_to_255">PH_general!$B$18:$B$273</definedName>
    <definedName name="range0_to_511">PH_general!$C$18:$C$529</definedName>
    <definedName name="range1_to_511">PH_general!$C$19:$C$529</definedName>
    <definedName name="selectOnOff">PH_general!$I$5:$I$6</definedName>
    <definedName name="SelHeader">PH_general!$E$26:$E$30</definedName>
    <definedName name="SYNCsize">PH_general!$H$26:$H$29</definedName>
    <definedName name="tolerance">PH_general!$G$75:$G$79</definedName>
    <definedName name="TRCLK">PH_general!$G$68:$G$71</definedName>
    <definedName name="ValidMods">PH_general!$E$5:$E$7</definedName>
    <definedName name="ValidModulations">PH_general!$C$4:$C$6</definedName>
    <definedName name="verison_status">'VERSIONS CHANGES'!$G$8:$G$9</definedName>
    <definedName name="version_number">'VERSIONS CHANGES'!$E$8:$E$9</definedName>
    <definedName name="WorkMode">PH_general!$G$42:$G$43</definedName>
    <definedName name="xtal">PH_general!$G$75:$G$79</definedName>
    <definedName name="xtal_tol">PH_general!$G$75:$G$79</definedName>
    <definedName name="YESonly">PH_general!$I$17</definedName>
    <definedName name="YESorNO">PH_general!$E$17:$E$18</definedName>
  </definedNames>
  <calcPr calcId="145621"/>
</workbook>
</file>

<file path=xl/calcChain.xml><?xml version="1.0" encoding="utf-8"?>
<calcChain xmlns="http://schemas.openxmlformats.org/spreadsheetml/2006/main">
  <c r="A2" i="14" l="1"/>
  <c r="C30" i="14"/>
  <c r="D30" i="14"/>
  <c r="A30" i="14"/>
  <c r="A15" i="11" s="1"/>
  <c r="B22" i="11"/>
  <c r="B28" i="11" s="1"/>
  <c r="B71" i="11"/>
  <c r="I78" i="11" s="1"/>
  <c r="L76" i="11" s="1"/>
  <c r="B10" i="8"/>
  <c r="B9" i="8"/>
  <c r="H62" i="11"/>
  <c r="Y28" i="5" s="1"/>
  <c r="B37" i="11"/>
  <c r="D55" i="11"/>
  <c r="A4" i="14" s="1"/>
  <c r="F71" i="11"/>
  <c r="G71" i="11" s="1"/>
  <c r="M79" i="11"/>
  <c r="M63" i="11"/>
  <c r="H7" i="14"/>
  <c r="J62" i="11" s="1"/>
  <c r="C71" i="11"/>
  <c r="B12" i="8"/>
  <c r="B7" i="8"/>
  <c r="B11" i="8"/>
  <c r="G12" i="5"/>
  <c r="H12" i="5" s="1"/>
  <c r="G14" i="1"/>
  <c r="C37" i="12" s="1"/>
  <c r="E37" i="12" s="1"/>
  <c r="G11" i="1"/>
  <c r="H11" i="1" s="1"/>
  <c r="D34" i="12" s="1"/>
  <c r="B17" i="8"/>
  <c r="B19" i="8"/>
  <c r="I85" i="7" s="1"/>
  <c r="B18" i="8"/>
  <c r="B20" i="8"/>
  <c r="B21" i="8"/>
  <c r="E13" i="12"/>
  <c r="B46" i="11"/>
  <c r="C46" i="11" s="1"/>
  <c r="C16" i="1"/>
  <c r="X32" i="1" s="1"/>
  <c r="T32" i="1"/>
  <c r="V32" i="1"/>
  <c r="V31" i="5"/>
  <c r="C11" i="5"/>
  <c r="X31" i="5" s="1"/>
  <c r="T31" i="5"/>
  <c r="Z29" i="1"/>
  <c r="X29" i="1"/>
  <c r="C21" i="1"/>
  <c r="D23" i="1" s="1"/>
  <c r="W29" i="1"/>
  <c r="C15" i="5"/>
  <c r="D16" i="5" s="1"/>
  <c r="W28" i="5"/>
  <c r="X28" i="5"/>
  <c r="Z28" i="5"/>
  <c r="B55" i="11"/>
  <c r="F165" i="9"/>
  <c r="F49" i="9"/>
  <c r="C55" i="11"/>
  <c r="F48" i="9"/>
  <c r="V25" i="5"/>
  <c r="V26" i="1"/>
  <c r="C10" i="11"/>
  <c r="F152" i="9"/>
  <c r="F151" i="9"/>
  <c r="F150" i="9"/>
  <c r="F149" i="9"/>
  <c r="F148" i="9"/>
  <c r="F147" i="9"/>
  <c r="F146" i="9"/>
  <c r="F145" i="9"/>
  <c r="F144" i="9"/>
  <c r="F143" i="9"/>
  <c r="F142" i="9"/>
  <c r="F141" i="9"/>
  <c r="F140" i="9"/>
  <c r="F139" i="9"/>
  <c r="F138" i="9"/>
  <c r="F137" i="9"/>
  <c r="F36" i="9"/>
  <c r="F35" i="9"/>
  <c r="F29" i="9"/>
  <c r="F34" i="9"/>
  <c r="F33" i="9"/>
  <c r="T23" i="1"/>
  <c r="U23" i="1"/>
  <c r="V23" i="1"/>
  <c r="X23" i="1"/>
  <c r="Y23" i="1"/>
  <c r="Z23" i="1"/>
  <c r="T22" i="5"/>
  <c r="U22" i="5"/>
  <c r="V22" i="5"/>
  <c r="X22" i="5"/>
  <c r="Y22" i="5"/>
  <c r="Z22" i="5"/>
  <c r="D9" i="11"/>
  <c r="F50" i="9"/>
  <c r="B14" i="8"/>
  <c r="B15" i="8"/>
  <c r="B16" i="8"/>
  <c r="B13" i="8"/>
  <c r="B6" i="8"/>
  <c r="B8" i="8"/>
  <c r="P83" i="7" s="1"/>
  <c r="F179" i="9"/>
  <c r="F178" i="9"/>
  <c r="F177" i="9"/>
  <c r="F176" i="9"/>
  <c r="F175" i="9"/>
  <c r="F174" i="9"/>
  <c r="F173" i="9"/>
  <c r="F172" i="9"/>
  <c r="F171" i="9"/>
  <c r="F170" i="9"/>
  <c r="F169" i="9"/>
  <c r="F168" i="9"/>
  <c r="F167" i="9"/>
  <c r="F166" i="9"/>
  <c r="F164" i="9"/>
  <c r="F163" i="9"/>
  <c r="F162" i="9"/>
  <c r="F161" i="9"/>
  <c r="F160" i="9"/>
  <c r="F159" i="9"/>
  <c r="F158" i="9"/>
  <c r="F157" i="9"/>
  <c r="F156" i="9"/>
  <c r="F155" i="9"/>
  <c r="F154" i="9"/>
  <c r="F153" i="9"/>
  <c r="F136" i="9"/>
  <c r="F135" i="9"/>
  <c r="F134" i="9"/>
  <c r="F133" i="9"/>
  <c r="F132" i="9"/>
  <c r="F131" i="9"/>
  <c r="F130" i="9"/>
  <c r="F129" i="9"/>
  <c r="F128" i="9"/>
  <c r="F127" i="9"/>
  <c r="F47" i="9"/>
  <c r="F121" i="9"/>
  <c r="F120" i="9"/>
  <c r="F119" i="9"/>
  <c r="F118" i="9"/>
  <c r="F117" i="9"/>
  <c r="F116" i="9"/>
  <c r="F115" i="9"/>
  <c r="F114" i="9"/>
  <c r="F113" i="9"/>
  <c r="F112" i="9"/>
  <c r="F111" i="9"/>
  <c r="F110" i="9"/>
  <c r="F109" i="9"/>
  <c r="F108" i="9"/>
  <c r="F107"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106" i="9"/>
  <c r="F61" i="9"/>
  <c r="F60" i="9"/>
  <c r="F59" i="9"/>
  <c r="F58" i="9"/>
  <c r="F57" i="9"/>
  <c r="F56" i="9"/>
  <c r="F55" i="9"/>
  <c r="F54" i="9"/>
  <c r="F53" i="9"/>
  <c r="F52" i="9"/>
  <c r="F51" i="9"/>
  <c r="F46" i="9"/>
  <c r="F45" i="9"/>
  <c r="F44" i="9"/>
  <c r="F42" i="9"/>
  <c r="F41" i="9"/>
  <c r="F40" i="9"/>
  <c r="F39" i="9"/>
  <c r="F38" i="9"/>
  <c r="F37" i="9"/>
  <c r="F32" i="9"/>
  <c r="F31" i="9"/>
  <c r="F30" i="9"/>
  <c r="F28" i="9"/>
  <c r="F27" i="9"/>
  <c r="F26" i="9"/>
  <c r="F25" i="9"/>
  <c r="F24" i="9"/>
  <c r="F23" i="9"/>
  <c r="F22" i="9"/>
  <c r="F21" i="9"/>
  <c r="F20" i="9"/>
  <c r="F19" i="9"/>
  <c r="F18" i="9"/>
  <c r="F17" i="9"/>
  <c r="F16" i="9"/>
  <c r="F15" i="9"/>
  <c r="F14" i="9"/>
  <c r="F13" i="9"/>
  <c r="F12" i="9"/>
  <c r="F11" i="9"/>
  <c r="F10" i="9"/>
  <c r="F9" i="9"/>
  <c r="F8" i="9"/>
  <c r="F43" i="9"/>
  <c r="B31" i="5"/>
  <c r="B30" i="1"/>
  <c r="C5" i="1"/>
  <c r="E9" i="12" s="1"/>
  <c r="F48" i="12"/>
  <c r="F49" i="12"/>
  <c r="F50" i="12"/>
  <c r="F51" i="12"/>
  <c r="F52" i="12"/>
  <c r="F53" i="12"/>
  <c r="F54" i="12"/>
  <c r="F47" i="12"/>
  <c r="F43" i="12"/>
  <c r="F44" i="12"/>
  <c r="F45" i="12"/>
  <c r="F42" i="12"/>
  <c r="F39" i="12"/>
  <c r="F40" i="12"/>
  <c r="F41" i="12"/>
  <c r="F38" i="12"/>
  <c r="F36" i="12"/>
  <c r="F35" i="12"/>
  <c r="G13" i="1"/>
  <c r="H13" i="1" s="1"/>
  <c r="D36" i="12" s="1"/>
  <c r="G15" i="1"/>
  <c r="C38" i="12" s="1"/>
  <c r="E38" i="12" s="1"/>
  <c r="H15" i="1"/>
  <c r="D38" i="12"/>
  <c r="G16" i="1"/>
  <c r="H16" i="1"/>
  <c r="D39" i="12" s="1"/>
  <c r="G17" i="1"/>
  <c r="H17" i="1" s="1"/>
  <c r="D40" i="12" s="1"/>
  <c r="G18" i="1"/>
  <c r="C41" i="12" s="1"/>
  <c r="E41" i="12" s="1"/>
  <c r="H18" i="1"/>
  <c r="D41" i="12" s="1"/>
  <c r="U26" i="1"/>
  <c r="W26" i="1"/>
  <c r="X26" i="1"/>
  <c r="U25" i="5"/>
  <c r="W25" i="5"/>
  <c r="X25" i="5"/>
  <c r="G20" i="1"/>
  <c r="H20" i="1" s="1"/>
  <c r="D43" i="12" s="1"/>
  <c r="G19" i="1"/>
  <c r="H19" i="1" s="1"/>
  <c r="D42" i="12" s="1"/>
  <c r="C6" i="6"/>
  <c r="I50" i="7"/>
  <c r="H50" i="7"/>
  <c r="G50" i="7"/>
  <c r="F50" i="7"/>
  <c r="I13" i="7"/>
  <c r="I15" i="7"/>
  <c r="I17" i="7"/>
  <c r="I18" i="7"/>
  <c r="I20" i="7"/>
  <c r="I21" i="7"/>
  <c r="I25" i="7"/>
  <c r="H13" i="7"/>
  <c r="H15" i="7"/>
  <c r="K15" i="7" s="1"/>
  <c r="G15" i="7"/>
  <c r="H17" i="7"/>
  <c r="K17" i="7" s="1"/>
  <c r="H18" i="7"/>
  <c r="G18" i="7"/>
  <c r="H20" i="7"/>
  <c r="K20" i="7" s="1"/>
  <c r="H21" i="7"/>
  <c r="J21" i="7" s="1"/>
  <c r="N21" i="7" s="1"/>
  <c r="H25" i="7"/>
  <c r="G13" i="7"/>
  <c r="G17" i="7"/>
  <c r="G20" i="7"/>
  <c r="G21" i="7"/>
  <c r="G25" i="7"/>
  <c r="J25" i="7" s="1"/>
  <c r="F13" i="7"/>
  <c r="F15" i="7"/>
  <c r="F17" i="7"/>
  <c r="F18" i="7"/>
  <c r="F20" i="7"/>
  <c r="F21" i="7"/>
  <c r="F25" i="7"/>
  <c r="C21" i="8"/>
  <c r="C20" i="8"/>
  <c r="C19" i="8"/>
  <c r="C18" i="8"/>
  <c r="C17" i="8"/>
  <c r="C16" i="8"/>
  <c r="C15" i="8"/>
  <c r="C14" i="8"/>
  <c r="C13" i="8"/>
  <c r="C12" i="8"/>
  <c r="C11" i="8"/>
  <c r="C10" i="8"/>
  <c r="C9" i="8"/>
  <c r="C8" i="8"/>
  <c r="C7" i="8"/>
  <c r="C6" i="8"/>
  <c r="C5" i="8"/>
  <c r="C4" i="8"/>
  <c r="C3" i="8"/>
  <c r="B5" i="8"/>
  <c r="B4" i="8"/>
  <c r="P61" i="7" s="1"/>
  <c r="B3" i="8"/>
  <c r="G29" i="1"/>
  <c r="H29" i="1" s="1"/>
  <c r="D52" i="12" s="1"/>
  <c r="G30" i="1"/>
  <c r="C53" i="12" s="1"/>
  <c r="E53" i="12" s="1"/>
  <c r="H30" i="1"/>
  <c r="D53" i="12" s="1"/>
  <c r="G31" i="1"/>
  <c r="H31" i="1"/>
  <c r="D54" i="12" s="1"/>
  <c r="G28" i="1"/>
  <c r="H28" i="1" s="1"/>
  <c r="D51" i="12" s="1"/>
  <c r="C51" i="12"/>
  <c r="E51" i="12" s="1"/>
  <c r="G21" i="1"/>
  <c r="H21" i="1" s="1"/>
  <c r="D44" i="12" s="1"/>
  <c r="G22" i="1"/>
  <c r="G27" i="1" s="1"/>
  <c r="G23" i="1"/>
  <c r="H23" i="1"/>
  <c r="D46" i="12" s="1"/>
  <c r="E21" i="12"/>
  <c r="L45" i="12"/>
  <c r="L48" i="12"/>
  <c r="L49" i="12"/>
  <c r="L47" i="12"/>
  <c r="F22" i="11"/>
  <c r="F12" i="8"/>
  <c r="F4" i="8"/>
  <c r="F5" i="8"/>
  <c r="F6" i="8" s="1"/>
  <c r="F7" i="8" s="1"/>
  <c r="F8" i="8" s="1"/>
  <c r="F9" i="8" s="1"/>
  <c r="H96" i="7"/>
  <c r="H95" i="7"/>
  <c r="H94" i="7"/>
  <c r="H93" i="7"/>
  <c r="H92" i="7"/>
  <c r="H91" i="7"/>
  <c r="H90" i="7"/>
  <c r="H89" i="7"/>
  <c r="H88" i="7"/>
  <c r="H87" i="7"/>
  <c r="H86" i="7"/>
  <c r="H85" i="7"/>
  <c r="H84" i="7"/>
  <c r="H83" i="7"/>
  <c r="H82" i="7"/>
  <c r="H75" i="7"/>
  <c r="H74" i="7"/>
  <c r="H73" i="7"/>
  <c r="H72" i="7"/>
  <c r="H71" i="7"/>
  <c r="H70" i="7"/>
  <c r="H69" i="7"/>
  <c r="H68" i="7"/>
  <c r="H67" i="7"/>
  <c r="H66" i="7"/>
  <c r="H65" i="7"/>
  <c r="H64" i="7"/>
  <c r="H63" i="7"/>
  <c r="H62" i="7"/>
  <c r="H61" i="7"/>
  <c r="R53" i="7"/>
  <c r="S53" i="7"/>
  <c r="F53" i="7" s="1"/>
  <c r="E53" i="7"/>
  <c r="R52" i="7"/>
  <c r="S52" i="7" s="1"/>
  <c r="E52" i="7"/>
  <c r="R51" i="7"/>
  <c r="S51" i="7"/>
  <c r="E51" i="7"/>
  <c r="R50" i="7"/>
  <c r="E50" i="7"/>
  <c r="R49" i="7"/>
  <c r="S49" i="7" s="1"/>
  <c r="E49" i="7"/>
  <c r="R48" i="7"/>
  <c r="S48" i="7" s="1"/>
  <c r="E48" i="7"/>
  <c r="R47" i="7"/>
  <c r="S47" i="7"/>
  <c r="G47" i="7" s="1"/>
  <c r="E47" i="7"/>
  <c r="R46" i="7"/>
  <c r="S46" i="7"/>
  <c r="E46" i="7"/>
  <c r="R45" i="7"/>
  <c r="S45" i="7"/>
  <c r="H45" i="7" s="1"/>
  <c r="E45" i="7"/>
  <c r="R44" i="7"/>
  <c r="S44" i="7"/>
  <c r="H44" i="7" s="1"/>
  <c r="K44" i="7" s="1"/>
  <c r="E44" i="7"/>
  <c r="R43" i="7"/>
  <c r="S43" i="7" s="1"/>
  <c r="E43" i="7"/>
  <c r="R42" i="7"/>
  <c r="S42" i="7"/>
  <c r="G42" i="7" s="1"/>
  <c r="E42" i="7"/>
  <c r="R41" i="7"/>
  <c r="S41" i="7" s="1"/>
  <c r="E41" i="7"/>
  <c r="R40" i="7"/>
  <c r="S40" i="7"/>
  <c r="I40" i="7" s="1"/>
  <c r="E40" i="7"/>
  <c r="R39" i="7"/>
  <c r="S39" i="7" s="1"/>
  <c r="E39" i="7"/>
  <c r="R38" i="7"/>
  <c r="S38" i="7"/>
  <c r="E38" i="7"/>
  <c r="R37" i="7"/>
  <c r="S37" i="7"/>
  <c r="F37" i="7" s="1"/>
  <c r="E37" i="7"/>
  <c r="R36" i="7"/>
  <c r="S36" i="7"/>
  <c r="F36" i="7" s="1"/>
  <c r="E36" i="7"/>
  <c r="R35" i="7"/>
  <c r="S35" i="7"/>
  <c r="I35" i="7" s="1"/>
  <c r="E35" i="7"/>
  <c r="R34" i="7"/>
  <c r="S34" i="7" s="1"/>
  <c r="E34" i="7"/>
  <c r="R27" i="7"/>
  <c r="S27" i="7" s="1"/>
  <c r="E27" i="7"/>
  <c r="R26" i="7"/>
  <c r="S26" i="7" s="1"/>
  <c r="E26" i="7"/>
  <c r="R25" i="7"/>
  <c r="E25" i="7"/>
  <c r="R24" i="7"/>
  <c r="S24" i="7"/>
  <c r="F24" i="7" s="1"/>
  <c r="E24" i="7"/>
  <c r="R23" i="7"/>
  <c r="S23" i="7" s="1"/>
  <c r="E23" i="7"/>
  <c r="R22" i="7"/>
  <c r="S22" i="7" s="1"/>
  <c r="E22" i="7"/>
  <c r="R21" i="7"/>
  <c r="E21" i="7"/>
  <c r="R20" i="7"/>
  <c r="E20" i="7"/>
  <c r="R19" i="7"/>
  <c r="S19" i="7" s="1"/>
  <c r="E19" i="7"/>
  <c r="R18" i="7"/>
  <c r="E18" i="7"/>
  <c r="R17" i="7"/>
  <c r="J17" i="7"/>
  <c r="N17" i="7" s="1"/>
  <c r="E17" i="7"/>
  <c r="R16" i="7"/>
  <c r="S16" i="7" s="1"/>
  <c r="E16" i="7"/>
  <c r="R15" i="7"/>
  <c r="E15" i="7"/>
  <c r="R14" i="7"/>
  <c r="S14" i="7"/>
  <c r="G14" i="7" s="1"/>
  <c r="E14" i="7"/>
  <c r="R13" i="7"/>
  <c r="E13" i="7"/>
  <c r="R12" i="7"/>
  <c r="S12" i="7"/>
  <c r="F12" i="7" s="1"/>
  <c r="E12" i="7"/>
  <c r="R11" i="7"/>
  <c r="S11" i="7" s="1"/>
  <c r="E11" i="7"/>
  <c r="R10" i="7"/>
  <c r="S10" i="7"/>
  <c r="F10" i="7" s="1"/>
  <c r="E10" i="7"/>
  <c r="R9" i="7"/>
  <c r="S9" i="7" s="1"/>
  <c r="E9" i="7"/>
  <c r="R8" i="7"/>
  <c r="S8" i="7"/>
  <c r="E8" i="7"/>
  <c r="B7" i="6"/>
  <c r="C7" i="6"/>
  <c r="B8" i="6"/>
  <c r="C8" i="6" s="1"/>
  <c r="D17" i="5"/>
  <c r="D44" i="1"/>
  <c r="G16" i="5"/>
  <c r="H16" i="5" s="1"/>
  <c r="G15" i="5"/>
  <c r="H15" i="5" s="1"/>
  <c r="C40" i="12"/>
  <c r="E40" i="12" s="1"/>
  <c r="G14" i="5"/>
  <c r="C39" i="12"/>
  <c r="E39" i="12" s="1"/>
  <c r="H14" i="5"/>
  <c r="G13" i="5"/>
  <c r="G11" i="5"/>
  <c r="H11" i="5"/>
  <c r="D29" i="5"/>
  <c r="D67" i="1"/>
  <c r="E30" i="1"/>
  <c r="D22" i="5"/>
  <c r="D41" i="5"/>
  <c r="D40" i="5"/>
  <c r="D9" i="5"/>
  <c r="D64" i="1"/>
  <c r="D63" i="1"/>
  <c r="D62" i="1"/>
  <c r="D61" i="1"/>
  <c r="D56" i="1"/>
  <c r="D57" i="1"/>
  <c r="D58" i="1"/>
  <c r="D55" i="1"/>
  <c r="E39" i="1"/>
  <c r="D37" i="1"/>
  <c r="D39" i="1"/>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18" i="4"/>
  <c r="D26" i="1"/>
  <c r="D27" i="1"/>
  <c r="D28" i="1"/>
  <c r="D10" i="1"/>
  <c r="D13" i="1"/>
  <c r="D12" i="1"/>
  <c r="H22" i="1"/>
  <c r="D45" i="12" s="1"/>
  <c r="G24" i="1"/>
  <c r="H24" i="1" s="1"/>
  <c r="D47" i="12" s="1"/>
  <c r="H14" i="7"/>
  <c r="F14" i="7"/>
  <c r="I36" i="7"/>
  <c r="H13" i="5"/>
  <c r="I64" i="7"/>
  <c r="L59" i="11"/>
  <c r="M59" i="11" s="1"/>
  <c r="C19" i="12"/>
  <c r="E19" i="12" s="1"/>
  <c r="C78" i="11"/>
  <c r="E29" i="12"/>
  <c r="I91" i="7"/>
  <c r="P87" i="7"/>
  <c r="G85" i="7"/>
  <c r="P82" i="7"/>
  <c r="D19" i="12"/>
  <c r="D29" i="12"/>
  <c r="E30" i="12"/>
  <c r="D30" i="12"/>
  <c r="D31" i="12"/>
  <c r="E31" i="12"/>
  <c r="H8" i="7"/>
  <c r="F8" i="7"/>
  <c r="G8" i="7"/>
  <c r="I8" i="7"/>
  <c r="I12" i="7"/>
  <c r="H38" i="7"/>
  <c r="G38" i="7"/>
  <c r="I38" i="7"/>
  <c r="F38" i="7"/>
  <c r="G45" i="7"/>
  <c r="I46" i="7"/>
  <c r="G46" i="7"/>
  <c r="I10" i="7"/>
  <c r="G10" i="7"/>
  <c r="J10" i="7" s="1"/>
  <c r="H10" i="7"/>
  <c r="H35" i="7"/>
  <c r="G35" i="7"/>
  <c r="G40" i="7"/>
  <c r="J40" i="7" s="1"/>
  <c r="L40" i="7" s="1"/>
  <c r="H40" i="7"/>
  <c r="K18" i="7"/>
  <c r="H37" i="7"/>
  <c r="H42" i="7"/>
  <c r="F46" i="7"/>
  <c r="H46" i="7"/>
  <c r="H51" i="7"/>
  <c r="I51" i="7"/>
  <c r="G51" i="7"/>
  <c r="F51" i="7"/>
  <c r="H24" i="7"/>
  <c r="G24" i="7"/>
  <c r="I24" i="7"/>
  <c r="G44" i="7"/>
  <c r="I53" i="7"/>
  <c r="G53" i="7"/>
  <c r="H53" i="7"/>
  <c r="I14" i="7"/>
  <c r="G36" i="7"/>
  <c r="B9" i="6"/>
  <c r="C9" i="6" s="1"/>
  <c r="C54" i="12"/>
  <c r="E54" i="12" s="1"/>
  <c r="C52" i="12"/>
  <c r="E52" i="12" s="1"/>
  <c r="C42" i="12"/>
  <c r="E42" i="12" s="1"/>
  <c r="C46" i="12"/>
  <c r="E46" i="12" s="1"/>
  <c r="E22" i="11" l="1"/>
  <c r="C7" i="14" s="1"/>
  <c r="G11" i="7"/>
  <c r="J11" i="7" s="1"/>
  <c r="N11" i="7" s="1"/>
  <c r="F11" i="7"/>
  <c r="H11" i="7"/>
  <c r="I11" i="7"/>
  <c r="I26" i="7"/>
  <c r="F26" i="7"/>
  <c r="G26" i="7"/>
  <c r="H26" i="7"/>
  <c r="J26" i="7" s="1"/>
  <c r="H27" i="1"/>
  <c r="D50" i="12" s="1"/>
  <c r="C50" i="12"/>
  <c r="E50" i="12" s="1"/>
  <c r="G9" i="7"/>
  <c r="H9" i="7"/>
  <c r="K9" i="7" s="1"/>
  <c r="I9" i="7"/>
  <c r="F9" i="7"/>
  <c r="H19" i="7"/>
  <c r="F19" i="7"/>
  <c r="G19" i="7"/>
  <c r="J19" i="7" s="1"/>
  <c r="I19" i="7"/>
  <c r="H23" i="7"/>
  <c r="G23" i="7"/>
  <c r="K23" i="7" s="1"/>
  <c r="F23" i="7"/>
  <c r="I23" i="7"/>
  <c r="H16" i="7"/>
  <c r="F16" i="7"/>
  <c r="I16" i="7"/>
  <c r="G16" i="7"/>
  <c r="G27" i="7"/>
  <c r="H27" i="7"/>
  <c r="J27" i="7" s="1"/>
  <c r="N27" i="7" s="1"/>
  <c r="F27" i="7"/>
  <c r="I27" i="7"/>
  <c r="H39" i="7"/>
  <c r="G39" i="7"/>
  <c r="I39" i="7"/>
  <c r="F39" i="7"/>
  <c r="H48" i="7"/>
  <c r="G48" i="7"/>
  <c r="F48" i="7"/>
  <c r="I48" i="7"/>
  <c r="I52" i="7"/>
  <c r="H52" i="7"/>
  <c r="K52" i="7" s="1"/>
  <c r="F52" i="7"/>
  <c r="G52" i="7"/>
  <c r="F34" i="7"/>
  <c r="H34" i="7"/>
  <c r="I34" i="7"/>
  <c r="G34" i="7"/>
  <c r="J34" i="7" s="1"/>
  <c r="L34" i="7" s="1"/>
  <c r="I43" i="7"/>
  <c r="H43" i="7"/>
  <c r="J43" i="7" s="1"/>
  <c r="F43" i="7"/>
  <c r="G43" i="7"/>
  <c r="G49" i="7"/>
  <c r="F49" i="7"/>
  <c r="H49" i="7"/>
  <c r="I49" i="7"/>
  <c r="F22" i="7"/>
  <c r="H22" i="7"/>
  <c r="K22" i="7" s="1"/>
  <c r="I22" i="7"/>
  <c r="G22" i="7"/>
  <c r="H41" i="7"/>
  <c r="F41" i="7"/>
  <c r="I41" i="7"/>
  <c r="G41" i="7"/>
  <c r="J41" i="7" s="1"/>
  <c r="C34" i="12"/>
  <c r="E34" i="12" s="1"/>
  <c r="B10" i="6"/>
  <c r="J44" i="7"/>
  <c r="F42" i="7"/>
  <c r="K37" i="7"/>
  <c r="G62" i="7"/>
  <c r="J62" i="7" s="1"/>
  <c r="Q62" i="7" s="1"/>
  <c r="F44" i="7"/>
  <c r="I42" i="7"/>
  <c r="I37" i="7"/>
  <c r="F40" i="7"/>
  <c r="I45" i="7"/>
  <c r="I47" i="7"/>
  <c r="C44" i="12"/>
  <c r="E44" i="12" s="1"/>
  <c r="K13" i="7"/>
  <c r="C43" i="12"/>
  <c r="E43" i="12" s="1"/>
  <c r="P72" i="7"/>
  <c r="G64" i="7"/>
  <c r="J64" i="7" s="1"/>
  <c r="L64" i="7" s="1"/>
  <c r="K50" i="7"/>
  <c r="H12" i="7"/>
  <c r="J38" i="7"/>
  <c r="G12" i="7"/>
  <c r="H36" i="7"/>
  <c r="K36" i="7" s="1"/>
  <c r="G26" i="1"/>
  <c r="G25" i="1"/>
  <c r="C45" i="12"/>
  <c r="E45" i="12" s="1"/>
  <c r="H47" i="7"/>
  <c r="K47" i="7" s="1"/>
  <c r="J20" i="7"/>
  <c r="I37" i="11"/>
  <c r="U28" i="5" s="1"/>
  <c r="G17" i="5" s="1"/>
  <c r="H17" i="5" s="1"/>
  <c r="I44" i="7"/>
  <c r="F35" i="7"/>
  <c r="F45" i="7"/>
  <c r="G37" i="7"/>
  <c r="C47" i="12"/>
  <c r="E47" i="12" s="1"/>
  <c r="F47" i="7"/>
  <c r="H71" i="11"/>
  <c r="N20" i="7"/>
  <c r="L20" i="7"/>
  <c r="K53" i="7"/>
  <c r="K16" i="7"/>
  <c r="K25" i="7"/>
  <c r="K11" i="7"/>
  <c r="K46" i="7"/>
  <c r="J35" i="7"/>
  <c r="L35" i="7" s="1"/>
  <c r="P93" i="7"/>
  <c r="K21" i="7"/>
  <c r="G68" i="7"/>
  <c r="J68" i="7" s="1"/>
  <c r="L68" i="7" s="1"/>
  <c r="G9" i="5"/>
  <c r="H9" i="5" s="1"/>
  <c r="G10" i="5"/>
  <c r="H10" i="5" s="1"/>
  <c r="J13" i="7"/>
  <c r="J37" i="7"/>
  <c r="L37" i="7" s="1"/>
  <c r="J22" i="7"/>
  <c r="L22" i="7" s="1"/>
  <c r="D30" i="1"/>
  <c r="G86" i="7"/>
  <c r="J86" i="7" s="1"/>
  <c r="Q86" i="7" s="1"/>
  <c r="G83" i="7"/>
  <c r="J83" i="7" s="1"/>
  <c r="Q83" i="7" s="1"/>
  <c r="J50" i="7"/>
  <c r="N50" i="7" s="1"/>
  <c r="I86" i="7"/>
  <c r="K45" i="7"/>
  <c r="J8" i="7"/>
  <c r="N8" i="7" s="1"/>
  <c r="P85" i="7"/>
  <c r="J39" i="7"/>
  <c r="N39" i="7" s="1"/>
  <c r="J51" i="7"/>
  <c r="P67" i="7"/>
  <c r="C36" i="12"/>
  <c r="E36" i="12" s="1"/>
  <c r="D21" i="14"/>
  <c r="L78" i="11" s="1"/>
  <c r="H14" i="1"/>
  <c r="D37" i="12" s="1"/>
  <c r="Y29" i="1"/>
  <c r="H78" i="11"/>
  <c r="L75" i="11" s="1"/>
  <c r="M75" i="11" s="1"/>
  <c r="G55" i="11"/>
  <c r="D22" i="1"/>
  <c r="L10" i="7"/>
  <c r="N10" i="7"/>
  <c r="L50" i="7"/>
  <c r="N25" i="7"/>
  <c r="L25" i="7"/>
  <c r="N13" i="7"/>
  <c r="L13" i="7"/>
  <c r="J12" i="7"/>
  <c r="N12" i="7" s="1"/>
  <c r="P91" i="7"/>
  <c r="P66" i="7"/>
  <c r="P73" i="7"/>
  <c r="K51" i="7"/>
  <c r="K35" i="7"/>
  <c r="G65" i="7"/>
  <c r="J65" i="7" s="1"/>
  <c r="I90" i="7"/>
  <c r="P88" i="7"/>
  <c r="I87" i="7"/>
  <c r="G63" i="7"/>
  <c r="J63" i="7" s="1"/>
  <c r="Q63" i="7" s="1"/>
  <c r="P74" i="7"/>
  <c r="P90" i="7"/>
  <c r="G92" i="7"/>
  <c r="J92" i="7" s="1"/>
  <c r="L92" i="7" s="1"/>
  <c r="P64" i="7"/>
  <c r="I88" i="7"/>
  <c r="G70" i="7"/>
  <c r="J70" i="7" s="1"/>
  <c r="Q70" i="7" s="1"/>
  <c r="I67" i="7"/>
  <c r="G87" i="7"/>
  <c r="K87" i="7" s="1"/>
  <c r="P65" i="7"/>
  <c r="G12" i="1"/>
  <c r="H12" i="1" s="1"/>
  <c r="D35" i="12" s="1"/>
  <c r="N37" i="7"/>
  <c r="J23" i="7"/>
  <c r="K48" i="7"/>
  <c r="J16" i="7"/>
  <c r="N16" i="7" s="1"/>
  <c r="G72" i="7"/>
  <c r="K72" i="7" s="1"/>
  <c r="I73" i="7"/>
  <c r="P95" i="7"/>
  <c r="G94" i="7"/>
  <c r="P75" i="7"/>
  <c r="G66" i="7"/>
  <c r="K66" i="7" s="1"/>
  <c r="G95" i="7"/>
  <c r="K95" i="7" s="1"/>
  <c r="G91" i="7"/>
  <c r="J91" i="7" s="1"/>
  <c r="Q91" i="7" s="1"/>
  <c r="G69" i="7"/>
  <c r="K69" i="7" s="1"/>
  <c r="I69" i="7"/>
  <c r="G82" i="7"/>
  <c r="G67" i="7"/>
  <c r="J67" i="7" s="1"/>
  <c r="L67" i="7" s="1"/>
  <c r="I95" i="7"/>
  <c r="G61" i="7"/>
  <c r="K61" i="7" s="1"/>
  <c r="L21" i="7"/>
  <c r="K10" i="7"/>
  <c r="P68" i="7"/>
  <c r="I63" i="7"/>
  <c r="I92" i="7"/>
  <c r="D78" i="11"/>
  <c r="I89" i="7"/>
  <c r="I62" i="7"/>
  <c r="J46" i="7"/>
  <c r="K8" i="7"/>
  <c r="P62" i="7"/>
  <c r="I65" i="7"/>
  <c r="G89" i="7"/>
  <c r="J89" i="7" s="1"/>
  <c r="L89" i="7" s="1"/>
  <c r="I66" i="7"/>
  <c r="G74" i="7"/>
  <c r="I84" i="7"/>
  <c r="G75" i="7"/>
  <c r="J75" i="7" s="1"/>
  <c r="I71" i="7"/>
  <c r="G84" i="7"/>
  <c r="J84" i="7" s="1"/>
  <c r="Q84" i="7" s="1"/>
  <c r="I74" i="7"/>
  <c r="I82" i="7"/>
  <c r="N40" i="7"/>
  <c r="G90" i="7"/>
  <c r="J90" i="7" s="1"/>
  <c r="L90" i="7" s="1"/>
  <c r="P70" i="7"/>
  <c r="P86" i="7"/>
  <c r="J53" i="7"/>
  <c r="J45" i="7"/>
  <c r="N45" i="7" s="1"/>
  <c r="G73" i="7"/>
  <c r="K73" i="7" s="1"/>
  <c r="G93" i="7"/>
  <c r="K93" i="7" s="1"/>
  <c r="P96" i="7"/>
  <c r="I70" i="7"/>
  <c r="P84" i="7"/>
  <c r="P71" i="7"/>
  <c r="I61" i="7"/>
  <c r="G96" i="7"/>
  <c r="J96" i="7" s="1"/>
  <c r="L96" i="7" s="1"/>
  <c r="G88" i="7"/>
  <c r="K88" i="7" s="1"/>
  <c r="K14" i="7"/>
  <c r="J18" i="7"/>
  <c r="N18" i="7" s="1"/>
  <c r="I83" i="7"/>
  <c r="G71" i="7"/>
  <c r="K71" i="7" s="1"/>
  <c r="P89" i="7"/>
  <c r="K40" i="7"/>
  <c r="I68" i="7"/>
  <c r="I72" i="7"/>
  <c r="K19" i="7"/>
  <c r="K43" i="7"/>
  <c r="P69" i="7"/>
  <c r="I94" i="7"/>
  <c r="P92" i="7"/>
  <c r="I75" i="7"/>
  <c r="I96" i="7"/>
  <c r="P63" i="7"/>
  <c r="I93" i="7"/>
  <c r="D71" i="11"/>
  <c r="P94" i="7"/>
  <c r="L60" i="11"/>
  <c r="M60" i="11" s="1"/>
  <c r="C37" i="11"/>
  <c r="G37" i="11" s="1"/>
  <c r="L35" i="11" s="1"/>
  <c r="J37" i="11"/>
  <c r="L37" i="11" s="1"/>
  <c r="M37" i="11" s="1"/>
  <c r="B78" i="11"/>
  <c r="K63" i="7"/>
  <c r="J85" i="7"/>
  <c r="L85" i="7" s="1"/>
  <c r="C28" i="11"/>
  <c r="L24" i="11" s="1"/>
  <c r="D28" i="11"/>
  <c r="C30" i="12"/>
  <c r="M76" i="11"/>
  <c r="F55" i="11"/>
  <c r="G30" i="14" s="1"/>
  <c r="F56" i="11" s="1"/>
  <c r="K85" i="7"/>
  <c r="J95" i="7"/>
  <c r="L95" i="7" s="1"/>
  <c r="W31" i="5"/>
  <c r="G18" i="5" s="1"/>
  <c r="H18" i="5" s="1"/>
  <c r="F46" i="11"/>
  <c r="L43" i="11" s="1"/>
  <c r="W32" i="1"/>
  <c r="G33" i="1" s="1"/>
  <c r="C62" i="12" s="1"/>
  <c r="G15" i="11"/>
  <c r="N44" i="7"/>
  <c r="L44" i="7"/>
  <c r="L11" i="7"/>
  <c r="L39" i="7"/>
  <c r="J48" i="7"/>
  <c r="L48" i="7" s="1"/>
  <c r="J24" i="7"/>
  <c r="N24" i="7" s="1"/>
  <c r="J42" i="7"/>
  <c r="N42" i="7" s="1"/>
  <c r="K12" i="7"/>
  <c r="J49" i="7"/>
  <c r="J15" i="7"/>
  <c r="N15" i="7" s="1"/>
  <c r="G10" i="1"/>
  <c r="C33" i="12" s="1"/>
  <c r="E33" i="12" s="1"/>
  <c r="K38" i="7"/>
  <c r="L17" i="7"/>
  <c r="L42" i="7"/>
  <c r="L23" i="7"/>
  <c r="N23" i="7"/>
  <c r="N51" i="7"/>
  <c r="L51" i="7"/>
  <c r="L45" i="7"/>
  <c r="L38" i="7"/>
  <c r="N38" i="7"/>
  <c r="J14" i="7"/>
  <c r="K42" i="7"/>
  <c r="K24" i="7"/>
  <c r="K27" i="7"/>
  <c r="L83" i="7" l="1"/>
  <c r="K68" i="7"/>
  <c r="A38" i="14"/>
  <c r="E78" i="11" s="1"/>
  <c r="G78" i="11" s="1"/>
  <c r="L73" i="11" s="1"/>
  <c r="M73" i="11" s="1"/>
  <c r="K64" i="7"/>
  <c r="U29" i="1"/>
  <c r="G32" i="1" s="1"/>
  <c r="C61" i="12" s="1"/>
  <c r="E61" i="12" s="1"/>
  <c r="N19" i="7"/>
  <c r="L19" i="7"/>
  <c r="L43" i="7"/>
  <c r="N43" i="7"/>
  <c r="N41" i="7"/>
  <c r="L41" i="7"/>
  <c r="J36" i="7"/>
  <c r="H25" i="1"/>
  <c r="D48" i="12" s="1"/>
  <c r="C48" i="12"/>
  <c r="E48" i="12" s="1"/>
  <c r="J47" i="7"/>
  <c r="K39" i="7"/>
  <c r="K26" i="7"/>
  <c r="K41" i="7"/>
  <c r="L16" i="7"/>
  <c r="L18" i="7"/>
  <c r="N35" i="7"/>
  <c r="K49" i="7"/>
  <c r="J9" i="7"/>
  <c r="K34" i="7"/>
  <c r="K62" i="7"/>
  <c r="J52" i="7"/>
  <c r="H26" i="1"/>
  <c r="D49" i="12" s="1"/>
  <c r="C49" i="12"/>
  <c r="E49" i="12" s="1"/>
  <c r="K86" i="7"/>
  <c r="K91" i="7"/>
  <c r="J61" i="7"/>
  <c r="L61" i="7" s="1"/>
  <c r="B11" i="6"/>
  <c r="C10" i="6"/>
  <c r="Q64" i="7"/>
  <c r="Q89" i="7"/>
  <c r="K83" i="7"/>
  <c r="K90" i="7"/>
  <c r="K84" i="7"/>
  <c r="J87" i="7"/>
  <c r="L87" i="7" s="1"/>
  <c r="Q65" i="7"/>
  <c r="L65" i="7"/>
  <c r="N22" i="7"/>
  <c r="L86" i="7"/>
  <c r="K70" i="7"/>
  <c r="L70" i="7"/>
  <c r="Q68" i="7"/>
  <c r="N48" i="7"/>
  <c r="K65" i="7"/>
  <c r="L27" i="7"/>
  <c r="J66" i="7"/>
  <c r="L8" i="7"/>
  <c r="H10" i="1"/>
  <c r="D33" i="12" s="1"/>
  <c r="Q90" i="7"/>
  <c r="L62" i="11"/>
  <c r="M78" i="11" s="1"/>
  <c r="B7" i="14"/>
  <c r="G7" i="14" s="1"/>
  <c r="H55" i="11" s="1"/>
  <c r="J7" i="14" s="1"/>
  <c r="K7" i="14" s="1"/>
  <c r="J55" i="11" s="1"/>
  <c r="C29" i="12"/>
  <c r="L34" i="11"/>
  <c r="C58" i="12" s="1"/>
  <c r="E58" i="12" s="1"/>
  <c r="L75" i="7"/>
  <c r="Q75" i="7"/>
  <c r="J69" i="7"/>
  <c r="L62" i="7"/>
  <c r="Q96" i="7"/>
  <c r="J71" i="7"/>
  <c r="L71" i="7" s="1"/>
  <c r="K67" i="7"/>
  <c r="J72" i="7"/>
  <c r="Q67" i="7"/>
  <c r="F78" i="11"/>
  <c r="K75" i="7"/>
  <c r="Q85" i="7"/>
  <c r="N53" i="7"/>
  <c r="L53" i="7"/>
  <c r="J94" i="7"/>
  <c r="K94" i="7"/>
  <c r="J88" i="7"/>
  <c r="K74" i="7"/>
  <c r="J74" i="7"/>
  <c r="N34" i="7"/>
  <c r="L84" i="7"/>
  <c r="K89" i="7"/>
  <c r="L15" i="7"/>
  <c r="L24" i="7"/>
  <c r="L68" i="11"/>
  <c r="M68" i="11" s="1"/>
  <c r="Q92" i="7"/>
  <c r="J93" i="7"/>
  <c r="K82" i="7"/>
  <c r="J82" i="7"/>
  <c r="N46" i="7"/>
  <c r="L46" i="7"/>
  <c r="J73" i="7"/>
  <c r="L12" i="7"/>
  <c r="L26" i="7"/>
  <c r="N26" i="7"/>
  <c r="K92" i="7"/>
  <c r="C35" i="12"/>
  <c r="E35" i="12" s="1"/>
  <c r="K96" i="7"/>
  <c r="D12" i="14"/>
  <c r="D7" i="14"/>
  <c r="E7" i="14" s="1"/>
  <c r="B16" i="14"/>
  <c r="L91" i="7"/>
  <c r="Q95" i="7"/>
  <c r="L63" i="7"/>
  <c r="H33" i="1"/>
  <c r="D62" i="12" s="1"/>
  <c r="A7" i="14"/>
  <c r="M47" i="12"/>
  <c r="C65" i="12"/>
  <c r="E65" i="12" s="1"/>
  <c r="M24" i="11"/>
  <c r="L26" i="11"/>
  <c r="L25" i="11"/>
  <c r="E2" i="14"/>
  <c r="A16" i="14"/>
  <c r="M35" i="11"/>
  <c r="D59" i="12" s="1"/>
  <c r="C59" i="12"/>
  <c r="E59" i="12" s="1"/>
  <c r="M45" i="12"/>
  <c r="C63" i="12"/>
  <c r="E63" i="12" s="1"/>
  <c r="M43" i="11"/>
  <c r="N49" i="7"/>
  <c r="L49" i="7"/>
  <c r="L14" i="7"/>
  <c r="N14" i="7"/>
  <c r="L44" i="11"/>
  <c r="M44" i="11" s="1"/>
  <c r="E62" i="12"/>
  <c r="L69" i="11" l="1"/>
  <c r="M69" i="11" s="1"/>
  <c r="L70" i="11"/>
  <c r="M70" i="11" s="1"/>
  <c r="E71" i="11"/>
  <c r="J78" i="11" s="1"/>
  <c r="L77" i="11" s="1"/>
  <c r="M77" i="11" s="1"/>
  <c r="Q61" i="7"/>
  <c r="Q87" i="7"/>
  <c r="L36" i="7"/>
  <c r="N36" i="7"/>
  <c r="C11" i="6"/>
  <c r="B12" i="6"/>
  <c r="L52" i="7"/>
  <c r="N52" i="7"/>
  <c r="L9" i="7"/>
  <c r="N9" i="7"/>
  <c r="L47" i="7"/>
  <c r="N47" i="7"/>
  <c r="Q66" i="7"/>
  <c r="L66" i="7"/>
  <c r="Q71" i="7"/>
  <c r="L72" i="11"/>
  <c r="M72" i="11" s="1"/>
  <c r="M62" i="11"/>
  <c r="M34" i="11"/>
  <c r="D58" i="12" s="1"/>
  <c r="D62" i="11"/>
  <c r="B62" i="11"/>
  <c r="L36" i="11"/>
  <c r="M36" i="11" s="1"/>
  <c r="H32" i="1"/>
  <c r="D61" i="12" s="1"/>
  <c r="C62" i="11"/>
  <c r="B12" i="14"/>
  <c r="E12" i="14" s="1"/>
  <c r="F12" i="14" s="1"/>
  <c r="G12" i="14" s="1"/>
  <c r="H12" i="14" s="1"/>
  <c r="L72" i="7"/>
  <c r="Q72" i="7"/>
  <c r="Q69" i="7"/>
  <c r="L69" i="7"/>
  <c r="L71" i="11"/>
  <c r="M71" i="11" s="1"/>
  <c r="L82" i="7"/>
  <c r="Q82" i="7"/>
  <c r="L94" i="7"/>
  <c r="Q94" i="7"/>
  <c r="L93" i="7"/>
  <c r="Q93" i="7"/>
  <c r="Q73" i="7"/>
  <c r="L73" i="7"/>
  <c r="Q88" i="7"/>
  <c r="L88" i="7"/>
  <c r="L74" i="7"/>
  <c r="Q74" i="7"/>
  <c r="F7" i="14"/>
  <c r="H16" i="14"/>
  <c r="L74" i="11"/>
  <c r="M74" i="11" s="1"/>
  <c r="I55" i="11"/>
  <c r="M25" i="11"/>
  <c r="C66" i="12"/>
  <c r="E66" i="12" s="1"/>
  <c r="M48" i="12"/>
  <c r="N47" i="12"/>
  <c r="D65" i="12"/>
  <c r="M49" i="12"/>
  <c r="C67" i="12"/>
  <c r="E67" i="12" s="1"/>
  <c r="M26" i="11"/>
  <c r="N45" i="12"/>
  <c r="D63" i="12"/>
  <c r="C31" i="12" l="1"/>
  <c r="I14" i="14"/>
  <c r="J14" i="14" s="1"/>
  <c r="I62" i="11" s="1"/>
  <c r="L61" i="11" s="1"/>
  <c r="M61" i="11" s="1"/>
  <c r="B13" i="6"/>
  <c r="C12" i="6"/>
  <c r="A34" i="14"/>
  <c r="E62" i="11" s="1"/>
  <c r="L53" i="11" s="1"/>
  <c r="F62" i="11"/>
  <c r="L56" i="11" s="1"/>
  <c r="C25" i="12" s="1"/>
  <c r="E25" i="12" s="1"/>
  <c r="L52" i="11"/>
  <c r="C18" i="12" s="1"/>
  <c r="E18" i="12" s="1"/>
  <c r="D66" i="12"/>
  <c r="N48" i="12"/>
  <c r="N49" i="12"/>
  <c r="D67" i="12"/>
  <c r="C28" i="12" l="1"/>
  <c r="E28" i="12" s="1"/>
  <c r="K14" i="14"/>
  <c r="C13" i="6"/>
  <c r="B14" i="6"/>
  <c r="G62" i="11"/>
  <c r="L58" i="11" s="1"/>
  <c r="A21" i="14"/>
  <c r="E30" i="14"/>
  <c r="E63" i="11" s="1"/>
  <c r="L55" i="11"/>
  <c r="C24" i="12" s="1"/>
  <c r="E24" i="12" s="1"/>
  <c r="M56" i="11"/>
  <c r="D25" i="12" s="1"/>
  <c r="L54" i="11"/>
  <c r="M54" i="11" s="1"/>
  <c r="D23" i="12" s="1"/>
  <c r="M52" i="11"/>
  <c r="D18" i="12" s="1"/>
  <c r="M53" i="11"/>
  <c r="D22" i="12" s="1"/>
  <c r="C22" i="12"/>
  <c r="E22" i="12" s="1"/>
  <c r="D28" i="12" l="1"/>
  <c r="C14" i="6"/>
  <c r="B15" i="6"/>
  <c r="C23" i="12"/>
  <c r="E23" i="12" s="1"/>
  <c r="L57" i="11"/>
  <c r="M57" i="11" s="1"/>
  <c r="D26" i="12" s="1"/>
  <c r="M55" i="11"/>
  <c r="D24" i="12" s="1"/>
  <c r="M58" i="11"/>
  <c r="D27" i="12" s="1"/>
  <c r="C27" i="12"/>
  <c r="E27" i="12" s="1"/>
  <c r="B16" i="6" l="1"/>
  <c r="C15" i="6"/>
  <c r="C26" i="12"/>
  <c r="B17" i="6" l="1"/>
  <c r="C16" i="6"/>
  <c r="B18" i="6" l="1"/>
  <c r="C17" i="6"/>
  <c r="C18" i="6" l="1"/>
  <c r="B19" i="6"/>
  <c r="B20" i="6" l="1"/>
  <c r="C19" i="6"/>
  <c r="B21" i="6" l="1"/>
  <c r="C20" i="6"/>
  <c r="B22" i="6" l="1"/>
  <c r="C21" i="6"/>
  <c r="C22" i="6" l="1"/>
  <c r="B23" i="6"/>
  <c r="B24" i="6" l="1"/>
  <c r="C23" i="6"/>
  <c r="C24" i="6" l="1"/>
  <c r="B25" i="6"/>
  <c r="B26" i="6" l="1"/>
  <c r="C25" i="6"/>
  <c r="B27" i="6" l="1"/>
  <c r="C26" i="6"/>
  <c r="B28" i="6" l="1"/>
  <c r="C27" i="6"/>
  <c r="C28" i="6" l="1"/>
  <c r="B29" i="6"/>
  <c r="B30" i="6" l="1"/>
  <c r="C30" i="6" s="1"/>
  <c r="C29" i="6"/>
</calcChain>
</file>

<file path=xl/sharedStrings.xml><?xml version="1.0" encoding="utf-8"?>
<sst xmlns="http://schemas.openxmlformats.org/spreadsheetml/2006/main" count="794" uniqueCount="449">
  <si>
    <t>General configurations:</t>
  </si>
  <si>
    <t>[5:4]</t>
  </si>
  <si>
    <t>10</t>
  </si>
  <si>
    <t>[3]</t>
  </si>
  <si>
    <t>[1:0]</t>
  </si>
  <si>
    <t>GFSK</t>
  </si>
  <si>
    <t>OOK</t>
  </si>
  <si>
    <t>FSK</t>
  </si>
  <si>
    <t>Select Modulation type:</t>
  </si>
  <si>
    <t>ON</t>
  </si>
  <si>
    <t>OFF</t>
  </si>
  <si>
    <t>Select DATA INVERSION</t>
  </si>
  <si>
    <t>[2]</t>
  </si>
  <si>
    <t>Select Turn On Packet Handler</t>
  </si>
  <si>
    <t>[6]</t>
  </si>
  <si>
    <t>[5]</t>
  </si>
  <si>
    <t>[4]</t>
  </si>
  <si>
    <t>[1]</t>
  </si>
  <si>
    <t>[0]</t>
  </si>
  <si>
    <t>Select LSB/MSB First</t>
  </si>
  <si>
    <t>LSB</t>
  </si>
  <si>
    <t>MSB</t>
  </si>
  <si>
    <t xml:space="preserve">CRC Over Data Only </t>
  </si>
  <si>
    <t>YES</t>
  </si>
  <si>
    <t>NO</t>
  </si>
  <si>
    <t>Enable CRC</t>
  </si>
  <si>
    <t>Select CRC TYPE</t>
  </si>
  <si>
    <t>CCIT</t>
  </si>
  <si>
    <t>CRC16-IBM</t>
  </si>
  <si>
    <t>IEC16</t>
  </si>
  <si>
    <t>BIACHEVA</t>
  </si>
  <si>
    <t>NO Header</t>
  </si>
  <si>
    <t>Header 3</t>
  </si>
  <si>
    <t>Header 3 &amp; 2</t>
  </si>
  <si>
    <t>Header 3 &amp; 2 &amp; 1</t>
  </si>
  <si>
    <t>Header 3 &amp; 2 &amp; 1 &amp; 0</t>
  </si>
  <si>
    <t>[7]</t>
  </si>
  <si>
    <t>[6:4]</t>
  </si>
  <si>
    <t>Select Headers in Packet</t>
  </si>
  <si>
    <t>Select Variable Packet Length</t>
  </si>
  <si>
    <t>Select Sync Word Length</t>
  </si>
  <si>
    <t>Sync word 3</t>
  </si>
  <si>
    <t>Sync word 3 &amp; 2</t>
  </si>
  <si>
    <t>Sync word 3 &amp; 2 &amp; 1</t>
  </si>
  <si>
    <t>Sync word 3 &amp; 2 &amp; 1 &amp; 0</t>
  </si>
  <si>
    <t>[2:1]</t>
  </si>
  <si>
    <t>Comment</t>
  </si>
  <si>
    <t>CRC will be Calculated Over Data Only</t>
  </si>
  <si>
    <t>CRC will be Calculated Over Header (if configured), Packet Length (if configured) and over Data (if Configured)</t>
  </si>
  <si>
    <t>CRC is not Enabled</t>
  </si>
  <si>
    <t>Each byte of the Header, Packet Length and Data will be sent MSB first</t>
  </si>
  <si>
    <t>Each byte of the Header, Packet Length and Data will be sent LSB first</t>
  </si>
  <si>
    <t>No Need to configure sync Word, default values are available</t>
  </si>
  <si>
    <t>Please Configure sync Words 1 and 0 Values as well</t>
  </si>
  <si>
    <t>Please Configure sync Word 1 Value as well</t>
  </si>
  <si>
    <t xml:space="preserve">Manchester is DISABLED, the Actual Number of Preamble bits will be: </t>
  </si>
  <si>
    <t xml:space="preserve">Manchester is ENABLED, the Actual Number of Preamble bits will be: </t>
  </si>
  <si>
    <t>Please select a number between 0 to 511 (included)</t>
  </si>
  <si>
    <t>The Length field will NOT be sent as part of the packet</t>
  </si>
  <si>
    <t>The Length field WILL be sent as part of the packet</t>
  </si>
  <si>
    <t>Please configure Header 3 Value</t>
  </si>
  <si>
    <t>Please configure Header 3 &amp; 2 Values</t>
  </si>
  <si>
    <t>Please configure Header 3 &amp; 2 &amp; 1 Values</t>
  </si>
  <si>
    <t>Please configure Header 3 &amp; 2 &amp; 1 &amp; 0 Values</t>
  </si>
  <si>
    <t>Since Header Length is null, no need to configure header(s) value(s)</t>
  </si>
  <si>
    <t>Select Manchester Enable</t>
  </si>
  <si>
    <t>Select Manchester Data Inversion</t>
  </si>
  <si>
    <t>Select Manchester Preamble Polarity</t>
  </si>
  <si>
    <t>No Inversion</t>
  </si>
  <si>
    <t>Invert</t>
  </si>
  <si>
    <t>0101 ….</t>
  </si>
  <si>
    <t>1010 .…</t>
  </si>
  <si>
    <t>Manchester is Disabled</t>
  </si>
  <si>
    <t>Operates on the entire data</t>
  </si>
  <si>
    <t>Select Data Whitening</t>
  </si>
  <si>
    <t>Maybe</t>
  </si>
  <si>
    <t>" 0 --&gt; 1 " = " 1 "</t>
  </si>
  <si>
    <t>TX Manchester Preamble will be 101010 ….</t>
  </si>
  <si>
    <t>TX Manchester Preamble will be 010101 ….</t>
  </si>
  <si>
    <t>" 1 --&gt; 0 " = " 1 "</t>
  </si>
  <si>
    <t>Configure sync Word 3</t>
  </si>
  <si>
    <t>Configure sync Word 0</t>
  </si>
  <si>
    <t>Configure sync Word 2</t>
  </si>
  <si>
    <t>Configure sync Word 1</t>
  </si>
  <si>
    <t>00</t>
  </si>
  <si>
    <t>D4</t>
  </si>
  <si>
    <t>2D</t>
  </si>
  <si>
    <t>3A</t>
  </si>
  <si>
    <t>3B</t>
  </si>
  <si>
    <t>3C</t>
  </si>
  <si>
    <t>3D</t>
  </si>
  <si>
    <t>3E</t>
  </si>
  <si>
    <t>There will be NO DATA field in the packet structure</t>
  </si>
  <si>
    <t xml:space="preserve">  bytes long</t>
  </si>
  <si>
    <t xml:space="preserve">The DATA field in the packet will be  </t>
  </si>
  <si>
    <t>3F</t>
  </si>
  <si>
    <t>RX Expect Broadcast at Header 3</t>
  </si>
  <si>
    <t>RX Expect Broadcast at Header 2</t>
  </si>
  <si>
    <t>RX Expect Broadcast at Header 1</t>
  </si>
  <si>
    <t>RX Expect Broadcast at Header 0</t>
  </si>
  <si>
    <t>Perform Header 3 Value comparison?</t>
  </si>
  <si>
    <t>Perform Header 2 Value comparison?</t>
  </si>
  <si>
    <t>Perform Header 1 Value comparison?</t>
  </si>
  <si>
    <t>Perform Header 0 Value comparison?</t>
  </si>
  <si>
    <t>Received Header 3 value will be compared to Expected Value</t>
  </si>
  <si>
    <t>Received Header 2 value will be compared to Expected Value</t>
  </si>
  <si>
    <t>Received Header 1 value will be compared to Expected Value</t>
  </si>
  <si>
    <t>Received Header 0 value will be compared to Expected Value</t>
  </si>
  <si>
    <t>Hexa Value [7:0]</t>
  </si>
  <si>
    <t>reg address hexa</t>
  </si>
  <si>
    <t>Irrelevant in Direct FIFO mode</t>
  </si>
  <si>
    <t>Relevant ONLY for RX side</t>
  </si>
  <si>
    <t>Irrelevant in direct FIFO mode</t>
  </si>
  <si>
    <t>Irrelevant Configurations for Direct FIFO Mode</t>
  </si>
  <si>
    <t>RX Specific Configurations:</t>
  </si>
  <si>
    <t>Cannot be used in Direct FIFO mode</t>
  </si>
  <si>
    <t>Select Turn Off Packet Handler</t>
  </si>
  <si>
    <t>These values should also be configured into the RX Expected Headers (addresses 0x3F, 0x40, 0x41 &amp; 0x42)</t>
  </si>
  <si>
    <r>
      <t>During TX</t>
    </r>
    <r>
      <rPr>
        <b/>
        <sz val="10"/>
        <color indexed="61"/>
        <rFont val="Arial"/>
        <family val="2"/>
      </rPr>
      <t>, TX FIFO contents are sent immediately (user has to program preamble etc inside TX FIFO) - Transmission will end automatically when TX FIFO is empty</t>
    </r>
  </si>
  <si>
    <r>
      <t>During RX</t>
    </r>
    <r>
      <rPr>
        <b/>
        <sz val="10"/>
        <color indexed="19"/>
        <rFont val="Arial"/>
        <family val="2"/>
      </rPr>
      <t>, RX FIFO starts saving bytes immediately after Sync. is Recognized, no Header checks, no CRC is allowed.</t>
    </r>
  </si>
  <si>
    <t>PREAMBLE</t>
  </si>
  <si>
    <t>SYNC</t>
  </si>
  <si>
    <t>HEADER</t>
  </si>
  <si>
    <t>LENGTH</t>
  </si>
  <si>
    <t>DATA</t>
  </si>
  <si>
    <t>CRC</t>
  </si>
  <si>
    <t>The Current selected Packet Structure is:</t>
  </si>
  <si>
    <t>Select DATA Length in packet Structure (decimal between 0 to 255)</t>
  </si>
  <si>
    <t>Configure TX Header 2 Value</t>
  </si>
  <si>
    <t>Configure TX Header 1 Value</t>
  </si>
  <si>
    <t>Configure TX Header 0 Value</t>
  </si>
  <si>
    <t>Configure sync Word 3 Value</t>
  </si>
  <si>
    <t>Configure sync Word 2 Value</t>
  </si>
  <si>
    <t>Configure sync Word 1 Value</t>
  </si>
  <si>
    <t>Configure sync Word 0 Value</t>
  </si>
  <si>
    <t>Configure TX Header 3 Value</t>
  </si>
  <si>
    <t>RX Header 3 individual bit check mask Value</t>
  </si>
  <si>
    <t>RX Header 2 individual bit check mask Value</t>
  </si>
  <si>
    <t>RX Header 1 individual bit check mask Value</t>
  </si>
  <si>
    <t>RX Header 0 individual bit check mask Value</t>
  </si>
  <si>
    <t>Please refer to the datasheet for specifics on Header Check and matching</t>
  </si>
  <si>
    <t>Broadcast Packet will be accepted</t>
  </si>
  <si>
    <t>Recommendations</t>
  </si>
  <si>
    <t>The Recommended Preamble Length is 32 (bits) and if Antenna Diversity is enabled, 64 (bits).</t>
  </si>
  <si>
    <t>This means that TX will automatically start once TX FIFO is Almost Full</t>
  </si>
  <si>
    <t>Select Preamble Detection Threshold (in nibble resolution)</t>
  </si>
  <si>
    <t>Recommended value is 16 bits</t>
  </si>
  <si>
    <t xml:space="preserve"> bits.</t>
  </si>
  <si>
    <t xml:space="preserve">This means we will evaluate the preamble for </t>
  </si>
  <si>
    <t>This will affect the Preamble Search time Out during RX</t>
  </si>
  <si>
    <t>WDS command</t>
  </si>
  <si>
    <t>TX Clock configuration</t>
  </si>
  <si>
    <t>No TX Data CLK is available outside the chip</t>
  </si>
  <si>
    <t>TX Data CLK is available through the GPIO pin (GPIO should be programmed as well)</t>
  </si>
  <si>
    <t>TX Data CLK is available through the nIRQ pin</t>
  </si>
  <si>
    <t>01</t>
  </si>
  <si>
    <t>11</t>
  </si>
  <si>
    <t>Harmonic</t>
  </si>
  <si>
    <t>Frequency</t>
  </si>
  <si>
    <t>#</t>
  </si>
  <si>
    <t>[kHz]</t>
  </si>
  <si>
    <t>RX Modem setting examples for GFSK</t>
  </si>
  <si>
    <t>Application parameters</t>
  </si>
  <si>
    <t>Register values (hex)</t>
  </si>
  <si>
    <t>Rb</t>
  </si>
  <si>
    <t>Fd</t>
  </si>
  <si>
    <t>mod index</t>
  </si>
  <si>
    <t>BW -3dB</t>
  </si>
  <si>
    <t>dwn3_bypass</t>
  </si>
  <si>
    <t>ndec_exp[2:0]</t>
  </si>
  <si>
    <t>filset[3:0]</t>
  </si>
  <si>
    <t>rxosr[10:0]</t>
  </si>
  <si>
    <t>ncoff[19:0]</t>
  </si>
  <si>
    <t>crgain[10:0]</t>
  </si>
  <si>
    <t>rxosr</t>
  </si>
  <si>
    <t>Fr error</t>
  </si>
  <si>
    <t>Manch</t>
  </si>
  <si>
    <t>kbps</t>
  </si>
  <si>
    <t>kHz</t>
  </si>
  <si>
    <t>-</t>
  </si>
  <si>
    <t>1Ch</t>
  </si>
  <si>
    <t>20,21h</t>
  </si>
  <si>
    <t>21,22,23h</t>
  </si>
  <si>
    <t>24,25h</t>
  </si>
  <si>
    <t>Modified for higher osr</t>
  </si>
  <si>
    <t>RX Modem setting examples for FSK</t>
  </si>
  <si>
    <t>[kbps]</t>
  </si>
  <si>
    <t>RX Modem setting examples for OOK (Manchester disabled)</t>
  </si>
  <si>
    <t>Appl parameters</t>
  </si>
  <si>
    <t>Register values</t>
  </si>
  <si>
    <t>RX BW</t>
  </si>
  <si>
    <t>MC</t>
  </si>
  <si>
    <t>BWara</t>
  </si>
  <si>
    <t>dec</t>
  </si>
  <si>
    <t>RX Modem setting examples for OOK (Manchester enabled)</t>
  </si>
  <si>
    <t xml:space="preserve">Desired RX BW Range(kHz) </t>
  </si>
  <si>
    <t>ARA RX_BW</t>
  </si>
  <si>
    <t>dw3_bypass</t>
  </si>
  <si>
    <t>BW_min</t>
  </si>
  <si>
    <t>BW_max</t>
  </si>
  <si>
    <t>Modem Rb(kbps)</t>
  </si>
  <si>
    <t>ndec[2:0]</t>
  </si>
  <si>
    <t>Modem Rb_min</t>
  </si>
  <si>
    <t>Modem Rb_max</t>
  </si>
  <si>
    <t>BW</t>
  </si>
  <si>
    <t>ndec</t>
  </si>
  <si>
    <t>filset</t>
  </si>
  <si>
    <t>GFSK/FSK RX                     Modem Settings</t>
  </si>
  <si>
    <t>Application Parameters</t>
  </si>
  <si>
    <t>required channel filter  BW</t>
  </si>
  <si>
    <t>Register values (HEX)</t>
  </si>
  <si>
    <t>TX-RX</t>
  </si>
  <si>
    <t>Manchester</t>
  </si>
  <si>
    <t>BWmod</t>
  </si>
  <si>
    <t>H</t>
  </si>
  <si>
    <t>BWch-fil</t>
  </si>
  <si>
    <t>dec exponent</t>
  </si>
  <si>
    <t>ch filter</t>
  </si>
  <si>
    <t>data rate</t>
  </si>
  <si>
    <t>clk recovery</t>
  </si>
  <si>
    <t>enable</t>
  </si>
  <si>
    <t>fd[8:0]</t>
  </si>
  <si>
    <t>1Dh [6]</t>
  </si>
  <si>
    <t>70h [1]</t>
  </si>
  <si>
    <t>1Ch [6:4]</t>
  </si>
  <si>
    <t>1Ch [3:0]</t>
  </si>
  <si>
    <t>1Ch [7]</t>
  </si>
  <si>
    <t>20h, 21h</t>
  </si>
  <si>
    <t>21h, 22h, 23h</t>
  </si>
  <si>
    <t>24h, 25h</t>
  </si>
  <si>
    <t>RX GFSK/FSK Modem WDS COMMANDS</t>
  </si>
  <si>
    <t>reg.1C</t>
  </si>
  <si>
    <t>reg.20</t>
  </si>
  <si>
    <t>reg.21</t>
  </si>
  <si>
    <t>Instructions:</t>
  </si>
  <si>
    <t>reg.22</t>
  </si>
  <si>
    <t>reg.23</t>
  </si>
  <si>
    <t>reg.24</t>
  </si>
  <si>
    <t>reg.25</t>
  </si>
  <si>
    <t>FF</t>
  </si>
  <si>
    <t>RX/TX Carrier Frequency Settings</t>
  </si>
  <si>
    <t>Carrier Frequency WDS COMMANDS</t>
  </si>
  <si>
    <t>Fc</t>
  </si>
  <si>
    <t>band select</t>
  </si>
  <si>
    <t>reg.75</t>
  </si>
  <si>
    <t>[MHz]</t>
  </si>
  <si>
    <t>hbsel</t>
  </si>
  <si>
    <t>fb[4:0]</t>
  </si>
  <si>
    <t>fc[15:0}</t>
  </si>
  <si>
    <t>reg.76</t>
  </si>
  <si>
    <t>reg.77</t>
  </si>
  <si>
    <t>75h</t>
  </si>
  <si>
    <t>76h 77h</t>
  </si>
  <si>
    <t>Enter in desired frequency and program the Register Values into the appropriate SPI Registers</t>
  </si>
  <si>
    <t>TX Frequency Deviation Settings</t>
  </si>
  <si>
    <t>Desired Deviation</t>
  </si>
  <si>
    <t>Register Values</t>
  </si>
  <si>
    <t>Decimal Value</t>
  </si>
  <si>
    <t>TX Frequency Deviation WDS COMMANDS</t>
  </si>
  <si>
    <t>reg.72</t>
  </si>
  <si>
    <t>KHz</t>
  </si>
  <si>
    <t>hex</t>
  </si>
  <si>
    <t>dec.</t>
  </si>
  <si>
    <t>Enter in desired deviation and program the Register Values into the appropriate SPI Registers</t>
  </si>
  <si>
    <t>TX                 Data Rate Settings</t>
  </si>
  <si>
    <t>Desired Data-rate</t>
  </si>
  <si>
    <t>TX DATA RATE  WDS COMMANDS</t>
  </si>
  <si>
    <t>reg.6E</t>
  </si>
  <si>
    <t>txdr[15:0]</t>
  </si>
  <si>
    <t>txdtrtscale</t>
  </si>
  <si>
    <t>reg.6F</t>
  </si>
  <si>
    <t>bit</t>
  </si>
  <si>
    <t>Enter in desired Data-Rate and program the Register Values into the appropriate SPI Registers</t>
  </si>
  <si>
    <t>RX OOK Modem WDS COMMANDS</t>
  </si>
  <si>
    <t>OOK  RX                     Modem Settings</t>
  </si>
  <si>
    <t>[7:6]</t>
  </si>
  <si>
    <t>(no need to configure these)</t>
  </si>
  <si>
    <t>Reg. Address</t>
  </si>
  <si>
    <t>FIFO MODE</t>
  </si>
  <si>
    <t>PH + FIFO MODE</t>
  </si>
  <si>
    <t>Setting Value (hexa)</t>
  </si>
  <si>
    <t>WDS Command</t>
  </si>
  <si>
    <t>Take Modem Setting for FSK/GFSK</t>
  </si>
  <si>
    <t>Take Modem Setting for OOK</t>
  </si>
  <si>
    <t>1C</t>
  </si>
  <si>
    <t>These registers are for RX modem ONLY</t>
  </si>
  <si>
    <t>Information</t>
  </si>
  <si>
    <t>6E</t>
  </si>
  <si>
    <t>6F</t>
  </si>
  <si>
    <t>Modem is set to Work with the following modulation:</t>
  </si>
  <si>
    <t xml:space="preserve">TX Frequency Deviation </t>
  </si>
  <si>
    <t>TX DATA RATE</t>
  </si>
  <si>
    <t>Carrier Frequency</t>
  </si>
  <si>
    <t>1D</t>
  </si>
  <si>
    <t>default ?</t>
  </si>
  <si>
    <t>Relevant for RX settings Only</t>
  </si>
  <si>
    <t>This is the Default Value after RESET</t>
  </si>
  <si>
    <t>This value is set at the Modem Registers Calculations sheet</t>
  </si>
  <si>
    <t>(change can be done at the Modem Registers Calculations sheet)</t>
  </si>
  <si>
    <t>Operates on the entire Packet</t>
  </si>
  <si>
    <t>Select your work mode: (click box)</t>
  </si>
  <si>
    <t>This sheet condenses the registers settings contained in this file, But more are options may be available at the Data Sheet</t>
  </si>
  <si>
    <t>In order to work with DIRECT FIFO fill out the grey boxes below.</t>
  </si>
  <si>
    <t>In order to work with Packet Handling Mode + TX/RX FIFOs fill out the grey boxes below.</t>
  </si>
  <si>
    <t>DROP Down Menu</t>
  </si>
  <si>
    <t>PER</t>
  </si>
  <si>
    <t>BER</t>
  </si>
  <si>
    <t>Modem settings will be optimized for optimal sensitivity and selectivity</t>
  </si>
  <si>
    <t>Modem settings will be optimized for lowest Packet Error Rate</t>
  </si>
  <si>
    <t>reg. 71</t>
  </si>
  <si>
    <t>reg. 70</t>
  </si>
  <si>
    <t>Notices:</t>
  </si>
  <si>
    <t>Version</t>
  </si>
  <si>
    <t>TX Data CLK is available through the SDO pin</t>
  </si>
  <si>
    <t>Updated</t>
  </si>
  <si>
    <t>Version History:</t>
  </si>
  <si>
    <t>%10k/FD5kHz</t>
  </si>
  <si>
    <t>%10k/FD12kHz</t>
  </si>
  <si>
    <t>%20k/FD12kHz</t>
  </si>
  <si>
    <t>%40k/FD20kHz</t>
  </si>
  <si>
    <t>%4.8k/FD45kHz</t>
  </si>
  <si>
    <t>%50k/FD25kHz</t>
  </si>
  <si>
    <t>%9.6k/FD45kHz</t>
  </si>
  <si>
    <t>%80k/FD40kHz</t>
  </si>
  <si>
    <t>%100k/FD50kHz</t>
  </si>
  <si>
    <t>%125k/FD62.5kHz</t>
  </si>
  <si>
    <t>%128k/FD64kHz</t>
  </si>
  <si>
    <t>AFC Limiter</t>
  </si>
  <si>
    <t>AFC BW Limiter</t>
  </si>
  <si>
    <t>H=1 BW table</t>
  </si>
  <si>
    <t>reg.1D</t>
  </si>
  <si>
    <t>AFC enable</t>
  </si>
  <si>
    <t>Modulation BW</t>
  </si>
  <si>
    <t>Center Frequency</t>
  </si>
  <si>
    <t>Modem Settings</t>
  </si>
  <si>
    <t>2&lt;H&lt;10 BW table</t>
  </si>
  <si>
    <t>H&gt;10 BW table</t>
  </si>
  <si>
    <t>The modem settings obtained with the calculated settings are displayed in the orange cells</t>
  </si>
  <si>
    <t>Modulation Index</t>
  </si>
  <si>
    <t>[dBm]</t>
  </si>
  <si>
    <t>Input Power</t>
  </si>
  <si>
    <t>RX sens. estimate BER = 1E-3</t>
  </si>
  <si>
    <t>2A</t>
  </si>
  <si>
    <t>reg.2A</t>
  </si>
  <si>
    <t>OOK Counter 1</t>
  </si>
  <si>
    <t>OOK Counter 2</t>
  </si>
  <si>
    <t>Slicer PK Hold</t>
  </si>
  <si>
    <t>attack[2:0],decay[3:0]</t>
  </si>
  <si>
    <t>2Ch</t>
  </si>
  <si>
    <t>2Dh</t>
  </si>
  <si>
    <t>2Eh</t>
  </si>
  <si>
    <t>For the most applications,It is recommended to enable both peak detector and moving average detector.</t>
  </si>
  <si>
    <t>PK Detector</t>
  </si>
  <si>
    <t>MA Detector</t>
  </si>
  <si>
    <t xml:space="preserve"> enable</t>
  </si>
  <si>
    <t>2Ch[4]</t>
  </si>
  <si>
    <t>2Ch[3]</t>
  </si>
  <si>
    <t xml:space="preserve"> </t>
  </si>
  <si>
    <t>reg.2C</t>
  </si>
  <si>
    <t>reg.2D</t>
  </si>
  <si>
    <t>reg.2E</t>
  </si>
  <si>
    <t>Intial Release</t>
  </si>
  <si>
    <t>Channel filter BW</t>
  </si>
  <si>
    <t>Select Enable/Disable Manchester Mode:</t>
  </si>
  <si>
    <t>Machester DATA</t>
  </si>
  <si>
    <t>Manchester Data</t>
  </si>
  <si>
    <t>AGC ookfrzn</t>
  </si>
  <si>
    <t>2Ch[5]</t>
  </si>
  <si>
    <t>Channel spacing most be a multiple of 10kHz ranging from 10kHz to 2.55MHz.Channel number ranges from 0 to 255.</t>
  </si>
  <si>
    <t>2C</t>
  </si>
  <si>
    <t>2E</t>
  </si>
  <si>
    <t>Date</t>
  </si>
  <si>
    <t>overshoot factor</t>
  </si>
  <si>
    <t>afclimit freq.</t>
  </si>
  <si>
    <t>radio</t>
  </si>
  <si>
    <t>LUT out</t>
  </si>
  <si>
    <t>Freq Lim</t>
  </si>
  <si>
    <t>AFCadj</t>
  </si>
  <si>
    <t>Bwfactor</t>
  </si>
  <si>
    <t>AFCLim:Bwmod&lt;Tx-Rx Freq.Err</t>
  </si>
  <si>
    <t>AFCLim:Bwmod&gt;=Tx-Rx Freq.Err</t>
  </si>
  <si>
    <t>afclimit fre. Adj</t>
  </si>
  <si>
    <t>AFCLim Freq.(kHz)</t>
  </si>
  <si>
    <t>XtalFreq[kHz]</t>
  </si>
  <si>
    <t>SelectCrystalTolerance[ppm]:</t>
  </si>
  <si>
    <t>TX-RX Extreme Freq.Error</t>
  </si>
  <si>
    <t>TX side Crystal</t>
  </si>
  <si>
    <t>RX side Crystal</t>
  </si>
  <si>
    <t>AFCLim(Hex)</t>
  </si>
  <si>
    <t>FinalAFCLim(Dec)</t>
  </si>
  <si>
    <t>Max.Rb Error</t>
  </si>
  <si>
    <t xml:space="preserve">Rb offset </t>
  </si>
  <si>
    <t xml:space="preserve">For optimal modem performance it is recommended to set the rxosr to at least 6.5 or higher. </t>
  </si>
  <si>
    <t>TX-RX Crystal</t>
  </si>
  <si>
    <t>IF Frequency</t>
  </si>
  <si>
    <t xml:space="preserve"> [kHz]</t>
  </si>
  <si>
    <t>Enter in desired RX BW. The actual Rx channel filter BW may be larger than the desired RX BW.</t>
  </si>
  <si>
    <t xml:space="preserve">sw factor </t>
  </si>
  <si>
    <t>OSR/H</t>
  </si>
  <si>
    <t>AFC</t>
  </si>
  <si>
    <t>RX NCO Compensation</t>
  </si>
  <si>
    <t>2Ah[7:0]</t>
  </si>
  <si>
    <t>24h[4]</t>
  </si>
  <si>
    <t xml:space="preserve">Notes: This spread sheet calculates the register values for SI443x.The input parameters can be set in the gray cells.There are five separate Calculators for GFSK/FSK RX Modem, Carrier Frequency, TX Frequency Deviation, TX DR and OOK RX Modem
1) First,select modulation type, Enable/Disable Manchester, crystal tolerance, data rate Rb and frequency deviation Fd at Grey boxes.
2) Select RF Carrier Frequency. For the frequency hopping application, you need to specify CH spacing and CH number.
3) For GFSK/FSK, you need to select AFC Enable/Disable and specify Max. Rb error; for OOK, you need to specify RX bandwidth.
4) Go to either FIFO MODE or PH+FIFO MODE sheet and make your selectiong by configuring the boxes.
5) Registers setting summary will appear at the last sheet (REGISTERS Settings SUMMARY)
</t>
  </si>
  <si>
    <t>Est. Freq. Tolerance (SingleSided)</t>
  </si>
  <si>
    <t>Est. RX sens. BER = 1E-3</t>
  </si>
  <si>
    <t>reg.1E</t>
  </si>
  <si>
    <t>Rb[kbps]</t>
  </si>
  <si>
    <t>Legend:</t>
  </si>
  <si>
    <t>N/A - Means Not Applicable</t>
  </si>
  <si>
    <t>Enable</t>
  </si>
  <si>
    <t>Disable</t>
  </si>
  <si>
    <t>= &lt; 1%</t>
  </si>
  <si>
    <t>&gt; 1%</t>
  </si>
  <si>
    <t>OOK  RX  Modem Settings</t>
  </si>
  <si>
    <t>RF Carrier Frequency</t>
  </si>
  <si>
    <t>Frequency Deviation(kHz)</t>
  </si>
  <si>
    <t xml:space="preserve">RX/TX Carrier Frequency(MHz) </t>
  </si>
  <si>
    <t>GFSK/FSK Modem Settings</t>
  </si>
  <si>
    <t>Initial Release for B1</t>
  </si>
  <si>
    <t>for higher data rate offset</t>
  </si>
  <si>
    <t>OOK RX BW</t>
  </si>
  <si>
    <t>BCR Gear</t>
  </si>
  <si>
    <t>reg.1F</t>
  </si>
  <si>
    <t>Selected Channel filter         BW -3dB</t>
  </si>
  <si>
    <t>Nov19,2009</t>
  </si>
  <si>
    <t>V1</t>
  </si>
  <si>
    <t xml:space="preserve"> RX bandwidth selection equations have been changed</t>
  </si>
  <si>
    <t>cpcuu[7:0]</t>
  </si>
  <si>
    <t>reg. 58</t>
  </si>
  <si>
    <t>reg.69</t>
  </si>
  <si>
    <t>V2</t>
  </si>
  <si>
    <t>added Reg.58 and Reg.69</t>
  </si>
  <si>
    <t>Range Checker</t>
  </si>
  <si>
    <t>Carrier Freq.</t>
  </si>
  <si>
    <t>Data Rate</t>
  </si>
  <si>
    <t>OSR</t>
  </si>
  <si>
    <t>ook Rb</t>
  </si>
  <si>
    <t>OSR-DEC</t>
  </si>
  <si>
    <t>OSR-DEC-ook</t>
  </si>
  <si>
    <t>Dec.21,2009</t>
  </si>
  <si>
    <t>V4</t>
  </si>
  <si>
    <t>1)The cell F10 on the ook_table page contains the value “F” in V1.   It is changed to “15” in V3</t>
  </si>
  <si>
    <r>
      <t>2)</t>
    </r>
    <r>
      <rPr>
        <sz val="7"/>
        <color indexed="18"/>
        <rFont val="Times New Roman"/>
        <family val="1"/>
      </rPr>
      <t xml:space="preserve">       </t>
    </r>
    <r>
      <rPr>
        <sz val="11"/>
        <color indexed="48"/>
        <rFont val="Calibri"/>
        <family val="2"/>
      </rPr>
      <t> The cell E6 on bwtable has the equation “crgain_factor = IF('Modem Registers Calculations'!$L$9=100,2,1)” in V1.   </t>
    </r>
    <r>
      <rPr>
        <sz val="10"/>
        <color indexed="48"/>
        <rFont val="Arial"/>
        <family val="2"/>
      </rPr>
      <t>“</t>
    </r>
    <r>
      <rPr>
        <sz val="11"/>
        <color indexed="48"/>
        <rFont val="Calibri"/>
        <family val="2"/>
      </rPr>
      <t>crgain_factor” is removed and factor “2” is added to 'Modem Registers Calculations'!$G$62’ in V3.</t>
    </r>
  </si>
  <si>
    <r>
      <t>3)</t>
    </r>
    <r>
      <rPr>
        <sz val="7"/>
        <color indexed="18"/>
        <rFont val="Times New Roman"/>
        <family val="1"/>
      </rPr>
      <t xml:space="preserve">       </t>
    </r>
    <r>
      <rPr>
        <sz val="11"/>
        <color indexed="48"/>
        <rFont val="Calibri"/>
        <family val="2"/>
      </rPr>
      <t> The E3 cell on the ook_table page was blank in V1.    It is filled in zero in V3.</t>
    </r>
  </si>
  <si>
    <r>
      <t>4)</t>
    </r>
    <r>
      <rPr>
        <sz val="7"/>
        <color indexed="18"/>
        <rFont val="Times New Roman"/>
        <family val="1"/>
      </rPr>
      <t xml:space="preserve">       </t>
    </r>
    <r>
      <rPr>
        <sz val="11"/>
        <color indexed="48"/>
        <rFont val="Calibri"/>
        <family val="2"/>
      </rPr>
      <t> Lookup function in 'Modem Registers Calculations'!$B$62($C$62/ $D$62)  looks up to line 60 in V1.  Lookup function in 'Modem Registers Calculations'!$B$62($C$62/ $D$62)  looks up to line 61 in V3</t>
    </r>
  </si>
  <si>
    <r>
      <t>5)</t>
    </r>
    <r>
      <rPr>
        <sz val="7"/>
        <color indexed="18"/>
        <rFont val="Times New Roman"/>
        <family val="1"/>
      </rPr>
      <t xml:space="preserve">       </t>
    </r>
    <r>
      <rPr>
        <sz val="11"/>
        <color indexed="48"/>
        <rFont val="Calibri"/>
        <family val="2"/>
      </rPr>
      <t> </t>
    </r>
    <r>
      <rPr>
        <sz val="10"/>
        <color indexed="48"/>
        <rFont val="Arial"/>
        <family val="2"/>
      </rPr>
      <t>There is no reg.58 and reg.69 in V1.  The reg.58 and reg.69 are added in calculator in V3. They will be in cell  k37, L37,M37, k63,L63,M63, k79,L79 and M79.</t>
    </r>
  </si>
  <si>
    <t>B5</t>
  </si>
  <si>
    <t>6B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</si>
</sst>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0" x14ac:knownFonts="1">
    <font>
      <sz val="10"/>
      <name val="Arial"/>
    </font>
    <font>
      <sz val="8"/>
      <name val="Arial"/>
      <family val="2"/>
    </font>
    <font>
      <sz val="12"/>
      <name val="Times New Roman"/>
      <family val="1"/>
    </font>
    <font>
      <b/>
      <sz val="10"/>
      <name val="Arial"/>
      <family val="2"/>
    </font>
    <font>
      <b/>
      <sz val="10"/>
      <color indexed="12"/>
      <name val="Arial"/>
      <family val="2"/>
    </font>
    <font>
      <b/>
      <sz val="10"/>
      <color indexed="10"/>
      <name val="Arial"/>
      <family val="2"/>
    </font>
    <font>
      <sz val="10"/>
      <name val="Arial"/>
      <family val="2"/>
    </font>
    <font>
      <b/>
      <sz val="12"/>
      <color indexed="10"/>
      <name val="Arial"/>
      <family val="2"/>
    </font>
    <font>
      <b/>
      <sz val="12"/>
      <name val="Arial"/>
      <family val="2"/>
    </font>
    <font>
      <b/>
      <sz val="14"/>
      <color indexed="10"/>
      <name val="Arial"/>
      <family val="2"/>
    </font>
    <font>
      <b/>
      <sz val="12"/>
      <color indexed="12"/>
      <name val="Arial"/>
      <family val="2"/>
    </font>
    <font>
      <b/>
      <sz val="16"/>
      <color indexed="12"/>
      <name val="Arial"/>
      <family val="2"/>
    </font>
    <font>
      <b/>
      <sz val="11"/>
      <color indexed="10"/>
      <name val="Arial"/>
      <family val="2"/>
    </font>
    <font>
      <b/>
      <sz val="10"/>
      <color indexed="61"/>
      <name val="Arial"/>
      <family val="2"/>
    </font>
    <font>
      <b/>
      <sz val="10"/>
      <color indexed="19"/>
      <name val="Arial"/>
      <family val="2"/>
    </font>
    <font>
      <b/>
      <sz val="14"/>
      <color indexed="19"/>
      <name val="Arial"/>
      <family val="2"/>
    </font>
    <font>
      <b/>
      <sz val="16"/>
      <color indexed="61"/>
      <name val="Arial"/>
      <family val="2"/>
    </font>
    <font>
      <sz val="18"/>
      <color indexed="10"/>
      <name val="Arial"/>
      <family val="2"/>
    </font>
    <font>
      <b/>
      <sz val="10"/>
      <color indexed="20"/>
      <name val="Arial"/>
      <family val="2"/>
    </font>
    <font>
      <sz val="16"/>
      <name val="Arial"/>
      <family val="2"/>
    </font>
    <font>
      <sz val="12"/>
      <color indexed="8"/>
      <name val="Times New Roman"/>
      <family val="1"/>
    </font>
    <font>
      <b/>
      <sz val="10"/>
      <name val="Arial"/>
      <family val="2"/>
    </font>
    <font>
      <sz val="10"/>
      <color indexed="10"/>
      <name val="Arial"/>
      <family val="2"/>
    </font>
    <font>
      <sz val="10"/>
      <color indexed="12"/>
      <name val="Arial"/>
      <family val="2"/>
    </font>
    <font>
      <b/>
      <sz val="16"/>
      <color indexed="17"/>
      <name val="Arial"/>
      <family val="2"/>
    </font>
    <font>
      <b/>
      <sz val="16"/>
      <name val="Arial"/>
      <family val="2"/>
    </font>
    <font>
      <sz val="11"/>
      <color indexed="10"/>
      <name val="Arial"/>
      <family val="2"/>
    </font>
    <font>
      <b/>
      <sz val="11"/>
      <name val="Arial"/>
      <family val="2"/>
    </font>
    <font>
      <b/>
      <sz val="9"/>
      <name val="Arial"/>
      <family val="2"/>
    </font>
    <font>
      <sz val="11"/>
      <name val="Arial"/>
      <family val="2"/>
    </font>
    <font>
      <b/>
      <sz val="8"/>
      <color indexed="12"/>
      <name val="Arial"/>
      <family val="2"/>
    </font>
    <font>
      <b/>
      <u/>
      <sz val="10"/>
      <name val="Arial"/>
      <family val="2"/>
    </font>
    <font>
      <sz val="12"/>
      <name val="Arial"/>
      <family val="2"/>
    </font>
    <font>
      <sz val="10"/>
      <color indexed="10"/>
      <name val="Arial"/>
      <family val="2"/>
    </font>
    <font>
      <b/>
      <sz val="11"/>
      <color indexed="12"/>
      <name val="Arial"/>
      <family val="2"/>
    </font>
    <font>
      <sz val="11"/>
      <color indexed="62"/>
      <name val="Calibri"/>
      <family val="2"/>
    </font>
    <font>
      <sz val="11"/>
      <color indexed="48"/>
      <name val="Calibri"/>
      <family val="2"/>
    </font>
    <font>
      <sz val="10"/>
      <color indexed="18"/>
      <name val="Arial"/>
      <family val="2"/>
    </font>
    <font>
      <sz val="7"/>
      <color indexed="18"/>
      <name val="Times New Roman"/>
      <family val="1"/>
    </font>
    <font>
      <sz val="10"/>
      <color indexed="48"/>
      <name val="Arial"/>
      <family val="2"/>
    </font>
  </fonts>
  <fills count="11">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indexed="46"/>
        <bgColor indexed="64"/>
      </patternFill>
    </fill>
    <fill>
      <patternFill patternType="solid">
        <fgColor indexed="47"/>
        <bgColor indexed="64"/>
      </patternFill>
    </fill>
    <fill>
      <patternFill patternType="solid">
        <fgColor indexed="26"/>
        <bgColor indexed="64"/>
      </patternFill>
    </fill>
    <fill>
      <patternFill patternType="solid">
        <fgColor indexed="13"/>
        <bgColor indexed="64"/>
      </patternFill>
    </fill>
    <fill>
      <patternFill patternType="solid">
        <fgColor indexed="53"/>
        <bgColor indexed="64"/>
      </patternFill>
    </fill>
  </fills>
  <borders count="84">
    <border>
      <left/>
      <right/>
      <top/>
      <bottom/>
      <diagonal/>
    </border>
    <border>
      <left style="thin">
        <color indexed="63"/>
      </left>
      <right style="thin">
        <color indexed="63"/>
      </right>
      <top style="thin">
        <color indexed="63"/>
      </top>
      <bottom style="thin">
        <color indexed="63"/>
      </bottom>
      <diagonal/>
    </border>
    <border>
      <left style="hair">
        <color indexed="22"/>
      </left>
      <right/>
      <top style="hair">
        <color indexed="22"/>
      </top>
      <bottom style="hair">
        <color indexed="22"/>
      </bottom>
      <diagonal/>
    </border>
    <border>
      <left style="thin">
        <color indexed="63"/>
      </left>
      <right/>
      <top style="thin">
        <color indexed="63"/>
      </top>
      <bottom style="thin">
        <color indexed="63"/>
      </bottom>
      <diagonal/>
    </border>
    <border>
      <left style="medium">
        <color indexed="63"/>
      </left>
      <right style="thin">
        <color indexed="63"/>
      </right>
      <top style="thin">
        <color indexed="63"/>
      </top>
      <bottom style="thin">
        <color indexed="63"/>
      </bottom>
      <diagonal/>
    </border>
    <border>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thin">
        <color indexed="63"/>
      </left>
      <right style="thin">
        <color indexed="63"/>
      </right>
      <top style="thin">
        <color indexed="63"/>
      </top>
      <bottom style="medium">
        <color indexed="63"/>
      </bottom>
      <diagonal/>
    </border>
    <border>
      <left style="thin">
        <color indexed="63"/>
      </left>
      <right/>
      <top style="thin">
        <color indexed="63"/>
      </top>
      <bottom style="medium">
        <color indexed="63"/>
      </bottom>
      <diagonal/>
    </border>
    <border>
      <left style="medium">
        <color indexed="63"/>
      </left>
      <right style="thin">
        <color indexed="63"/>
      </right>
      <top style="thin">
        <color indexed="63"/>
      </top>
      <bottom style="medium">
        <color indexed="63"/>
      </bottom>
      <diagonal/>
    </border>
    <border>
      <left style="thin">
        <color indexed="63"/>
      </left>
      <right style="thin">
        <color indexed="63"/>
      </right>
      <top style="medium">
        <color indexed="63"/>
      </top>
      <bottom style="thin">
        <color indexed="63"/>
      </bottom>
      <diagonal/>
    </border>
    <border>
      <left style="thin">
        <color indexed="63"/>
      </left>
      <right style="thin">
        <color indexed="63"/>
      </right>
      <top/>
      <bottom style="thin">
        <color indexed="63"/>
      </bottom>
      <diagonal/>
    </border>
    <border>
      <left style="thin">
        <color indexed="63"/>
      </left>
      <right/>
      <top/>
      <bottom style="thin">
        <color indexed="63"/>
      </bottom>
      <diagonal/>
    </border>
    <border>
      <left style="medium">
        <color indexed="63"/>
      </left>
      <right style="thin">
        <color indexed="63"/>
      </right>
      <top style="medium">
        <color indexed="63"/>
      </top>
      <bottom style="thin">
        <color indexed="63"/>
      </bottom>
      <diagonal/>
    </border>
    <border>
      <left style="thin">
        <color indexed="63"/>
      </left>
      <right style="thin">
        <color indexed="63"/>
      </right>
      <top/>
      <bottom style="medium">
        <color indexed="63"/>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thin">
        <color indexed="64"/>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thin">
        <color indexed="8"/>
      </right>
      <top/>
      <bottom style="thin">
        <color indexed="64"/>
      </bottom>
      <diagonal/>
    </border>
    <border>
      <left/>
      <right style="thin">
        <color indexed="8"/>
      </right>
      <top style="thin">
        <color indexed="8"/>
      </top>
      <bottom style="thin">
        <color indexed="8"/>
      </bottom>
      <diagonal/>
    </border>
    <border>
      <left style="medium">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medium">
        <color indexed="64"/>
      </left>
      <right style="medium">
        <color indexed="64"/>
      </right>
      <top style="thick">
        <color indexed="64"/>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style="thin">
        <color indexed="63"/>
      </top>
      <bottom style="thin">
        <color indexed="63"/>
      </bottom>
      <diagonal/>
    </border>
    <border>
      <left style="medium">
        <color indexed="63"/>
      </left>
      <right/>
      <top style="thin">
        <color indexed="63"/>
      </top>
      <bottom style="thin">
        <color indexed="63"/>
      </bottom>
      <diagonal/>
    </border>
    <border>
      <left/>
      <right style="thin">
        <color indexed="63"/>
      </right>
      <top style="thin">
        <color indexed="63"/>
      </top>
      <bottom style="thin">
        <color indexed="63"/>
      </bottom>
      <diagonal/>
    </border>
    <border>
      <left/>
      <right/>
      <top style="thin">
        <color indexed="63"/>
      </top>
      <bottom style="medium">
        <color indexed="63"/>
      </bottom>
      <diagonal/>
    </border>
    <border>
      <left/>
      <right style="thin">
        <color indexed="63"/>
      </right>
      <top style="thin">
        <color indexed="63"/>
      </top>
      <bottom style="medium">
        <color indexed="63"/>
      </bottom>
      <diagonal/>
    </border>
    <border>
      <left/>
      <right/>
      <top/>
      <bottom style="thin">
        <color indexed="63"/>
      </bottom>
      <diagonal/>
    </border>
    <border>
      <left style="medium">
        <color indexed="63"/>
      </left>
      <right/>
      <top/>
      <bottom style="thin">
        <color indexed="63"/>
      </bottom>
      <diagonal/>
    </border>
    <border>
      <left/>
      <right style="thin">
        <color indexed="63"/>
      </right>
      <top/>
      <bottom style="thin">
        <color indexed="63"/>
      </bottom>
      <diagonal/>
    </border>
  </borders>
  <cellStyleXfs count="1">
    <xf numFmtId="0" fontId="0" fillId="0" borderId="0"/>
  </cellStyleXfs>
  <cellXfs count="493">
    <xf numFmtId="0" fontId="0" fillId="0" borderId="0" xfId="0"/>
    <xf numFmtId="49" fontId="0" fillId="0" borderId="0" xfId="0" applyNumberFormat="1"/>
    <xf numFmtId="0" fontId="0" fillId="0" borderId="0" xfId="0" applyAlignment="1">
      <alignment vertical="distributed" wrapText="1"/>
    </xf>
    <xf numFmtId="0" fontId="0" fillId="0" borderId="0" xfId="0" applyAlignment="1">
      <alignment horizontal="center"/>
    </xf>
    <xf numFmtId="0" fontId="0" fillId="0" borderId="0" xfId="0" applyAlignment="1">
      <alignment horizontal="center" vertical="distributed" wrapText="1"/>
    </xf>
    <xf numFmtId="0" fontId="5" fillId="0" borderId="0" xfId="0" applyFont="1"/>
    <xf numFmtId="0" fontId="6" fillId="0" borderId="0" xfId="0" applyFont="1" applyAlignment="1">
      <alignment horizontal="center" vertical="center" wrapText="1"/>
    </xf>
    <xf numFmtId="0" fontId="6" fillId="0" borderId="0" xfId="0" applyFont="1" applyAlignment="1">
      <alignment horizontal="center" vertical="justify"/>
    </xf>
    <xf numFmtId="0" fontId="6" fillId="0" borderId="0" xfId="0" applyFont="1"/>
    <xf numFmtId="3" fontId="0" fillId="0" borderId="0" xfId="0" applyNumberFormat="1" applyAlignment="1">
      <alignment horizontal="center"/>
    </xf>
    <xf numFmtId="0" fontId="0" fillId="2" borderId="1" xfId="0" applyFill="1" applyBorder="1" applyAlignment="1">
      <alignment horizontal="center"/>
    </xf>
    <xf numFmtId="0" fontId="0" fillId="3" borderId="2" xfId="0" applyFill="1" applyBorder="1"/>
    <xf numFmtId="0" fontId="0" fillId="2" borderId="3" xfId="0" applyFill="1" applyBorder="1" applyAlignment="1">
      <alignment horizontal="center"/>
    </xf>
    <xf numFmtId="0" fontId="0" fillId="2"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0" borderId="0" xfId="0"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3" borderId="10" xfId="0" applyFill="1" applyBorder="1" applyAlignment="1">
      <alignment horizontal="center" vertical="center"/>
    </xf>
    <xf numFmtId="2" fontId="0" fillId="3" borderId="11" xfId="0" applyNumberFormat="1" applyFill="1" applyBorder="1" applyAlignment="1">
      <alignment horizontal="center" vertical="center"/>
    </xf>
    <xf numFmtId="0" fontId="0" fillId="3" borderId="12" xfId="0" applyFill="1" applyBorder="1" applyAlignment="1">
      <alignment horizontal="center" vertical="center"/>
    </xf>
    <xf numFmtId="0" fontId="0" fillId="3" borderId="13" xfId="0" applyFill="1" applyBorder="1" applyAlignment="1">
      <alignment horizontal="center" vertical="center"/>
    </xf>
    <xf numFmtId="0" fontId="0" fillId="3" borderId="5" xfId="0" applyFill="1" applyBorder="1"/>
    <xf numFmtId="2" fontId="0" fillId="3" borderId="6" xfId="0" applyNumberFormat="1" applyFill="1" applyBorder="1" applyAlignment="1">
      <alignment horizontal="center"/>
    </xf>
    <xf numFmtId="0" fontId="0" fillId="3" borderId="6" xfId="0" applyFill="1" applyBorder="1"/>
    <xf numFmtId="0" fontId="0" fillId="0" borderId="0" xfId="0" applyBorder="1"/>
    <xf numFmtId="0" fontId="0" fillId="3" borderId="11" xfId="0" applyFill="1" applyBorder="1" applyAlignment="1">
      <alignment horizontal="center" vertical="center"/>
    </xf>
    <xf numFmtId="0" fontId="0" fillId="3" borderId="14" xfId="0" applyFill="1" applyBorder="1" applyAlignment="1">
      <alignment horizontal="center" vertical="center"/>
    </xf>
    <xf numFmtId="2" fontId="0" fillId="3" borderId="14" xfId="0" applyNumberFormat="1" applyFill="1" applyBorder="1" applyAlignment="1">
      <alignment horizontal="center" vertical="center"/>
    </xf>
    <xf numFmtId="0" fontId="0" fillId="3" borderId="7" xfId="0" applyFill="1" applyBorder="1" applyAlignment="1">
      <alignment horizontal="center" vertical="center"/>
    </xf>
    <xf numFmtId="2" fontId="0" fillId="3" borderId="7" xfId="0" applyNumberFormat="1" applyFill="1" applyBorder="1" applyAlignment="1">
      <alignment horizontal="center" vertical="center"/>
    </xf>
    <xf numFmtId="0" fontId="0" fillId="3" borderId="15" xfId="0" applyFill="1" applyBorder="1"/>
    <xf numFmtId="0" fontId="0" fillId="3" borderId="16" xfId="0" applyFill="1" applyBorder="1"/>
    <xf numFmtId="2" fontId="0" fillId="3" borderId="10" xfId="0" applyNumberFormat="1" applyFill="1" applyBorder="1" applyAlignment="1">
      <alignment horizontal="center" vertical="center"/>
    </xf>
    <xf numFmtId="0" fontId="0" fillId="3" borderId="17" xfId="0" applyFill="1" applyBorder="1"/>
    <xf numFmtId="0" fontId="3" fillId="3" borderId="17" xfId="0" applyFont="1" applyFill="1" applyBorder="1" applyAlignment="1">
      <alignment vertical="center"/>
    </xf>
    <xf numFmtId="0" fontId="3" fillId="3" borderId="18" xfId="0" applyFont="1" applyFill="1" applyBorder="1" applyAlignment="1">
      <alignment vertical="center"/>
    </xf>
    <xf numFmtId="0" fontId="0" fillId="3" borderId="19" xfId="0" applyFill="1" applyBorder="1" applyAlignment="1">
      <alignment vertical="center"/>
    </xf>
    <xf numFmtId="0" fontId="0" fillId="2" borderId="20" xfId="0" applyFill="1" applyBorder="1" applyAlignment="1">
      <alignment horizontal="center"/>
    </xf>
    <xf numFmtId="0" fontId="0" fillId="2" borderId="21" xfId="0" applyFill="1" applyBorder="1" applyAlignment="1">
      <alignment horizontal="center"/>
    </xf>
    <xf numFmtId="0" fontId="0" fillId="2" borderId="22" xfId="0" applyFill="1" applyBorder="1" applyAlignment="1">
      <alignment horizontal="center"/>
    </xf>
    <xf numFmtId="0" fontId="0" fillId="2" borderId="23" xfId="0" applyFill="1" applyBorder="1" applyAlignment="1">
      <alignment horizontal="center"/>
    </xf>
    <xf numFmtId="0" fontId="0" fillId="4" borderId="24" xfId="0" applyFill="1" applyBorder="1" applyAlignment="1">
      <alignment horizontal="center"/>
    </xf>
    <xf numFmtId="0" fontId="0" fillId="4" borderId="25" xfId="0" applyFill="1" applyBorder="1" applyAlignment="1">
      <alignment horizontal="center"/>
    </xf>
    <xf numFmtId="0" fontId="0" fillId="2" borderId="26" xfId="0" applyFill="1" applyBorder="1" applyAlignment="1">
      <alignment horizontal="center"/>
    </xf>
    <xf numFmtId="0" fontId="0" fillId="2" borderId="27" xfId="0" applyFill="1" applyBorder="1" applyAlignment="1">
      <alignment horizontal="center"/>
    </xf>
    <xf numFmtId="0" fontId="0" fillId="2" borderId="28" xfId="0" applyFill="1" applyBorder="1" applyAlignment="1">
      <alignment horizontal="center"/>
    </xf>
    <xf numFmtId="0" fontId="0" fillId="2" borderId="25" xfId="0" applyFill="1" applyBorder="1" applyAlignment="1">
      <alignment horizontal="center"/>
    </xf>
    <xf numFmtId="0" fontId="0" fillId="3" borderId="29" xfId="0" applyFill="1" applyBorder="1" applyAlignment="1">
      <alignment horizontal="center"/>
    </xf>
    <xf numFmtId="0" fontId="0" fillId="3" borderId="30" xfId="0" applyFill="1" applyBorder="1" applyAlignment="1">
      <alignment horizontal="center" vertical="center"/>
    </xf>
    <xf numFmtId="0" fontId="0" fillId="3" borderId="31" xfId="0" applyFill="1" applyBorder="1" applyAlignment="1">
      <alignment horizontal="center" vertical="center"/>
    </xf>
    <xf numFmtId="0" fontId="0" fillId="3" borderId="29" xfId="0" applyFill="1" applyBorder="1" applyAlignment="1">
      <alignment horizontal="center" vertical="center"/>
    </xf>
    <xf numFmtId="0" fontId="0" fillId="5" borderId="32" xfId="0" applyFill="1" applyBorder="1" applyAlignment="1">
      <alignment horizontal="center"/>
    </xf>
    <xf numFmtId="0" fontId="0" fillId="4" borderId="33" xfId="0" applyFill="1" applyBorder="1" applyAlignment="1">
      <alignment horizontal="center"/>
    </xf>
    <xf numFmtId="2" fontId="0" fillId="4" borderId="32" xfId="0" applyNumberFormat="1" applyFill="1" applyBorder="1" applyAlignment="1">
      <alignment horizont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3" borderId="22" xfId="0" applyFill="1" applyBorder="1" applyAlignment="1">
      <alignment horizontal="center" vertical="center"/>
    </xf>
    <xf numFmtId="0" fontId="0" fillId="0" borderId="20" xfId="0" applyBorder="1" applyAlignment="1">
      <alignment horizontal="center"/>
    </xf>
    <xf numFmtId="0" fontId="20" fillId="0" borderId="20" xfId="0" applyFont="1" applyBorder="1" applyAlignment="1">
      <alignment horizontal="center" wrapText="1"/>
    </xf>
    <xf numFmtId="0" fontId="20" fillId="0" borderId="20" xfId="0" applyFont="1" applyFill="1" applyBorder="1" applyAlignment="1">
      <alignment horizontal="center" wrapText="1"/>
    </xf>
    <xf numFmtId="0" fontId="0" fillId="0" borderId="0" xfId="0" applyProtection="1">
      <protection hidden="1"/>
    </xf>
    <xf numFmtId="0" fontId="0" fillId="6" borderId="34" xfId="0" applyFill="1" applyBorder="1" applyAlignment="1" applyProtection="1">
      <alignment horizontal="center"/>
      <protection hidden="1"/>
    </xf>
    <xf numFmtId="0" fontId="0" fillId="0" borderId="0" xfId="0" applyAlignment="1" applyProtection="1">
      <alignment horizontal="center"/>
      <protection hidden="1"/>
    </xf>
    <xf numFmtId="0" fontId="0" fillId="2" borderId="24" xfId="0" applyFill="1" applyBorder="1" applyAlignment="1" applyProtection="1">
      <alignment horizontal="center"/>
      <protection hidden="1"/>
    </xf>
    <xf numFmtId="0" fontId="0" fillId="2" borderId="0" xfId="0" applyFill="1" applyBorder="1" applyAlignment="1" applyProtection="1">
      <alignment horizontal="center"/>
      <protection hidden="1"/>
    </xf>
    <xf numFmtId="0" fontId="0" fillId="6" borderId="0" xfId="0" applyFill="1" applyBorder="1" applyAlignment="1" applyProtection="1">
      <alignment horizontal="center"/>
      <protection hidden="1"/>
    </xf>
    <xf numFmtId="0" fontId="0" fillId="7" borderId="0" xfId="0" applyFill="1" applyBorder="1" applyAlignment="1" applyProtection="1">
      <alignment horizontal="center"/>
      <protection hidden="1"/>
    </xf>
    <xf numFmtId="0" fontId="0" fillId="7" borderId="25" xfId="0" applyFill="1" applyBorder="1" applyAlignment="1" applyProtection="1">
      <alignment horizontal="center"/>
      <protection hidden="1"/>
    </xf>
    <xf numFmtId="0" fontId="0" fillId="2" borderId="0" xfId="0" applyFill="1" applyProtection="1">
      <protection hidden="1"/>
    </xf>
    <xf numFmtId="0" fontId="0" fillId="6" borderId="35" xfId="0" applyFill="1" applyBorder="1" applyAlignment="1" applyProtection="1">
      <alignment horizontal="center"/>
      <protection hidden="1"/>
    </xf>
    <xf numFmtId="0" fontId="0" fillId="7" borderId="32" xfId="0" applyFill="1" applyBorder="1" applyAlignment="1" applyProtection="1">
      <alignment horizontal="center"/>
      <protection hidden="1"/>
    </xf>
    <xf numFmtId="0" fontId="0" fillId="0" borderId="0" xfId="0" applyBorder="1" applyProtection="1">
      <protection hidden="1"/>
    </xf>
    <xf numFmtId="0" fontId="0" fillId="0" borderId="0" xfId="0" applyFill="1" applyBorder="1" applyAlignment="1" applyProtection="1">
      <alignment horizontal="center"/>
      <protection hidden="1"/>
    </xf>
    <xf numFmtId="2" fontId="0" fillId="0" borderId="0" xfId="0" applyNumberFormat="1" applyFill="1" applyBorder="1" applyAlignment="1" applyProtection="1">
      <alignment horizontal="center"/>
      <protection hidden="1"/>
    </xf>
    <xf numFmtId="0" fontId="0" fillId="0" borderId="20" xfId="0" applyBorder="1" applyAlignment="1" applyProtection="1">
      <alignment horizontal="center"/>
      <protection hidden="1"/>
    </xf>
    <xf numFmtId="0" fontId="0" fillId="0" borderId="0" xfId="0" applyFill="1" applyBorder="1" applyProtection="1">
      <protection hidden="1"/>
    </xf>
    <xf numFmtId="0" fontId="0" fillId="8" borderId="36" xfId="0" applyFill="1" applyBorder="1" applyProtection="1">
      <protection hidden="1"/>
    </xf>
    <xf numFmtId="0" fontId="0" fillId="8" borderId="23" xfId="0" applyFill="1" applyBorder="1" applyProtection="1">
      <protection hidden="1"/>
    </xf>
    <xf numFmtId="0" fontId="0" fillId="8" borderId="0" xfId="0" applyFill="1" applyBorder="1" applyProtection="1">
      <protection hidden="1"/>
    </xf>
    <xf numFmtId="0" fontId="0" fillId="8" borderId="25" xfId="0" applyFill="1" applyBorder="1" applyProtection="1">
      <protection hidden="1"/>
    </xf>
    <xf numFmtId="0" fontId="0" fillId="8" borderId="35" xfId="0" applyFill="1" applyBorder="1" applyProtection="1">
      <protection hidden="1"/>
    </xf>
    <xf numFmtId="0" fontId="0" fillId="8" borderId="32" xfId="0" applyFill="1" applyBorder="1" applyProtection="1">
      <protection hidden="1"/>
    </xf>
    <xf numFmtId="0" fontId="0" fillId="0" borderId="0" xfId="0" applyBorder="1" applyAlignment="1" applyProtection="1">
      <alignment horizontal="center"/>
      <protection hidden="1"/>
    </xf>
    <xf numFmtId="0" fontId="0" fillId="6" borderId="37" xfId="0" applyFill="1" applyBorder="1" applyAlignment="1" applyProtection="1">
      <alignment horizontal="center"/>
      <protection hidden="1"/>
    </xf>
    <xf numFmtId="0" fontId="0" fillId="0" borderId="38" xfId="0" applyFill="1" applyBorder="1" applyAlignment="1" applyProtection="1">
      <alignment horizontal="center"/>
      <protection hidden="1"/>
    </xf>
    <xf numFmtId="0" fontId="0" fillId="0" borderId="38" xfId="0" applyBorder="1" applyAlignment="1" applyProtection="1">
      <alignment horizontal="center"/>
      <protection hidden="1"/>
    </xf>
    <xf numFmtId="0" fontId="0" fillId="2" borderId="0" xfId="0" applyFill="1" applyAlignment="1" applyProtection="1">
      <alignment horizontal="center"/>
      <protection hidden="1"/>
    </xf>
    <xf numFmtId="0" fontId="0" fillId="7" borderId="37" xfId="0" applyFill="1" applyBorder="1" applyAlignment="1" applyProtection="1">
      <alignment horizontal="center"/>
      <protection hidden="1"/>
    </xf>
    <xf numFmtId="0" fontId="0" fillId="7" borderId="34" xfId="0" applyFill="1" applyBorder="1" applyAlignment="1" applyProtection="1">
      <alignment horizontal="center"/>
      <protection hidden="1"/>
    </xf>
    <xf numFmtId="0" fontId="0" fillId="2" borderId="36" xfId="0" applyFill="1" applyBorder="1" applyAlignment="1" applyProtection="1">
      <alignment horizontal="center"/>
      <protection hidden="1"/>
    </xf>
    <xf numFmtId="0" fontId="3" fillId="0" borderId="0" xfId="0" applyFont="1" applyFill="1" applyBorder="1" applyAlignment="1" applyProtection="1">
      <alignment vertical="center"/>
      <protection hidden="1"/>
    </xf>
    <xf numFmtId="0" fontId="0" fillId="0" borderId="20" xfId="0" applyFill="1" applyBorder="1" applyAlignment="1" applyProtection="1">
      <alignment horizontal="center"/>
      <protection hidden="1"/>
    </xf>
    <xf numFmtId="0" fontId="3" fillId="5" borderId="39" xfId="0" applyFont="1" applyFill="1" applyBorder="1" applyAlignment="1" applyProtection="1">
      <alignment horizontal="center" vertical="center" wrapText="1"/>
      <protection locked="0"/>
    </xf>
    <xf numFmtId="0" fontId="12" fillId="0" borderId="0" xfId="0" applyFont="1" applyProtection="1">
      <protection hidden="1"/>
    </xf>
    <xf numFmtId="0" fontId="3" fillId="0" borderId="0" xfId="0" applyFont="1" applyProtection="1">
      <protection hidden="1"/>
    </xf>
    <xf numFmtId="0" fontId="18" fillId="0" borderId="0" xfId="0" applyFont="1" applyAlignment="1" applyProtection="1">
      <alignment vertical="center"/>
      <protection hidden="1"/>
    </xf>
    <xf numFmtId="0" fontId="17" fillId="0" borderId="0" xfId="0" applyFont="1" applyProtection="1">
      <protection hidden="1"/>
    </xf>
    <xf numFmtId="0" fontId="9" fillId="0" borderId="0" xfId="0" applyFont="1" applyAlignment="1" applyProtection="1">
      <alignment horizontal="left" vertical="center"/>
      <protection hidden="1"/>
    </xf>
    <xf numFmtId="0" fontId="10" fillId="0" borderId="0" xfId="0" applyFont="1" applyAlignment="1" applyProtection="1">
      <alignment horizontal="center" vertical="center" wrapText="1"/>
      <protection hidden="1"/>
    </xf>
    <xf numFmtId="0" fontId="11" fillId="0" borderId="0" xfId="0" applyFont="1" applyAlignment="1" applyProtection="1">
      <alignment horizontal="center" vertical="center"/>
      <protection hidden="1"/>
    </xf>
    <xf numFmtId="0" fontId="3" fillId="4" borderId="39" xfId="0" applyFont="1" applyFill="1" applyBorder="1" applyAlignment="1" applyProtection="1">
      <alignment horizontal="left" vertical="center"/>
      <protection hidden="1"/>
    </xf>
    <xf numFmtId="0" fontId="3" fillId="4" borderId="40" xfId="0" applyFont="1" applyFill="1" applyBorder="1" applyAlignment="1" applyProtection="1">
      <alignment horizontal="center" vertical="center" wrapText="1"/>
      <protection hidden="1"/>
    </xf>
    <xf numFmtId="0" fontId="6" fillId="0" borderId="0" xfId="0" applyFont="1" applyAlignment="1" applyProtection="1">
      <alignment horizontal="center" vertical="justify"/>
      <protection hidden="1"/>
    </xf>
    <xf numFmtId="0" fontId="3" fillId="7" borderId="31" xfId="0" applyFont="1" applyFill="1" applyBorder="1" applyAlignment="1" applyProtection="1">
      <alignment horizontal="center" vertical="distributed" wrapText="1"/>
      <protection hidden="1"/>
    </xf>
    <xf numFmtId="0" fontId="3" fillId="7" borderId="41" xfId="0" applyFont="1" applyFill="1" applyBorder="1" applyAlignment="1" applyProtection="1">
      <alignment horizontal="center" vertical="center" wrapText="1"/>
      <protection hidden="1"/>
    </xf>
    <xf numFmtId="0" fontId="3" fillId="5" borderId="42" xfId="0" applyFont="1" applyFill="1" applyBorder="1" applyAlignment="1" applyProtection="1">
      <alignment horizontal="center" vertical="center"/>
      <protection hidden="1"/>
    </xf>
    <xf numFmtId="0" fontId="0" fillId="0" borderId="0" xfId="0" applyAlignment="1" applyProtection="1">
      <alignment vertical="distributed" wrapText="1"/>
      <protection hidden="1"/>
    </xf>
    <xf numFmtId="0" fontId="6" fillId="0" borderId="0" xfId="0" applyFont="1" applyAlignment="1" applyProtection="1">
      <alignment horizontal="left" vertical="center" wrapText="1"/>
      <protection hidden="1"/>
    </xf>
    <xf numFmtId="0" fontId="3" fillId="7" borderId="22" xfId="0" applyFont="1" applyFill="1" applyBorder="1" applyAlignment="1" applyProtection="1">
      <alignment horizontal="center" vertical="center" wrapText="1"/>
      <protection hidden="1"/>
    </xf>
    <xf numFmtId="0" fontId="3" fillId="7" borderId="43" xfId="0" applyFont="1" applyFill="1" applyBorder="1" applyAlignment="1" applyProtection="1">
      <alignment horizontal="center" vertical="center"/>
      <protection hidden="1"/>
    </xf>
    <xf numFmtId="0" fontId="3" fillId="5" borderId="44" xfId="0" applyFont="1" applyFill="1" applyBorder="1" applyAlignment="1" applyProtection="1">
      <alignment horizontal="center" vertical="center" wrapText="1"/>
      <protection hidden="1"/>
    </xf>
    <xf numFmtId="0" fontId="3" fillId="7" borderId="22" xfId="0" applyFont="1" applyFill="1" applyBorder="1" applyAlignment="1" applyProtection="1">
      <alignment horizontal="center" vertical="center"/>
      <protection hidden="1"/>
    </xf>
    <xf numFmtId="0" fontId="3" fillId="0" borderId="0" xfId="0" applyFont="1" applyFill="1" applyBorder="1" applyAlignment="1" applyProtection="1">
      <alignment horizontal="left" vertical="center"/>
      <protection hidden="1"/>
    </xf>
    <xf numFmtId="0" fontId="0" fillId="0" borderId="0" xfId="0" applyAlignment="1" applyProtection="1">
      <alignment horizontal="center" vertical="center"/>
      <protection hidden="1"/>
    </xf>
    <xf numFmtId="0" fontId="3" fillId="5" borderId="44" xfId="0" applyFont="1" applyFill="1" applyBorder="1" applyAlignment="1" applyProtection="1">
      <alignment horizontal="center" vertical="center"/>
      <protection hidden="1"/>
    </xf>
    <xf numFmtId="0" fontId="3" fillId="7" borderId="43" xfId="0" applyFont="1" applyFill="1" applyBorder="1" applyAlignment="1" applyProtection="1">
      <alignment horizontal="center" vertical="center" wrapText="1"/>
      <protection hidden="1"/>
    </xf>
    <xf numFmtId="0" fontId="3" fillId="4" borderId="39" xfId="0" applyFont="1" applyFill="1" applyBorder="1" applyAlignment="1" applyProtection="1">
      <alignment horizontal="center" vertical="center" wrapText="1"/>
      <protection hidden="1"/>
    </xf>
    <xf numFmtId="0" fontId="0" fillId="0" borderId="0" xfId="0" applyAlignment="1" applyProtection="1">
      <alignment horizontal="center" vertical="distributed" wrapText="1"/>
      <protection hidden="1"/>
    </xf>
    <xf numFmtId="49" fontId="0" fillId="0" borderId="0" xfId="0" applyNumberFormat="1" applyAlignment="1" applyProtection="1">
      <alignment horizontal="center"/>
      <protection hidden="1"/>
    </xf>
    <xf numFmtId="49" fontId="0" fillId="0" borderId="0" xfId="0" applyNumberFormat="1" applyAlignment="1" applyProtection="1">
      <alignment horizontal="center" vertical="center" wrapText="1"/>
      <protection hidden="1"/>
    </xf>
    <xf numFmtId="0" fontId="0" fillId="0" borderId="0" xfId="0" applyAlignment="1" applyProtection="1">
      <alignment vertical="center"/>
      <protection hidden="1"/>
    </xf>
    <xf numFmtId="49" fontId="0" fillId="0" borderId="0" xfId="0" applyNumberFormat="1" applyAlignment="1" applyProtection="1">
      <alignment horizontal="center" vertical="distributed" wrapText="1"/>
      <protection hidden="1"/>
    </xf>
    <xf numFmtId="0" fontId="2" fillId="0" borderId="0" xfId="0" applyFont="1" applyAlignment="1" applyProtection="1">
      <alignment horizontal="center"/>
      <protection hidden="1"/>
    </xf>
    <xf numFmtId="0" fontId="0" fillId="0" borderId="0" xfId="0" applyAlignment="1" applyProtection="1">
      <alignment horizontal="center" vertical="center" wrapText="1"/>
      <protection hidden="1"/>
    </xf>
    <xf numFmtId="0" fontId="3" fillId="4" borderId="39" xfId="0" applyFont="1" applyFill="1" applyBorder="1" applyAlignment="1" applyProtection="1">
      <alignment horizontal="left" vertical="center" wrapText="1"/>
      <protection hidden="1"/>
    </xf>
    <xf numFmtId="0" fontId="5" fillId="0" borderId="0" xfId="0" applyFont="1" applyAlignment="1" applyProtection="1">
      <alignment vertical="distributed" wrapText="1"/>
      <protection hidden="1"/>
    </xf>
    <xf numFmtId="0" fontId="0" fillId="0" borderId="0" xfId="0" applyNumberFormat="1" applyAlignment="1" applyProtection="1">
      <alignment horizontal="center"/>
      <protection hidden="1"/>
    </xf>
    <xf numFmtId="49" fontId="3" fillId="7" borderId="45" xfId="0" applyNumberFormat="1" applyFont="1" applyFill="1" applyBorder="1" applyAlignment="1" applyProtection="1">
      <alignment horizontal="center" vertical="center" wrapText="1"/>
      <protection hidden="1"/>
    </xf>
    <xf numFmtId="0" fontId="3" fillId="7" borderId="46" xfId="0" applyFont="1" applyFill="1" applyBorder="1" applyAlignment="1" applyProtection="1">
      <alignment horizontal="center" vertical="center"/>
      <protection hidden="1"/>
    </xf>
    <xf numFmtId="0" fontId="3" fillId="5" borderId="47" xfId="0" applyFont="1" applyFill="1" applyBorder="1" applyAlignment="1" applyProtection="1">
      <alignment horizontal="center" vertical="center" wrapText="1"/>
      <protection hidden="1"/>
    </xf>
    <xf numFmtId="0" fontId="3" fillId="0" borderId="0" xfId="0" applyFont="1" applyAlignment="1" applyProtection="1">
      <alignment horizontal="center"/>
      <protection hidden="1"/>
    </xf>
    <xf numFmtId="0" fontId="6" fillId="0" borderId="0" xfId="0" applyFont="1" applyAlignment="1" applyProtection="1">
      <alignment horizontal="left"/>
      <protection hidden="1"/>
    </xf>
    <xf numFmtId="0" fontId="3" fillId="4" borderId="48" xfId="0" applyFont="1" applyFill="1" applyBorder="1" applyAlignment="1" applyProtection="1">
      <alignment horizontal="left" vertical="center"/>
      <protection hidden="1"/>
    </xf>
    <xf numFmtId="0" fontId="9" fillId="0" borderId="0" xfId="0" applyFont="1" applyAlignment="1" applyProtection="1">
      <alignment horizontal="center"/>
      <protection hidden="1"/>
    </xf>
    <xf numFmtId="0" fontId="3" fillId="4" borderId="39" xfId="0" applyFont="1" applyFill="1" applyBorder="1" applyAlignment="1" applyProtection="1">
      <alignment vertical="center" wrapText="1"/>
      <protection hidden="1"/>
    </xf>
    <xf numFmtId="0" fontId="3" fillId="4" borderId="34" xfId="0" applyFont="1" applyFill="1" applyBorder="1" applyAlignment="1" applyProtection="1">
      <alignment vertical="center" wrapText="1"/>
      <protection hidden="1"/>
    </xf>
    <xf numFmtId="0" fontId="3" fillId="4" borderId="34" xfId="0" applyFont="1" applyFill="1" applyBorder="1" applyAlignment="1" applyProtection="1">
      <alignment horizontal="left" vertical="center"/>
      <protection hidden="1"/>
    </xf>
    <xf numFmtId="0" fontId="3" fillId="4" borderId="37" xfId="0" applyFont="1" applyFill="1" applyBorder="1" applyAlignment="1" applyProtection="1">
      <alignment horizontal="left" vertical="center"/>
      <protection hidden="1"/>
    </xf>
    <xf numFmtId="0" fontId="6" fillId="0" borderId="0" xfId="0" applyFont="1" applyAlignment="1" applyProtection="1">
      <alignment horizontal="center" vertical="center" wrapText="1"/>
      <protection hidden="1"/>
    </xf>
    <xf numFmtId="0" fontId="5" fillId="0" borderId="0" xfId="0" applyFont="1" applyAlignment="1" applyProtection="1">
      <alignment horizontal="left" vertical="center"/>
      <protection hidden="1"/>
    </xf>
    <xf numFmtId="0" fontId="3" fillId="5" borderId="39" xfId="0" applyNumberFormat="1" applyFont="1" applyFill="1" applyBorder="1" applyAlignment="1" applyProtection="1">
      <alignment horizontal="center" vertical="center"/>
      <protection locked="0"/>
    </xf>
    <xf numFmtId="0" fontId="3" fillId="5" borderId="39" xfId="0" applyFont="1" applyFill="1" applyBorder="1" applyAlignment="1" applyProtection="1">
      <alignment horizontal="center" vertical="center"/>
      <protection locked="0"/>
    </xf>
    <xf numFmtId="49" fontId="3" fillId="5" borderId="39" xfId="0" applyNumberFormat="1" applyFont="1" applyFill="1" applyBorder="1" applyAlignment="1" applyProtection="1">
      <alignment horizontal="center" vertical="center" wrapText="1"/>
      <protection locked="0"/>
    </xf>
    <xf numFmtId="0" fontId="3" fillId="5" borderId="40" xfId="0" applyFont="1" applyFill="1" applyBorder="1" applyAlignment="1" applyProtection="1">
      <alignment horizontal="center" vertical="center"/>
      <protection locked="0"/>
    </xf>
    <xf numFmtId="0" fontId="3" fillId="5" borderId="40" xfId="0" applyFont="1" applyFill="1" applyBorder="1" applyAlignment="1" applyProtection="1">
      <alignment horizontal="center" vertical="center" wrapText="1"/>
      <protection locked="0"/>
    </xf>
    <xf numFmtId="0" fontId="8" fillId="2" borderId="27" xfId="0" applyFont="1" applyFill="1" applyBorder="1" applyAlignment="1" applyProtection="1">
      <alignment horizontal="left" vertical="center"/>
      <protection hidden="1"/>
    </xf>
    <xf numFmtId="0" fontId="0" fillId="2" borderId="49" xfId="0" applyFill="1" applyBorder="1" applyAlignment="1" applyProtection="1">
      <alignment horizontal="left" vertical="center"/>
      <protection hidden="1"/>
    </xf>
    <xf numFmtId="0" fontId="0" fillId="2" borderId="50" xfId="0" applyFill="1" applyBorder="1" applyAlignment="1" applyProtection="1">
      <alignment horizontal="left" vertical="center"/>
      <protection hidden="1"/>
    </xf>
    <xf numFmtId="0" fontId="16" fillId="2" borderId="51" xfId="0" applyFont="1" applyFill="1" applyBorder="1" applyAlignment="1" applyProtection="1">
      <alignment horizontal="left" vertical="center"/>
      <protection hidden="1"/>
    </xf>
    <xf numFmtId="0" fontId="0" fillId="2" borderId="0" xfId="0" applyFill="1" applyBorder="1" applyAlignment="1" applyProtection="1">
      <alignment horizontal="left" vertical="center"/>
      <protection hidden="1"/>
    </xf>
    <xf numFmtId="0" fontId="0" fillId="2" borderId="52" xfId="0" applyFill="1" applyBorder="1" applyAlignment="1" applyProtection="1">
      <alignment horizontal="left" vertical="center"/>
      <protection hidden="1"/>
    </xf>
    <xf numFmtId="0" fontId="15" fillId="2" borderId="53" xfId="0" applyFont="1" applyFill="1" applyBorder="1" applyAlignment="1" applyProtection="1">
      <alignment horizontal="left" vertical="center"/>
      <protection hidden="1"/>
    </xf>
    <xf numFmtId="0" fontId="0" fillId="2" borderId="54" xfId="0" applyFill="1" applyBorder="1" applyAlignment="1" applyProtection="1">
      <alignment horizontal="left" vertical="center"/>
      <protection hidden="1"/>
    </xf>
    <xf numFmtId="0" fontId="0" fillId="2" borderId="55" xfId="0" applyFill="1" applyBorder="1" applyAlignment="1" applyProtection="1">
      <alignment horizontal="left" vertical="center"/>
      <protection hidden="1"/>
    </xf>
    <xf numFmtId="0" fontId="0" fillId="0" borderId="0" xfId="0" applyAlignment="1" applyProtection="1">
      <alignment horizontal="center" vertical="justify"/>
      <protection hidden="1"/>
    </xf>
    <xf numFmtId="0" fontId="6" fillId="0" borderId="0" xfId="0" applyFont="1" applyProtection="1">
      <protection hidden="1"/>
    </xf>
    <xf numFmtId="0" fontId="3" fillId="7" borderId="56" xfId="0" applyFont="1" applyFill="1" applyBorder="1" applyAlignment="1" applyProtection="1">
      <alignment horizontal="center" vertical="center" wrapText="1"/>
      <protection hidden="1"/>
    </xf>
    <xf numFmtId="0" fontId="3" fillId="7" borderId="25" xfId="0" applyFont="1" applyFill="1" applyBorder="1" applyAlignment="1" applyProtection="1">
      <alignment horizontal="center" vertical="center"/>
      <protection hidden="1"/>
    </xf>
    <xf numFmtId="0" fontId="6" fillId="0" borderId="0" xfId="0" applyFont="1" applyAlignment="1" applyProtection="1">
      <alignment vertical="distributed" wrapText="1"/>
      <protection hidden="1"/>
    </xf>
    <xf numFmtId="0" fontId="3" fillId="7" borderId="21" xfId="0" applyFont="1" applyFill="1" applyBorder="1" applyAlignment="1" applyProtection="1">
      <alignment horizontal="center" vertical="center"/>
      <protection hidden="1"/>
    </xf>
    <xf numFmtId="0" fontId="3" fillId="0" borderId="0" xfId="0" applyFont="1" applyFill="1" applyBorder="1" applyAlignment="1" applyProtection="1">
      <alignment horizontal="center" vertical="center" wrapText="1"/>
      <protection hidden="1"/>
    </xf>
    <xf numFmtId="0" fontId="7" fillId="0" borderId="0" xfId="0" applyFont="1" applyAlignment="1" applyProtection="1">
      <alignment horizontal="center" vertical="center"/>
      <protection hidden="1"/>
    </xf>
    <xf numFmtId="0" fontId="3" fillId="0" borderId="0" xfId="0" applyFont="1" applyFill="1" applyBorder="1" applyAlignment="1" applyProtection="1">
      <alignment horizontal="center" vertical="center"/>
      <protection hidden="1"/>
    </xf>
    <xf numFmtId="0" fontId="0" fillId="0" borderId="0" xfId="0" applyFill="1" applyBorder="1" applyAlignment="1" applyProtection="1">
      <alignment vertical="distributed" wrapText="1"/>
      <protection hidden="1"/>
    </xf>
    <xf numFmtId="0" fontId="6" fillId="0" borderId="0" xfId="0" applyFont="1" applyAlignment="1" applyProtection="1">
      <alignment vertical="center"/>
      <protection hidden="1"/>
    </xf>
    <xf numFmtId="0" fontId="5" fillId="0" borderId="0" xfId="0" applyFont="1" applyAlignment="1" applyProtection="1">
      <alignment horizontal="left" vertical="center" wrapText="1"/>
      <protection hidden="1"/>
    </xf>
    <xf numFmtId="0" fontId="2" fillId="0" borderId="0" xfId="0" applyFont="1" applyAlignment="1" applyProtection="1">
      <alignment horizontal="center" vertical="center"/>
      <protection hidden="1"/>
    </xf>
    <xf numFmtId="0" fontId="3" fillId="0" borderId="0" xfId="0" applyFont="1" applyFill="1" applyBorder="1" applyProtection="1">
      <protection hidden="1"/>
    </xf>
    <xf numFmtId="0" fontId="3" fillId="0" borderId="0" xfId="0" applyNumberFormat="1" applyFont="1" applyFill="1" applyBorder="1" applyAlignment="1" applyProtection="1">
      <alignment horizontal="center" vertical="center"/>
      <protection hidden="1"/>
    </xf>
    <xf numFmtId="0" fontId="6" fillId="0" borderId="0" xfId="0" applyFont="1" applyFill="1" applyBorder="1" applyAlignment="1" applyProtection="1">
      <alignment horizontal="left" vertical="center" wrapText="1"/>
      <protection hidden="1"/>
    </xf>
    <xf numFmtId="0" fontId="4" fillId="0" borderId="0" xfId="0" applyFont="1" applyProtection="1">
      <protection hidden="1"/>
    </xf>
    <xf numFmtId="0" fontId="6" fillId="0" borderId="0" xfId="0" applyFont="1" applyFill="1" applyBorder="1" applyAlignment="1" applyProtection="1">
      <alignment horizontal="left"/>
      <protection hidden="1"/>
    </xf>
    <xf numFmtId="0" fontId="0" fillId="0" borderId="0" xfId="0" applyFill="1" applyBorder="1" applyAlignment="1" applyProtection="1">
      <alignment horizontal="center" vertical="center"/>
      <protection hidden="1"/>
    </xf>
    <xf numFmtId="0" fontId="3" fillId="0" borderId="0" xfId="0" applyFont="1" applyFill="1" applyBorder="1" applyAlignment="1" applyProtection="1">
      <alignment horizontal="left" vertical="center" wrapText="1"/>
      <protection hidden="1"/>
    </xf>
    <xf numFmtId="0" fontId="6" fillId="0" borderId="0" xfId="0" applyFont="1" applyFill="1" applyBorder="1" applyAlignment="1" applyProtection="1">
      <alignment horizontal="center" vertical="justify"/>
      <protection hidden="1"/>
    </xf>
    <xf numFmtId="0" fontId="6" fillId="0" borderId="0" xfId="0" applyFont="1" applyFill="1" applyBorder="1" applyProtection="1">
      <protection hidden="1"/>
    </xf>
    <xf numFmtId="0" fontId="3" fillId="2" borderId="0" xfId="0" applyFont="1" applyFill="1" applyProtection="1">
      <protection hidden="1"/>
    </xf>
    <xf numFmtId="0" fontId="5" fillId="0" borderId="0" xfId="0" applyFont="1" applyProtection="1">
      <protection hidden="1"/>
    </xf>
    <xf numFmtId="0" fontId="10" fillId="0" borderId="0" xfId="0" applyFont="1" applyProtection="1">
      <protection hidden="1"/>
    </xf>
    <xf numFmtId="0" fontId="24" fillId="0" borderId="0" xfId="0" applyFont="1" applyProtection="1">
      <protection hidden="1"/>
    </xf>
    <xf numFmtId="0" fontId="8" fillId="4" borderId="39" xfId="0" applyFont="1" applyFill="1" applyBorder="1" applyAlignment="1" applyProtection="1">
      <alignment horizontal="center"/>
      <protection hidden="1"/>
    </xf>
    <xf numFmtId="0" fontId="23" fillId="0" borderId="0" xfId="0" applyFont="1" applyProtection="1">
      <protection hidden="1"/>
    </xf>
    <xf numFmtId="0" fontId="3" fillId="0" borderId="57" xfId="0" applyFont="1" applyBorder="1" applyProtection="1">
      <protection hidden="1"/>
    </xf>
    <xf numFmtId="0" fontId="3" fillId="0" borderId="58" xfId="0" applyFont="1" applyBorder="1" applyProtection="1">
      <protection hidden="1"/>
    </xf>
    <xf numFmtId="0" fontId="3" fillId="0" borderId="59" xfId="0" applyFont="1" applyBorder="1" applyProtection="1">
      <protection hidden="1"/>
    </xf>
    <xf numFmtId="0" fontId="4" fillId="0" borderId="0" xfId="0" applyFont="1" applyAlignment="1" applyProtection="1">
      <alignment horizontal="center"/>
      <protection hidden="1"/>
    </xf>
    <xf numFmtId="0" fontId="0" fillId="0" borderId="60" xfId="0" applyBorder="1" applyAlignment="1" applyProtection="1">
      <alignment horizontal="center"/>
      <protection hidden="1"/>
    </xf>
    <xf numFmtId="0" fontId="22" fillId="0" borderId="0" xfId="0" applyFont="1" applyProtection="1">
      <protection hidden="1"/>
    </xf>
    <xf numFmtId="49" fontId="0" fillId="0" borderId="20" xfId="0" applyNumberFormat="1" applyBorder="1" applyAlignment="1" applyProtection="1">
      <alignment horizontal="center"/>
      <protection hidden="1"/>
    </xf>
    <xf numFmtId="0" fontId="5" fillId="0" borderId="0" xfId="0" applyFont="1" applyBorder="1" applyAlignment="1" applyProtection="1">
      <alignment vertical="center"/>
      <protection hidden="1"/>
    </xf>
    <xf numFmtId="0" fontId="5" fillId="0" borderId="39" xfId="0" applyFont="1" applyBorder="1" applyAlignment="1" applyProtection="1">
      <alignment horizontal="center"/>
      <protection hidden="1"/>
    </xf>
    <xf numFmtId="0" fontId="8" fillId="5" borderId="39" xfId="0" applyFont="1" applyFill="1" applyBorder="1" applyProtection="1">
      <protection locked="0"/>
    </xf>
    <xf numFmtId="0" fontId="0" fillId="0" borderId="20" xfId="0" applyBorder="1"/>
    <xf numFmtId="0" fontId="20" fillId="0" borderId="0" xfId="0" applyFont="1" applyBorder="1" applyAlignment="1">
      <alignment horizontal="center" wrapText="1"/>
    </xf>
    <xf numFmtId="0" fontId="3" fillId="4" borderId="40" xfId="0" applyFont="1" applyFill="1" applyBorder="1" applyAlignment="1" applyProtection="1">
      <alignment horizontal="center" vertical="center" wrapText="1"/>
      <protection locked="0"/>
    </xf>
    <xf numFmtId="0" fontId="3" fillId="4" borderId="39" xfId="0" applyFont="1" applyFill="1" applyBorder="1" applyAlignment="1" applyProtection="1">
      <alignment horizontal="center" vertical="center" wrapText="1"/>
      <protection locked="0"/>
    </xf>
    <xf numFmtId="0" fontId="26" fillId="0" borderId="0" xfId="0" applyFont="1" applyAlignment="1" applyProtection="1">
      <alignment horizontal="left"/>
      <protection hidden="1"/>
    </xf>
    <xf numFmtId="0" fontId="0" fillId="9" borderId="0" xfId="0" applyFill="1"/>
    <xf numFmtId="0" fontId="0" fillId="4" borderId="0" xfId="0" applyFill="1"/>
    <xf numFmtId="0" fontId="0" fillId="2" borderId="35" xfId="0" applyFill="1" applyBorder="1" applyAlignment="1" applyProtection="1">
      <alignment horizontal="center"/>
      <protection hidden="1"/>
    </xf>
    <xf numFmtId="0" fontId="0" fillId="8" borderId="36" xfId="0" applyFill="1" applyBorder="1" applyAlignment="1" applyProtection="1">
      <alignment horizontal="center"/>
      <protection hidden="1"/>
    </xf>
    <xf numFmtId="0" fontId="0" fillId="8" borderId="0" xfId="0" applyFill="1" applyBorder="1" applyAlignment="1" applyProtection="1">
      <alignment horizontal="center"/>
      <protection hidden="1"/>
    </xf>
    <xf numFmtId="0" fontId="0" fillId="8" borderId="35" xfId="0" applyFill="1" applyBorder="1" applyAlignment="1" applyProtection="1">
      <alignment horizontal="center"/>
      <protection hidden="1"/>
    </xf>
    <xf numFmtId="0" fontId="0" fillId="7" borderId="61" xfId="0" applyFill="1" applyBorder="1" applyAlignment="1" applyProtection="1">
      <alignment horizontal="center"/>
      <protection hidden="1"/>
    </xf>
    <xf numFmtId="0" fontId="0" fillId="7" borderId="37" xfId="0" applyFill="1" applyBorder="1" applyAlignment="1" applyProtection="1">
      <alignment horizontal="center" vertical="center"/>
      <protection hidden="1"/>
    </xf>
    <xf numFmtId="0" fontId="0" fillId="7" borderId="37" xfId="0" applyFill="1" applyBorder="1" applyAlignment="1" applyProtection="1">
      <alignment horizontal="center" vertical="center" wrapText="1"/>
      <protection hidden="1"/>
    </xf>
    <xf numFmtId="0" fontId="0" fillId="7" borderId="37" xfId="0" applyFill="1" applyBorder="1" applyAlignment="1" applyProtection="1">
      <alignment horizontal="center" wrapText="1"/>
      <protection hidden="1"/>
    </xf>
    <xf numFmtId="0" fontId="0" fillId="6" borderId="24" xfId="0" applyFill="1" applyBorder="1" applyAlignment="1" applyProtection="1">
      <alignment horizontal="center"/>
      <protection hidden="1"/>
    </xf>
    <xf numFmtId="0" fontId="0" fillId="6" borderId="33" xfId="0" applyFill="1" applyBorder="1" applyAlignment="1" applyProtection="1">
      <alignment horizontal="center"/>
      <protection hidden="1"/>
    </xf>
    <xf numFmtId="0" fontId="0" fillId="2" borderId="61" xfId="0" applyFill="1" applyBorder="1" applyAlignment="1" applyProtection="1">
      <alignment horizontal="center"/>
      <protection hidden="1"/>
    </xf>
    <xf numFmtId="0" fontId="0" fillId="2" borderId="37" xfId="0" applyFill="1" applyBorder="1" applyAlignment="1" applyProtection="1">
      <alignment horizontal="center"/>
      <protection hidden="1"/>
    </xf>
    <xf numFmtId="0" fontId="3" fillId="8" borderId="62" xfId="0" applyFont="1" applyFill="1" applyBorder="1" applyAlignment="1" applyProtection="1">
      <alignment horizontal="center" vertical="center"/>
      <protection hidden="1"/>
    </xf>
    <xf numFmtId="0" fontId="0" fillId="8" borderId="33" xfId="0" applyFill="1" applyBorder="1" applyAlignment="1" applyProtection="1">
      <alignment horizontal="center" vertical="center"/>
      <protection hidden="1"/>
    </xf>
    <xf numFmtId="0" fontId="3" fillId="8" borderId="36" xfId="0" applyFont="1" applyFill="1" applyBorder="1" applyAlignment="1" applyProtection="1">
      <alignment horizontal="center"/>
      <protection hidden="1"/>
    </xf>
    <xf numFmtId="0" fontId="3" fillId="8" borderId="36" xfId="0" applyFont="1" applyFill="1" applyBorder="1" applyProtection="1">
      <protection hidden="1"/>
    </xf>
    <xf numFmtId="0" fontId="3" fillId="8" borderId="23" xfId="0" applyFont="1" applyFill="1" applyBorder="1" applyProtection="1">
      <protection hidden="1"/>
    </xf>
    <xf numFmtId="0" fontId="3" fillId="8" borderId="35" xfId="0" applyFont="1" applyFill="1" applyBorder="1" applyAlignment="1" applyProtection="1">
      <alignment horizontal="center"/>
      <protection hidden="1"/>
    </xf>
    <xf numFmtId="0" fontId="3" fillId="8" borderId="35" xfId="0" applyFont="1" applyFill="1" applyBorder="1" applyProtection="1">
      <protection hidden="1"/>
    </xf>
    <xf numFmtId="0" fontId="3" fillId="8" borderId="32" xfId="0" applyFont="1" applyFill="1" applyBorder="1" applyProtection="1">
      <protection hidden="1"/>
    </xf>
    <xf numFmtId="2" fontId="5" fillId="0" borderId="0" xfId="0" applyNumberFormat="1" applyFont="1" applyFill="1" applyBorder="1" applyAlignment="1" applyProtection="1">
      <protection hidden="1"/>
    </xf>
    <xf numFmtId="0" fontId="0" fillId="6" borderId="61" xfId="0" applyFill="1" applyBorder="1" applyAlignment="1" applyProtection="1">
      <alignment horizontal="center"/>
      <protection hidden="1"/>
    </xf>
    <xf numFmtId="0" fontId="0" fillId="7" borderId="37" xfId="0" applyFill="1" applyBorder="1" applyProtection="1">
      <protection hidden="1"/>
    </xf>
    <xf numFmtId="0" fontId="0" fillId="7" borderId="37" xfId="0" applyFill="1" applyBorder="1" applyAlignment="1" applyProtection="1">
      <protection hidden="1"/>
    </xf>
    <xf numFmtId="0" fontId="0" fillId="0" borderId="37" xfId="0" applyFill="1" applyBorder="1" applyAlignment="1" applyProtection="1">
      <alignment horizontal="center"/>
      <protection hidden="1"/>
    </xf>
    <xf numFmtId="0" fontId="0" fillId="0" borderId="34" xfId="0" applyFill="1" applyBorder="1" applyAlignment="1" applyProtection="1">
      <alignment horizontal="center"/>
      <protection hidden="1"/>
    </xf>
    <xf numFmtId="0" fontId="0" fillId="0" borderId="0" xfId="0" applyAlignment="1" applyProtection="1">
      <alignment horizontal="center"/>
      <protection locked="0"/>
    </xf>
    <xf numFmtId="0" fontId="0" fillId="9" borderId="20" xfId="0" applyFill="1" applyBorder="1" applyAlignment="1">
      <alignment horizontal="center"/>
    </xf>
    <xf numFmtId="0" fontId="0" fillId="0" borderId="20" xfId="0" applyFill="1" applyBorder="1" applyAlignment="1">
      <alignment horizontal="center"/>
    </xf>
    <xf numFmtId="0" fontId="20" fillId="9" borderId="20" xfId="0" applyFont="1" applyFill="1" applyBorder="1" applyAlignment="1">
      <alignment horizontal="center" wrapText="1"/>
    </xf>
    <xf numFmtId="0" fontId="0" fillId="9" borderId="20" xfId="0" applyFill="1" applyBorder="1"/>
    <xf numFmtId="0" fontId="20" fillId="4" borderId="20" xfId="0" applyFont="1" applyFill="1" applyBorder="1" applyAlignment="1">
      <alignment horizontal="center" wrapText="1"/>
    </xf>
    <xf numFmtId="0" fontId="0" fillId="4" borderId="20" xfId="0" applyFill="1" applyBorder="1" applyAlignment="1">
      <alignment horizontal="center"/>
    </xf>
    <xf numFmtId="0" fontId="0" fillId="4" borderId="20" xfId="0" applyFill="1" applyBorder="1"/>
    <xf numFmtId="0" fontId="0" fillId="2" borderId="0" xfId="0" applyFill="1" applyBorder="1" applyAlignment="1" applyProtection="1">
      <alignment horizontal="center" vertical="center"/>
      <protection hidden="1"/>
    </xf>
    <xf numFmtId="0" fontId="8" fillId="8" borderId="24" xfId="0" applyFont="1" applyFill="1" applyBorder="1" applyProtection="1">
      <protection hidden="1"/>
    </xf>
    <xf numFmtId="0" fontId="8" fillId="8" borderId="62" xfId="0" applyFont="1" applyFill="1" applyBorder="1" applyProtection="1">
      <protection hidden="1"/>
    </xf>
    <xf numFmtId="0" fontId="8" fillId="8" borderId="33" xfId="0" applyFont="1" applyFill="1" applyBorder="1" applyProtection="1">
      <protection hidden="1"/>
    </xf>
    <xf numFmtId="0" fontId="0" fillId="7" borderId="62" xfId="0" applyFill="1" applyBorder="1" applyAlignment="1" applyProtection="1">
      <alignment horizontal="center"/>
      <protection hidden="1"/>
    </xf>
    <xf numFmtId="0" fontId="3" fillId="0" borderId="0" xfId="0" applyFont="1" applyAlignment="1" applyProtection="1">
      <alignment horizontal="center" vertical="center" wrapText="1"/>
      <protection hidden="1"/>
    </xf>
    <xf numFmtId="0" fontId="3" fillId="0" borderId="0" xfId="0" applyFont="1" applyAlignment="1" applyProtection="1">
      <alignment horizontal="left"/>
      <protection hidden="1"/>
    </xf>
    <xf numFmtId="3" fontId="3" fillId="2" borderId="34" xfId="0" applyNumberFormat="1" applyFont="1" applyFill="1" applyBorder="1" applyAlignment="1" applyProtection="1">
      <alignment horizontal="center"/>
      <protection hidden="1"/>
    </xf>
    <xf numFmtId="0" fontId="8" fillId="5" borderId="39" xfId="0" applyFont="1" applyFill="1" applyBorder="1" applyAlignment="1" applyProtection="1">
      <alignment horizontal="center" vertical="center" wrapText="1"/>
      <protection locked="0"/>
    </xf>
    <xf numFmtId="0" fontId="0" fillId="6" borderId="62" xfId="0" applyFill="1" applyBorder="1" applyAlignment="1" applyProtection="1">
      <alignment horizontal="center"/>
      <protection hidden="1"/>
    </xf>
    <xf numFmtId="0" fontId="0" fillId="0" borderId="63" xfId="0" applyBorder="1" applyAlignment="1" applyProtection="1">
      <alignment horizontal="center"/>
      <protection hidden="1"/>
    </xf>
    <xf numFmtId="164" fontId="0" fillId="6" borderId="34" xfId="0" applyNumberFormat="1" applyFill="1" applyBorder="1" applyAlignment="1" applyProtection="1">
      <alignment horizontal="center"/>
      <protection hidden="1"/>
    </xf>
    <xf numFmtId="2" fontId="0" fillId="7" borderId="34" xfId="0" applyNumberFormat="1" applyFill="1" applyBorder="1" applyAlignment="1" applyProtection="1">
      <alignment horizontal="center"/>
      <protection hidden="1"/>
    </xf>
    <xf numFmtId="2" fontId="0" fillId="0" borderId="20" xfId="0" applyNumberFormat="1" applyBorder="1" applyAlignment="1" applyProtection="1">
      <alignment horizontal="center"/>
      <protection hidden="1"/>
    </xf>
    <xf numFmtId="0" fontId="25" fillId="5" borderId="39" xfId="0" applyFont="1" applyFill="1" applyBorder="1" applyAlignment="1" applyProtection="1">
      <alignment horizontal="center" vertical="center"/>
      <protection locked="0"/>
    </xf>
    <xf numFmtId="0" fontId="0" fillId="2" borderId="62" xfId="0" applyFill="1" applyBorder="1" applyAlignment="1" applyProtection="1">
      <alignment horizontal="center"/>
      <protection hidden="1"/>
    </xf>
    <xf numFmtId="0" fontId="0" fillId="6" borderId="23" xfId="0" applyFill="1" applyBorder="1" applyAlignment="1" applyProtection="1">
      <alignment horizontal="center"/>
      <protection hidden="1"/>
    </xf>
    <xf numFmtId="0" fontId="0" fillId="6" borderId="25" xfId="0" applyFill="1" applyBorder="1" applyAlignment="1" applyProtection="1">
      <alignment horizontal="center"/>
      <protection hidden="1"/>
    </xf>
    <xf numFmtId="0" fontId="0" fillId="6" borderId="37" xfId="0" applyFill="1" applyBorder="1" applyAlignment="1" applyProtection="1">
      <alignment horizontal="center" vertical="center" wrapText="1"/>
      <protection hidden="1"/>
    </xf>
    <xf numFmtId="2" fontId="0" fillId="6" borderId="34" xfId="0" applyNumberFormat="1" applyFill="1" applyBorder="1" applyAlignment="1" applyProtection="1">
      <alignment horizontal="center"/>
      <protection hidden="1"/>
    </xf>
    <xf numFmtId="0" fontId="0" fillId="6" borderId="24" xfId="0" applyFill="1" applyBorder="1" applyAlignment="1" applyProtection="1">
      <alignment horizontal="center" vertical="center"/>
      <protection hidden="1"/>
    </xf>
    <xf numFmtId="0" fontId="0" fillId="0" borderId="20" xfId="0" applyNumberFormat="1" applyBorder="1" applyAlignment="1" applyProtection="1">
      <alignment horizontal="center"/>
      <protection hidden="1"/>
    </xf>
    <xf numFmtId="0" fontId="0" fillId="8" borderId="24" xfId="0" applyFill="1" applyBorder="1" applyProtection="1">
      <protection hidden="1"/>
    </xf>
    <xf numFmtId="0" fontId="0" fillId="2" borderId="33" xfId="0" applyFill="1" applyBorder="1" applyAlignment="1" applyProtection="1">
      <alignment horizontal="center"/>
      <protection hidden="1"/>
    </xf>
    <xf numFmtId="0" fontId="30" fillId="0" borderId="0" xfId="0" applyFont="1" applyFill="1" applyBorder="1" applyAlignment="1" applyProtection="1">
      <alignment horizontal="center" vertical="center"/>
      <protection hidden="1"/>
    </xf>
    <xf numFmtId="0" fontId="0" fillId="6" borderId="32" xfId="0" applyFill="1" applyBorder="1" applyAlignment="1" applyProtection="1">
      <alignment horizontal="center"/>
      <protection hidden="1"/>
    </xf>
    <xf numFmtId="0" fontId="0" fillId="6" borderId="37" xfId="0" applyFill="1" applyBorder="1" applyAlignment="1" applyProtection="1">
      <alignment horizontal="center" vertical="center"/>
      <protection hidden="1"/>
    </xf>
    <xf numFmtId="0" fontId="22" fillId="0" borderId="0" xfId="0" applyFont="1" applyFill="1" applyBorder="1" applyAlignment="1" applyProtection="1">
      <alignment horizontal="left" vertical="center"/>
      <protection hidden="1"/>
    </xf>
    <xf numFmtId="0" fontId="22" fillId="0" borderId="0" xfId="0" applyNumberFormat="1" applyFont="1" applyFill="1" applyBorder="1" applyAlignment="1" applyProtection="1">
      <alignment horizontal="left" vertical="center" readingOrder="1"/>
      <protection hidden="1"/>
    </xf>
    <xf numFmtId="0" fontId="8" fillId="5" borderId="39" xfId="0" applyFont="1" applyFill="1" applyBorder="1" applyAlignment="1" applyProtection="1">
      <alignment horizontal="center" vertical="center"/>
      <protection locked="0"/>
    </xf>
    <xf numFmtId="0" fontId="8" fillId="5" borderId="20" xfId="0" applyFont="1" applyFill="1" applyBorder="1" applyAlignment="1" applyProtection="1">
      <alignment horizontal="center" vertical="center"/>
      <protection locked="0"/>
    </xf>
    <xf numFmtId="1" fontId="0" fillId="0" borderId="0" xfId="0" applyNumberFormat="1" applyAlignment="1">
      <alignment horizontal="center"/>
    </xf>
    <xf numFmtId="1" fontId="0" fillId="6" borderId="34" xfId="0" applyNumberFormat="1" applyFill="1" applyBorder="1" applyAlignment="1" applyProtection="1">
      <alignment horizontal="center"/>
      <protection hidden="1"/>
    </xf>
    <xf numFmtId="0" fontId="0" fillId="6" borderId="61" xfId="0" applyFill="1" applyBorder="1" applyProtection="1">
      <protection hidden="1"/>
    </xf>
    <xf numFmtId="0" fontId="0" fillId="2" borderId="34" xfId="0" applyFill="1" applyBorder="1" applyAlignment="1" applyProtection="1">
      <alignment horizontal="center"/>
      <protection hidden="1"/>
    </xf>
    <xf numFmtId="0" fontId="0" fillId="0" borderId="49" xfId="0" applyBorder="1"/>
    <xf numFmtId="0" fontId="0" fillId="0" borderId="36" xfId="0" applyBorder="1"/>
    <xf numFmtId="0" fontId="0" fillId="0" borderId="23" xfId="0" applyBorder="1"/>
    <xf numFmtId="0" fontId="0" fillId="0" borderId="0" xfId="0" applyAlignment="1">
      <alignment horizontal="left"/>
    </xf>
    <xf numFmtId="0" fontId="0" fillId="0" borderId="62" xfId="0" applyBorder="1" applyAlignment="1">
      <alignment horizontal="left"/>
    </xf>
    <xf numFmtId="0" fontId="0" fillId="0" borderId="0" xfId="0" applyBorder="1" applyAlignment="1">
      <alignment horizontal="left"/>
    </xf>
    <xf numFmtId="49" fontId="0" fillId="0" borderId="0" xfId="0" applyNumberFormat="1" applyBorder="1" applyAlignment="1" applyProtection="1">
      <alignment horizontal="center"/>
      <protection hidden="1"/>
    </xf>
    <xf numFmtId="0" fontId="0" fillId="0" borderId="51" xfId="0" applyBorder="1" applyProtection="1">
      <protection hidden="1"/>
    </xf>
    <xf numFmtId="0" fontId="0" fillId="0" borderId="0" xfId="0" applyAlignment="1" applyProtection="1">
      <protection hidden="1"/>
    </xf>
    <xf numFmtId="0" fontId="3" fillId="0" borderId="0" xfId="0" applyFont="1" applyAlignment="1" applyProtection="1">
      <alignment vertical="top" wrapText="1"/>
      <protection hidden="1"/>
    </xf>
    <xf numFmtId="0" fontId="0" fillId="0" borderId="0" xfId="0" applyFill="1" applyAlignment="1" applyProtection="1">
      <alignment horizontal="center"/>
      <protection hidden="1"/>
    </xf>
    <xf numFmtId="0" fontId="0" fillId="0" borderId="64" xfId="0" applyBorder="1" applyAlignment="1" applyProtection="1">
      <alignment horizontal="center"/>
      <protection hidden="1"/>
    </xf>
    <xf numFmtId="0" fontId="0" fillId="0" borderId="65" xfId="0" applyBorder="1" applyAlignment="1" applyProtection="1">
      <alignment horizontal="center"/>
      <protection hidden="1"/>
    </xf>
    <xf numFmtId="0" fontId="0" fillId="0" borderId="36" xfId="0" applyBorder="1" applyAlignment="1">
      <alignment horizontal="left"/>
    </xf>
    <xf numFmtId="0" fontId="0" fillId="0" borderId="0" xfId="0" applyBorder="1" applyAlignment="1">
      <alignment horizontal="left" vertical="center" wrapText="1"/>
    </xf>
    <xf numFmtId="0" fontId="0" fillId="0" borderId="0" xfId="0" applyFill="1" applyBorder="1" applyAlignment="1">
      <alignment horizontal="left" vertical="center" wrapText="1"/>
    </xf>
    <xf numFmtId="0" fontId="0" fillId="0" borderId="27" xfId="0" applyBorder="1" applyAlignment="1">
      <alignment horizontal="left"/>
    </xf>
    <xf numFmtId="15" fontId="0" fillId="0" borderId="49" xfId="0" applyNumberFormat="1" applyBorder="1" applyAlignment="1">
      <alignment horizontal="left"/>
    </xf>
    <xf numFmtId="0" fontId="0" fillId="0" borderId="26" xfId="0" applyBorder="1"/>
    <xf numFmtId="0" fontId="0" fillId="0" borderId="50" xfId="0" applyBorder="1" applyAlignment="1" applyProtection="1">
      <alignment horizontal="center"/>
      <protection hidden="1"/>
    </xf>
    <xf numFmtId="0" fontId="0" fillId="0" borderId="66" xfId="0" applyBorder="1" applyAlignment="1" applyProtection="1">
      <alignment horizontal="center"/>
      <protection hidden="1"/>
    </xf>
    <xf numFmtId="0" fontId="6" fillId="0" borderId="0" xfId="0" applyFont="1" applyFill="1" applyBorder="1" applyAlignment="1" applyProtection="1">
      <alignment horizontal="center" vertical="center" wrapText="1"/>
      <protection locked="0"/>
    </xf>
    <xf numFmtId="0" fontId="31" fillId="0" borderId="0" xfId="0" applyFont="1" applyProtection="1">
      <protection hidden="1"/>
    </xf>
    <xf numFmtId="0" fontId="7" fillId="0" borderId="0" xfId="0" applyFont="1" applyFill="1" applyBorder="1" applyAlignment="1" applyProtection="1">
      <alignment horizontal="left" vertical="center"/>
      <protection hidden="1"/>
    </xf>
    <xf numFmtId="0" fontId="7" fillId="0" borderId="0" xfId="0" applyFont="1" applyFill="1" applyBorder="1" applyAlignment="1" applyProtection="1">
      <alignment horizontal="center" vertical="center"/>
      <protection hidden="1"/>
    </xf>
    <xf numFmtId="0" fontId="33" fillId="0" borderId="0" xfId="0" applyFont="1" applyFill="1" applyBorder="1" applyAlignment="1" applyProtection="1">
      <alignment horizontal="center"/>
      <protection hidden="1"/>
    </xf>
    <xf numFmtId="0" fontId="7" fillId="0" borderId="0" xfId="0" applyFont="1" applyProtection="1">
      <protection hidden="1"/>
    </xf>
    <xf numFmtId="0" fontId="7" fillId="0" borderId="0" xfId="0" applyFont="1" applyAlignment="1" applyProtection="1">
      <alignment horizontal="center"/>
      <protection hidden="1"/>
    </xf>
    <xf numFmtId="0" fontId="7" fillId="0" borderId="0" xfId="0" applyNumberFormat="1" applyFont="1" applyAlignment="1" applyProtection="1">
      <alignment horizontal="left" vertical="center"/>
      <protection hidden="1"/>
    </xf>
    <xf numFmtId="0" fontId="32" fillId="0" borderId="0" xfId="0" applyFont="1" applyAlignment="1" applyProtection="1">
      <alignment horizontal="left"/>
      <protection hidden="1"/>
    </xf>
    <xf numFmtId="0" fontId="32" fillId="0" borderId="0" xfId="0" applyFont="1" applyFill="1" applyBorder="1" applyAlignment="1" applyProtection="1">
      <alignment horizontal="left"/>
      <protection hidden="1"/>
    </xf>
    <xf numFmtId="3" fontId="7" fillId="0" borderId="0" xfId="0" applyNumberFormat="1" applyFont="1" applyFill="1" applyBorder="1" applyAlignment="1" applyProtection="1">
      <alignment horizontal="left" vertical="center"/>
      <protection hidden="1"/>
    </xf>
    <xf numFmtId="0" fontId="7" fillId="0" borderId="0" xfId="0" applyFont="1" applyAlignment="1" applyProtection="1">
      <alignment vertical="center"/>
      <protection hidden="1"/>
    </xf>
    <xf numFmtId="0" fontId="8" fillId="0" borderId="0" xfId="0" applyFont="1" applyAlignment="1" applyProtection="1">
      <alignment horizontal="center"/>
      <protection hidden="1"/>
    </xf>
    <xf numFmtId="0" fontId="10" fillId="0" borderId="0" xfId="0" applyFont="1" applyFill="1" applyBorder="1" applyAlignment="1" applyProtection="1">
      <alignment horizontal="center" vertical="center"/>
      <protection hidden="1"/>
    </xf>
    <xf numFmtId="0" fontId="8" fillId="0" borderId="0" xfId="0" applyFont="1" applyProtection="1">
      <protection hidden="1"/>
    </xf>
    <xf numFmtId="10" fontId="0" fillId="2" borderId="35" xfId="0" applyNumberFormat="1" applyFill="1" applyBorder="1" applyAlignment="1" applyProtection="1">
      <alignment horizontal="center"/>
      <protection locked="0"/>
    </xf>
    <xf numFmtId="0" fontId="8" fillId="5" borderId="34" xfId="0" applyFont="1" applyFill="1" applyBorder="1" applyAlignment="1" applyProtection="1">
      <alignment horizontal="center"/>
      <protection locked="0"/>
    </xf>
    <xf numFmtId="10" fontId="8" fillId="5" borderId="34" xfId="0" applyNumberFormat="1" applyFont="1" applyFill="1" applyBorder="1" applyAlignment="1" applyProtection="1">
      <alignment horizontal="center"/>
      <protection locked="0"/>
    </xf>
    <xf numFmtId="0" fontId="8" fillId="5" borderId="39" xfId="0" applyFont="1" applyFill="1" applyBorder="1" applyAlignment="1" applyProtection="1">
      <alignment horizontal="center"/>
      <protection locked="0"/>
    </xf>
    <xf numFmtId="0" fontId="27" fillId="0" borderId="0" xfId="0" applyFont="1" applyAlignment="1" applyProtection="1">
      <alignment horizontal="center"/>
      <protection hidden="1"/>
    </xf>
    <xf numFmtId="0" fontId="27" fillId="2" borderId="61" xfId="0" applyFont="1" applyFill="1" applyBorder="1" applyAlignment="1" applyProtection="1">
      <alignment horizontal="center"/>
      <protection hidden="1"/>
    </xf>
    <xf numFmtId="0" fontId="34" fillId="0" borderId="0" xfId="0" applyFont="1" applyFill="1" applyBorder="1" applyAlignment="1" applyProtection="1">
      <alignment horizontal="center" vertical="center"/>
      <protection hidden="1"/>
    </xf>
    <xf numFmtId="0" fontId="12" fillId="0" borderId="0" xfId="0" applyNumberFormat="1" applyFont="1" applyAlignment="1" applyProtection="1">
      <alignment horizontal="left" vertical="center"/>
      <protection hidden="1"/>
    </xf>
    <xf numFmtId="0" fontId="27" fillId="0" borderId="0" xfId="0" applyFont="1" applyProtection="1">
      <protection hidden="1"/>
    </xf>
    <xf numFmtId="0" fontId="27" fillId="2" borderId="37" xfId="0" applyFont="1" applyFill="1" applyBorder="1" applyAlignment="1" applyProtection="1">
      <alignment horizontal="center"/>
      <protection hidden="1"/>
    </xf>
    <xf numFmtId="0" fontId="21" fillId="0" borderId="0" xfId="0" applyFont="1" applyFill="1" applyBorder="1" applyAlignment="1" applyProtection="1">
      <alignment vertical="center"/>
      <protection hidden="1"/>
    </xf>
    <xf numFmtId="0" fontId="3" fillId="0" borderId="0" xfId="0" applyFont="1" applyFill="1" applyBorder="1" applyAlignment="1" applyProtection="1">
      <alignment horizontal="left" wrapText="1" shrinkToFit="1"/>
      <protection hidden="1"/>
    </xf>
    <xf numFmtId="0" fontId="3" fillId="5" borderId="39" xfId="0" applyFont="1" applyFill="1" applyBorder="1" applyAlignment="1" applyProtection="1">
      <alignment horizontal="center" vertical="center" wrapText="1" shrinkToFit="1"/>
      <protection locked="0"/>
    </xf>
    <xf numFmtId="0" fontId="0" fillId="0" borderId="67" xfId="0" applyBorder="1" applyAlignment="1" applyProtection="1">
      <alignment horizontal="center"/>
      <protection hidden="1"/>
    </xf>
    <xf numFmtId="0" fontId="35" fillId="0" borderId="0" xfId="0" applyFont="1"/>
    <xf numFmtId="0" fontId="0" fillId="0" borderId="62" xfId="0" applyFill="1" applyBorder="1" applyAlignment="1"/>
    <xf numFmtId="0" fontId="0" fillId="0" borderId="36" xfId="0" applyFill="1" applyBorder="1" applyAlignment="1"/>
    <xf numFmtId="0" fontId="36" fillId="0" borderId="23" xfId="0" applyFont="1" applyBorder="1" applyAlignment="1">
      <alignment horizontal="left" indent="4"/>
    </xf>
    <xf numFmtId="0" fontId="0" fillId="0" borderId="24" xfId="0" applyFill="1" applyBorder="1" applyAlignment="1"/>
    <xf numFmtId="0" fontId="0" fillId="0" borderId="0" xfId="0" applyFill="1" applyBorder="1" applyAlignment="1"/>
    <xf numFmtId="0" fontId="37" fillId="0" borderId="25" xfId="0" applyFont="1" applyBorder="1" applyAlignment="1">
      <alignment horizontal="left" indent="4"/>
    </xf>
    <xf numFmtId="0" fontId="0" fillId="0" borderId="33" xfId="0" applyFill="1" applyBorder="1" applyAlignment="1"/>
    <xf numFmtId="0" fontId="0" fillId="0" borderId="35" xfId="0" applyFill="1" applyBorder="1" applyAlignment="1"/>
    <xf numFmtId="0" fontId="37" fillId="0" borderId="32" xfId="0" applyFont="1" applyBorder="1" applyAlignment="1">
      <alignment horizontal="left" indent="4"/>
    </xf>
    <xf numFmtId="0" fontId="3" fillId="2" borderId="61" xfId="0" applyFont="1" applyFill="1" applyBorder="1" applyAlignment="1" applyProtection="1">
      <alignment horizontal="center" wrapText="1" shrinkToFit="1"/>
      <protection hidden="1"/>
    </xf>
    <xf numFmtId="0" fontId="3" fillId="2" borderId="37" xfId="0" applyFont="1" applyFill="1" applyBorder="1" applyAlignment="1" applyProtection="1">
      <alignment horizontal="center" wrapText="1" shrinkToFit="1"/>
      <protection hidden="1"/>
    </xf>
    <xf numFmtId="0" fontId="6" fillId="2" borderId="62" xfId="0" applyFont="1" applyFill="1" applyBorder="1" applyAlignment="1" applyProtection="1">
      <alignment horizontal="center" wrapText="1"/>
      <protection hidden="1"/>
    </xf>
    <xf numFmtId="0" fontId="6" fillId="2" borderId="36" xfId="0" applyFont="1" applyFill="1" applyBorder="1" applyAlignment="1" applyProtection="1">
      <alignment horizontal="center" wrapText="1"/>
      <protection hidden="1"/>
    </xf>
    <xf numFmtId="0" fontId="6" fillId="2" borderId="23" xfId="0" applyFont="1" applyFill="1" applyBorder="1" applyAlignment="1" applyProtection="1">
      <alignment horizontal="center" wrapText="1"/>
      <protection hidden="1"/>
    </xf>
    <xf numFmtId="0" fontId="0" fillId="2" borderId="24" xfId="0" applyFill="1" applyBorder="1" applyAlignment="1" applyProtection="1">
      <alignment horizontal="center"/>
      <protection hidden="1"/>
    </xf>
    <xf numFmtId="0" fontId="0" fillId="2" borderId="0" xfId="0" applyFill="1" applyBorder="1" applyAlignment="1" applyProtection="1">
      <alignment horizontal="center"/>
      <protection hidden="1"/>
    </xf>
    <xf numFmtId="0" fontId="0" fillId="2" borderId="25" xfId="0" applyFill="1" applyBorder="1" applyAlignment="1" applyProtection="1">
      <alignment horizontal="center"/>
      <protection hidden="1"/>
    </xf>
    <xf numFmtId="0" fontId="0" fillId="2" borderId="33" xfId="0" applyFill="1" applyBorder="1" applyAlignment="1" applyProtection="1">
      <alignment horizontal="center"/>
      <protection hidden="1"/>
    </xf>
    <xf numFmtId="0" fontId="0" fillId="2" borderId="35" xfId="0" applyFill="1" applyBorder="1" applyAlignment="1" applyProtection="1">
      <alignment horizontal="center"/>
      <protection hidden="1"/>
    </xf>
    <xf numFmtId="0" fontId="0" fillId="2" borderId="32" xfId="0" applyFill="1" applyBorder="1" applyAlignment="1" applyProtection="1">
      <alignment horizontal="center"/>
      <protection hidden="1"/>
    </xf>
    <xf numFmtId="0" fontId="27" fillId="2" borderId="61" xfId="0" applyFont="1" applyFill="1" applyBorder="1" applyAlignment="1" applyProtection="1">
      <alignment horizontal="center" vertical="center"/>
      <protection hidden="1"/>
    </xf>
    <xf numFmtId="0" fontId="27" fillId="2" borderId="34" xfId="0" applyFont="1" applyFill="1" applyBorder="1" applyAlignment="1" applyProtection="1">
      <alignment horizontal="center" vertical="center"/>
      <protection hidden="1"/>
    </xf>
    <xf numFmtId="0" fontId="0" fillId="0" borderId="21" xfId="0" applyBorder="1" applyAlignment="1" applyProtection="1">
      <alignment horizontal="center"/>
      <protection hidden="1"/>
    </xf>
    <xf numFmtId="0" fontId="0" fillId="0" borderId="74" xfId="0" applyBorder="1" applyAlignment="1" applyProtection="1">
      <alignment horizontal="center"/>
      <protection hidden="1"/>
    </xf>
    <xf numFmtId="0" fontId="0" fillId="0" borderId="63" xfId="0" applyBorder="1" applyAlignment="1" applyProtection="1">
      <alignment horizontal="center"/>
      <protection hidden="1"/>
    </xf>
    <xf numFmtId="0" fontId="0" fillId="7" borderId="37" xfId="0" applyFill="1" applyBorder="1" applyAlignment="1" applyProtection="1">
      <alignment horizontal="center"/>
      <protection hidden="1"/>
    </xf>
    <xf numFmtId="0" fontId="6" fillId="0" borderId="72" xfId="0" applyFont="1" applyFill="1" applyBorder="1" applyAlignment="1" applyProtection="1">
      <alignment horizontal="center" vertical="center"/>
      <protection hidden="1"/>
    </xf>
    <xf numFmtId="0" fontId="3" fillId="0" borderId="73" xfId="0" applyFont="1" applyFill="1" applyBorder="1" applyAlignment="1" applyProtection="1">
      <alignment horizontal="center" vertical="center"/>
      <protection hidden="1"/>
    </xf>
    <xf numFmtId="0" fontId="3" fillId="0" borderId="67" xfId="0" applyFont="1" applyFill="1" applyBorder="1" applyAlignment="1" applyProtection="1">
      <alignment horizontal="center" vertical="center"/>
      <protection hidden="1"/>
    </xf>
    <xf numFmtId="0" fontId="8" fillId="8" borderId="62" xfId="0" applyFont="1" applyFill="1" applyBorder="1" applyAlignment="1" applyProtection="1">
      <alignment horizontal="left"/>
      <protection hidden="1"/>
    </xf>
    <xf numFmtId="0" fontId="8" fillId="8" borderId="36" xfId="0" applyFont="1" applyFill="1" applyBorder="1" applyAlignment="1" applyProtection="1">
      <alignment horizontal="left"/>
      <protection hidden="1"/>
    </xf>
    <xf numFmtId="0" fontId="8" fillId="8" borderId="23" xfId="0" applyFont="1" applyFill="1" applyBorder="1" applyAlignment="1" applyProtection="1">
      <alignment horizontal="left"/>
      <protection hidden="1"/>
    </xf>
    <xf numFmtId="0" fontId="8" fillId="8" borderId="24" xfId="0" applyFont="1" applyFill="1" applyBorder="1" applyAlignment="1" applyProtection="1">
      <alignment horizontal="left"/>
      <protection hidden="1"/>
    </xf>
    <xf numFmtId="0" fontId="8" fillId="8" borderId="0" xfId="0" applyFont="1" applyFill="1" applyBorder="1" applyAlignment="1" applyProtection="1">
      <alignment horizontal="left"/>
      <protection hidden="1"/>
    </xf>
    <xf numFmtId="0" fontId="8" fillId="8" borderId="25" xfId="0" applyFont="1" applyFill="1" applyBorder="1" applyAlignment="1" applyProtection="1">
      <alignment horizontal="left"/>
      <protection hidden="1"/>
    </xf>
    <xf numFmtId="0" fontId="8" fillId="8" borderId="33" xfId="0" applyFont="1" applyFill="1" applyBorder="1" applyAlignment="1" applyProtection="1">
      <alignment horizontal="left"/>
      <protection hidden="1"/>
    </xf>
    <xf numFmtId="0" fontId="8" fillId="8" borderId="35" xfId="0" applyFont="1" applyFill="1" applyBorder="1" applyAlignment="1" applyProtection="1">
      <alignment horizontal="left"/>
      <protection hidden="1"/>
    </xf>
    <xf numFmtId="0" fontId="8" fillId="8" borderId="32" xfId="0" applyFont="1" applyFill="1" applyBorder="1" applyAlignment="1" applyProtection="1">
      <alignment horizontal="left"/>
      <protection hidden="1"/>
    </xf>
    <xf numFmtId="0" fontId="21" fillId="7" borderId="62" xfId="0" applyFont="1" applyFill="1" applyBorder="1" applyAlignment="1" applyProtection="1">
      <alignment horizontal="center" vertical="center"/>
      <protection hidden="1"/>
    </xf>
    <xf numFmtId="0" fontId="21" fillId="7" borderId="36" xfId="0" applyFont="1" applyFill="1" applyBorder="1" applyAlignment="1" applyProtection="1">
      <alignment horizontal="center" vertical="center"/>
      <protection hidden="1"/>
    </xf>
    <xf numFmtId="0" fontId="21" fillId="7" borderId="23" xfId="0" applyFont="1" applyFill="1" applyBorder="1" applyAlignment="1" applyProtection="1">
      <alignment horizontal="center" vertical="center"/>
      <protection hidden="1"/>
    </xf>
    <xf numFmtId="0" fontId="21" fillId="7" borderId="33" xfId="0" applyFont="1" applyFill="1" applyBorder="1" applyAlignment="1" applyProtection="1">
      <alignment horizontal="center" vertical="center"/>
      <protection hidden="1"/>
    </xf>
    <xf numFmtId="0" fontId="21" fillId="7" borderId="35" xfId="0" applyFont="1" applyFill="1" applyBorder="1" applyAlignment="1" applyProtection="1">
      <alignment horizontal="center" vertical="center"/>
      <protection hidden="1"/>
    </xf>
    <xf numFmtId="0" fontId="21" fillId="7" borderId="32" xfId="0" applyFont="1" applyFill="1" applyBorder="1" applyAlignment="1" applyProtection="1">
      <alignment horizontal="center" vertical="center"/>
      <protection hidden="1"/>
    </xf>
    <xf numFmtId="0" fontId="0" fillId="0" borderId="73" xfId="0" applyBorder="1" applyAlignment="1" applyProtection="1">
      <alignment horizontal="center"/>
      <protection hidden="1"/>
    </xf>
    <xf numFmtId="0" fontId="0" fillId="0" borderId="67" xfId="0" applyBorder="1" applyAlignment="1" applyProtection="1">
      <alignment horizontal="center"/>
      <protection hidden="1"/>
    </xf>
    <xf numFmtId="0" fontId="3" fillId="2" borderId="61" xfId="0" applyFont="1" applyFill="1" applyBorder="1" applyAlignment="1" applyProtection="1">
      <alignment horizontal="center" wrapText="1"/>
      <protection hidden="1"/>
    </xf>
    <xf numFmtId="0" fontId="3" fillId="2" borderId="37" xfId="0" applyFont="1" applyFill="1" applyBorder="1" applyAlignment="1" applyProtection="1">
      <alignment horizontal="center" wrapText="1"/>
      <protection hidden="1"/>
    </xf>
    <xf numFmtId="0" fontId="3" fillId="7" borderId="62" xfId="0" applyFont="1" applyFill="1" applyBorder="1" applyAlignment="1" applyProtection="1">
      <alignment horizontal="center" vertical="center"/>
      <protection hidden="1"/>
    </xf>
    <xf numFmtId="0" fontId="3" fillId="7" borderId="23" xfId="0" applyFont="1" applyFill="1" applyBorder="1" applyAlignment="1" applyProtection="1">
      <alignment horizontal="center" vertical="center"/>
      <protection hidden="1"/>
    </xf>
    <xf numFmtId="0" fontId="3" fillId="7" borderId="68" xfId="0" applyFont="1" applyFill="1" applyBorder="1" applyAlignment="1" applyProtection="1">
      <alignment horizontal="center" vertical="center"/>
      <protection hidden="1"/>
    </xf>
    <xf numFmtId="0" fontId="3" fillId="7" borderId="70" xfId="0" applyFont="1" applyFill="1" applyBorder="1" applyAlignment="1" applyProtection="1">
      <alignment horizontal="center" vertical="center"/>
      <protection hidden="1"/>
    </xf>
    <xf numFmtId="0" fontId="0" fillId="7" borderId="34" xfId="0" applyFill="1" applyBorder="1" applyAlignment="1" applyProtection="1">
      <alignment horizontal="center"/>
      <protection hidden="1"/>
    </xf>
    <xf numFmtId="0" fontId="0" fillId="6" borderId="33" xfId="0" applyFill="1" applyBorder="1" applyAlignment="1" applyProtection="1">
      <alignment horizontal="center"/>
      <protection hidden="1"/>
    </xf>
    <xf numFmtId="0" fontId="0" fillId="6" borderId="35" xfId="0" applyFill="1" applyBorder="1" applyAlignment="1" applyProtection="1">
      <alignment horizontal="center"/>
      <protection hidden="1"/>
    </xf>
    <xf numFmtId="0" fontId="0" fillId="6" borderId="32" xfId="0" applyFill="1" applyBorder="1" applyAlignment="1" applyProtection="1">
      <alignment horizontal="center"/>
      <protection hidden="1"/>
    </xf>
    <xf numFmtId="0" fontId="0" fillId="6" borderId="34" xfId="0" applyFill="1" applyBorder="1" applyAlignment="1" applyProtection="1">
      <alignment horizontal="center"/>
      <protection hidden="1"/>
    </xf>
    <xf numFmtId="0" fontId="0" fillId="6" borderId="37" xfId="0" applyFill="1" applyBorder="1" applyAlignment="1" applyProtection="1">
      <alignment horizontal="center"/>
      <protection hidden="1"/>
    </xf>
    <xf numFmtId="0" fontId="3" fillId="8" borderId="61" xfId="0" applyFont="1" applyFill="1" applyBorder="1" applyAlignment="1" applyProtection="1">
      <alignment horizontal="center" vertical="center"/>
      <protection hidden="1"/>
    </xf>
    <xf numFmtId="0" fontId="3" fillId="8" borderId="37" xfId="0" applyFont="1" applyFill="1" applyBorder="1" applyAlignment="1" applyProtection="1">
      <alignment horizontal="center" vertical="center"/>
      <protection hidden="1"/>
    </xf>
    <xf numFmtId="0" fontId="3" fillId="8" borderId="34" xfId="0" applyFont="1" applyFill="1" applyBorder="1" applyAlignment="1" applyProtection="1">
      <alignment horizontal="center" vertical="center"/>
      <protection hidden="1"/>
    </xf>
    <xf numFmtId="0" fontId="3" fillId="7" borderId="36" xfId="0" applyFont="1" applyFill="1" applyBorder="1" applyAlignment="1" applyProtection="1">
      <alignment horizontal="center" vertical="center"/>
      <protection hidden="1"/>
    </xf>
    <xf numFmtId="0" fontId="3" fillId="7" borderId="33" xfId="0" applyFont="1" applyFill="1" applyBorder="1" applyAlignment="1" applyProtection="1">
      <alignment horizontal="center" vertical="center"/>
      <protection hidden="1"/>
    </xf>
    <xf numFmtId="0" fontId="3" fillId="7" borderId="35" xfId="0" applyFont="1" applyFill="1" applyBorder="1" applyAlignment="1" applyProtection="1">
      <alignment horizontal="center" vertical="center"/>
      <protection hidden="1"/>
    </xf>
    <xf numFmtId="0" fontId="3" fillId="7" borderId="32" xfId="0" applyFont="1" applyFill="1" applyBorder="1" applyAlignment="1" applyProtection="1">
      <alignment horizontal="center" vertical="center"/>
      <protection hidden="1"/>
    </xf>
    <xf numFmtId="0" fontId="28" fillId="6" borderId="23" xfId="0" applyFont="1" applyFill="1" applyBorder="1" applyAlignment="1" applyProtection="1">
      <alignment horizontal="center" vertical="center" wrapText="1"/>
      <protection hidden="1"/>
    </xf>
    <xf numFmtId="0" fontId="28" fillId="6" borderId="32" xfId="0" applyFont="1" applyFill="1" applyBorder="1" applyAlignment="1" applyProtection="1">
      <alignment horizontal="center" vertical="center" wrapText="1"/>
      <protection hidden="1"/>
    </xf>
    <xf numFmtId="0" fontId="3" fillId="6" borderId="61" xfId="0" applyFont="1" applyFill="1" applyBorder="1" applyAlignment="1" applyProtection="1">
      <alignment horizontal="center" vertical="center" wrapText="1"/>
      <protection hidden="1"/>
    </xf>
    <xf numFmtId="0" fontId="3" fillId="6" borderId="34" xfId="0" applyFont="1" applyFill="1" applyBorder="1" applyAlignment="1" applyProtection="1">
      <alignment horizontal="center" vertical="center" wrapText="1"/>
      <protection hidden="1"/>
    </xf>
    <xf numFmtId="0" fontId="0" fillId="6" borderId="62" xfId="0" applyFill="1" applyBorder="1" applyAlignment="1" applyProtection="1">
      <alignment horizontal="center"/>
      <protection hidden="1"/>
    </xf>
    <xf numFmtId="0" fontId="0" fillId="6" borderId="36" xfId="0" applyFill="1" applyBorder="1" applyAlignment="1" applyProtection="1">
      <alignment horizontal="center"/>
      <protection hidden="1"/>
    </xf>
    <xf numFmtId="0" fontId="0" fillId="6" borderId="23" xfId="0" applyFill="1" applyBorder="1" applyAlignment="1" applyProtection="1">
      <alignment horizontal="center"/>
      <protection hidden="1"/>
    </xf>
    <xf numFmtId="0" fontId="0" fillId="7" borderId="71" xfId="0" applyFill="1" applyBorder="1" applyAlignment="1" applyProtection="1">
      <alignment horizontal="center"/>
      <protection hidden="1"/>
    </xf>
    <xf numFmtId="0" fontId="0" fillId="6" borderId="24" xfId="0" applyFill="1" applyBorder="1" applyAlignment="1" applyProtection="1">
      <alignment horizontal="center"/>
      <protection hidden="1"/>
    </xf>
    <xf numFmtId="0" fontId="0" fillId="6" borderId="0" xfId="0" applyFill="1" applyBorder="1" applyAlignment="1" applyProtection="1">
      <alignment horizontal="center"/>
      <protection hidden="1"/>
    </xf>
    <xf numFmtId="0" fontId="0" fillId="6" borderId="25" xfId="0" applyFill="1" applyBorder="1" applyAlignment="1" applyProtection="1">
      <alignment horizontal="center"/>
      <protection hidden="1"/>
    </xf>
    <xf numFmtId="0" fontId="3" fillId="2" borderId="31" xfId="0" applyFont="1" applyFill="1" applyBorder="1" applyAlignment="1" applyProtection="1">
      <alignment horizontal="center" vertical="center"/>
      <protection hidden="1"/>
    </xf>
    <xf numFmtId="0" fontId="3" fillId="2" borderId="29" xfId="0" applyFont="1" applyFill="1" applyBorder="1" applyAlignment="1" applyProtection="1">
      <alignment horizontal="center" vertical="center"/>
      <protection hidden="1"/>
    </xf>
    <xf numFmtId="0" fontId="3" fillId="2" borderId="41" xfId="0" applyFont="1" applyFill="1" applyBorder="1" applyAlignment="1" applyProtection="1">
      <alignment horizontal="center" vertical="center"/>
      <protection hidden="1"/>
    </xf>
    <xf numFmtId="0" fontId="3" fillId="2" borderId="45" xfId="0" applyFont="1" applyFill="1" applyBorder="1" applyAlignment="1" applyProtection="1">
      <alignment horizontal="center" vertical="center"/>
      <protection hidden="1"/>
    </xf>
    <xf numFmtId="0" fontId="3" fillId="2" borderId="75" xfId="0" applyFont="1" applyFill="1" applyBorder="1" applyAlignment="1" applyProtection="1">
      <alignment horizontal="center" vertical="center"/>
      <protection hidden="1"/>
    </xf>
    <xf numFmtId="0" fontId="3" fillId="2" borderId="46" xfId="0" applyFont="1" applyFill="1" applyBorder="1" applyAlignment="1" applyProtection="1">
      <alignment horizontal="center" vertical="center"/>
      <protection hidden="1"/>
    </xf>
    <xf numFmtId="0" fontId="3" fillId="6" borderId="62" xfId="0" applyFont="1" applyFill="1" applyBorder="1" applyAlignment="1" applyProtection="1">
      <alignment horizontal="center" vertical="center"/>
      <protection hidden="1"/>
    </xf>
    <xf numFmtId="0" fontId="3" fillId="6" borderId="36" xfId="0" applyFont="1" applyFill="1" applyBorder="1" applyAlignment="1" applyProtection="1">
      <alignment horizontal="center" vertical="center"/>
      <protection hidden="1"/>
    </xf>
    <xf numFmtId="0" fontId="3" fillId="6" borderId="23" xfId="0" applyFont="1" applyFill="1" applyBorder="1" applyAlignment="1" applyProtection="1">
      <alignment horizontal="center" vertical="center"/>
      <protection hidden="1"/>
    </xf>
    <xf numFmtId="0" fontId="3" fillId="6" borderId="68" xfId="0" applyFont="1" applyFill="1" applyBorder="1" applyAlignment="1" applyProtection="1">
      <alignment horizontal="center" vertical="center"/>
      <protection hidden="1"/>
    </xf>
    <xf numFmtId="0" fontId="3" fillId="6" borderId="69" xfId="0" applyFont="1" applyFill="1" applyBorder="1" applyAlignment="1" applyProtection="1">
      <alignment horizontal="center" vertical="center"/>
      <protection hidden="1"/>
    </xf>
    <xf numFmtId="0" fontId="3" fillId="6" borderId="70" xfId="0" applyFont="1" applyFill="1" applyBorder="1" applyAlignment="1" applyProtection="1">
      <alignment horizontal="center" vertical="center"/>
      <protection hidden="1"/>
    </xf>
    <xf numFmtId="0" fontId="0" fillId="6" borderId="71" xfId="0" applyFill="1" applyBorder="1" applyAlignment="1" applyProtection="1">
      <alignment horizontal="center"/>
      <protection hidden="1"/>
    </xf>
    <xf numFmtId="0" fontId="27" fillId="10" borderId="25" xfId="0" applyFont="1" applyFill="1" applyBorder="1" applyAlignment="1" applyProtection="1">
      <alignment vertical="center" wrapText="1"/>
      <protection hidden="1"/>
    </xf>
    <xf numFmtId="0" fontId="29" fillId="0" borderId="25" xfId="0" applyFont="1" applyBorder="1" applyAlignment="1" applyProtection="1">
      <alignment vertical="center" wrapText="1"/>
      <protection hidden="1"/>
    </xf>
    <xf numFmtId="0" fontId="3" fillId="2" borderId="0" xfId="0" applyFont="1" applyFill="1" applyAlignment="1" applyProtection="1">
      <alignment horizontal="left" vertical="top" wrapText="1"/>
      <protection hidden="1"/>
    </xf>
    <xf numFmtId="0" fontId="4" fillId="0" borderId="24" xfId="0" applyFont="1" applyFill="1" applyBorder="1" applyAlignment="1" applyProtection="1">
      <alignment horizontal="center" vertical="center" wrapText="1"/>
      <protection hidden="1"/>
    </xf>
    <xf numFmtId="0" fontId="4" fillId="0" borderId="0" xfId="0" applyFont="1" applyFill="1" applyBorder="1" applyAlignment="1" applyProtection="1">
      <alignment horizontal="center" vertical="center" wrapText="1"/>
      <protection hidden="1"/>
    </xf>
    <xf numFmtId="0" fontId="3" fillId="2" borderId="24" xfId="0" applyFont="1" applyFill="1" applyBorder="1" applyAlignment="1" applyProtection="1">
      <alignment horizontal="center" vertical="center" wrapText="1"/>
      <protection hidden="1"/>
    </xf>
    <xf numFmtId="0" fontId="3" fillId="2" borderId="0" xfId="0" applyFont="1" applyFill="1" applyBorder="1" applyAlignment="1" applyProtection="1">
      <alignment horizontal="center" vertical="center" wrapText="1"/>
      <protection hidden="1"/>
    </xf>
    <xf numFmtId="0" fontId="3" fillId="2" borderId="25" xfId="0" applyFont="1" applyFill="1" applyBorder="1" applyAlignment="1" applyProtection="1">
      <alignment horizontal="center" vertical="center" wrapText="1"/>
      <protection hidden="1"/>
    </xf>
    <xf numFmtId="0" fontId="3" fillId="2" borderId="33" xfId="0" applyFont="1" applyFill="1" applyBorder="1" applyAlignment="1" applyProtection="1">
      <alignment horizontal="center" vertical="center" wrapText="1"/>
      <protection hidden="1"/>
    </xf>
    <xf numFmtId="0" fontId="3" fillId="2" borderId="35" xfId="0" applyFont="1" applyFill="1" applyBorder="1" applyAlignment="1" applyProtection="1">
      <alignment horizontal="center" vertical="center" wrapText="1"/>
      <protection hidden="1"/>
    </xf>
    <xf numFmtId="0" fontId="3" fillId="2" borderId="32" xfId="0" applyFont="1" applyFill="1" applyBorder="1" applyAlignment="1" applyProtection="1">
      <alignment horizontal="center" vertical="center" wrapText="1"/>
      <protection hidden="1"/>
    </xf>
    <xf numFmtId="0" fontId="21" fillId="6" borderId="37" xfId="0" applyFont="1" applyFill="1" applyBorder="1" applyAlignment="1" applyProtection="1">
      <alignment horizontal="center" vertical="center" wrapText="1"/>
      <protection hidden="1"/>
    </xf>
    <xf numFmtId="0" fontId="21" fillId="6" borderId="34" xfId="0" applyFont="1" applyFill="1" applyBorder="1" applyAlignment="1" applyProtection="1">
      <alignment horizontal="center" vertical="center" wrapText="1"/>
      <protection hidden="1"/>
    </xf>
    <xf numFmtId="49" fontId="3" fillId="2" borderId="61" xfId="0" applyNumberFormat="1" applyFont="1" applyFill="1" applyBorder="1" applyAlignment="1" applyProtection="1">
      <alignment horizontal="center" wrapText="1"/>
      <protection hidden="1"/>
    </xf>
    <xf numFmtId="49" fontId="3" fillId="2" borderId="34" xfId="0" applyNumberFormat="1" applyFont="1" applyFill="1" applyBorder="1" applyAlignment="1" applyProtection="1">
      <alignment horizontal="center" wrapText="1"/>
      <protection hidden="1"/>
    </xf>
    <xf numFmtId="0" fontId="5" fillId="0" borderId="35" xfId="0" applyNumberFormat="1" applyFont="1" applyBorder="1" applyAlignment="1" applyProtection="1">
      <alignment horizontal="center" vertical="center"/>
      <protection hidden="1"/>
    </xf>
    <xf numFmtId="0" fontId="27" fillId="10" borderId="0" xfId="0" applyFont="1" applyFill="1" applyBorder="1" applyAlignment="1" applyProtection="1">
      <alignment horizontal="center" vertical="center" wrapText="1"/>
      <protection hidden="1"/>
    </xf>
    <xf numFmtId="0" fontId="3" fillId="6" borderId="24" xfId="0" applyFont="1" applyFill="1" applyBorder="1" applyAlignment="1" applyProtection="1">
      <alignment horizontal="center" vertical="center"/>
      <protection hidden="1"/>
    </xf>
    <xf numFmtId="0" fontId="3" fillId="6" borderId="0" xfId="0" applyFont="1" applyFill="1" applyBorder="1" applyAlignment="1" applyProtection="1">
      <alignment horizontal="center" vertical="center"/>
      <protection hidden="1"/>
    </xf>
    <xf numFmtId="0" fontId="3" fillId="6" borderId="25" xfId="0" applyFont="1" applyFill="1" applyBorder="1" applyAlignment="1" applyProtection="1">
      <alignment horizontal="center" vertical="center"/>
      <protection hidden="1"/>
    </xf>
    <xf numFmtId="0" fontId="3" fillId="8" borderId="62" xfId="0" applyFont="1" applyFill="1" applyBorder="1" applyAlignment="1" applyProtection="1">
      <alignment horizontal="center" vertical="center"/>
      <protection hidden="1"/>
    </xf>
    <xf numFmtId="0" fontId="3" fillId="8" borderId="24" xfId="0" applyFont="1" applyFill="1" applyBorder="1" applyAlignment="1" applyProtection="1">
      <alignment horizontal="center" vertical="center"/>
      <protection hidden="1"/>
    </xf>
    <xf numFmtId="0" fontId="3" fillId="8" borderId="33" xfId="0" applyFont="1" applyFill="1" applyBorder="1" applyAlignment="1" applyProtection="1">
      <alignment horizontal="center" vertical="center"/>
      <protection hidden="1"/>
    </xf>
    <xf numFmtId="49" fontId="0" fillId="7" borderId="61" xfId="0" applyNumberFormat="1" applyFill="1" applyBorder="1" applyAlignment="1" applyProtection="1">
      <alignment horizontal="center" vertical="center" wrapText="1"/>
      <protection hidden="1"/>
    </xf>
    <xf numFmtId="49" fontId="0" fillId="7" borderId="37" xfId="0" applyNumberFormat="1" applyFill="1" applyBorder="1" applyAlignment="1" applyProtection="1">
      <alignment horizontal="center" vertical="center" wrapText="1"/>
      <protection hidden="1"/>
    </xf>
    <xf numFmtId="0" fontId="0" fillId="7" borderId="61" xfId="0" applyFill="1" applyBorder="1" applyAlignment="1" applyProtection="1">
      <alignment horizontal="center" vertical="center" wrapText="1"/>
      <protection hidden="1"/>
    </xf>
    <xf numFmtId="0" fontId="0" fillId="7" borderId="24" xfId="0" applyFill="1" applyBorder="1" applyAlignment="1" applyProtection="1">
      <alignment horizontal="center" vertical="center" wrapText="1"/>
      <protection hidden="1"/>
    </xf>
    <xf numFmtId="0" fontId="6" fillId="6" borderId="61" xfId="0" applyFont="1" applyFill="1" applyBorder="1" applyAlignment="1" applyProtection="1">
      <alignment horizontal="center" vertical="center" wrapText="1"/>
      <protection hidden="1"/>
    </xf>
    <xf numFmtId="0" fontId="6" fillId="6" borderId="37" xfId="0" applyFont="1" applyFill="1" applyBorder="1" applyAlignment="1" applyProtection="1">
      <alignment horizontal="center" vertical="center" wrapText="1"/>
      <protection hidden="1"/>
    </xf>
    <xf numFmtId="0" fontId="3" fillId="2" borderId="62" xfId="0" applyFont="1" applyFill="1" applyBorder="1" applyAlignment="1" applyProtection="1">
      <alignment horizontal="center" vertical="center"/>
      <protection hidden="1"/>
    </xf>
    <xf numFmtId="0" fontId="3" fillId="2" borderId="36" xfId="0" applyFont="1" applyFill="1" applyBorder="1" applyAlignment="1" applyProtection="1">
      <alignment horizontal="center" vertical="center"/>
      <protection hidden="1"/>
    </xf>
    <xf numFmtId="0" fontId="3" fillId="2" borderId="33" xfId="0" applyFont="1" applyFill="1" applyBorder="1" applyAlignment="1" applyProtection="1">
      <alignment horizontal="center" vertical="center"/>
      <protection hidden="1"/>
    </xf>
    <xf numFmtId="0" fontId="3" fillId="2" borderId="35" xfId="0" applyFont="1" applyFill="1" applyBorder="1" applyAlignment="1" applyProtection="1">
      <alignment horizontal="center" vertical="center"/>
      <protection hidden="1"/>
    </xf>
    <xf numFmtId="0" fontId="3" fillId="6" borderId="33" xfId="0" applyFont="1" applyFill="1" applyBorder="1" applyAlignment="1" applyProtection="1">
      <alignment horizontal="center" vertical="center"/>
      <protection hidden="1"/>
    </xf>
    <xf numFmtId="0" fontId="3" fillId="6" borderId="35" xfId="0" applyFont="1" applyFill="1" applyBorder="1" applyAlignment="1" applyProtection="1">
      <alignment horizontal="center" vertical="center"/>
      <protection hidden="1"/>
    </xf>
    <xf numFmtId="0" fontId="3" fillId="6" borderId="32" xfId="0" applyFont="1" applyFill="1" applyBorder="1" applyAlignment="1" applyProtection="1">
      <alignment horizontal="center" vertical="center"/>
      <protection hidden="1"/>
    </xf>
    <xf numFmtId="0" fontId="5" fillId="0" borderId="36" xfId="0" applyFont="1" applyBorder="1" applyAlignment="1" applyProtection="1">
      <alignment horizontal="center"/>
      <protection hidden="1"/>
    </xf>
    <xf numFmtId="0" fontId="0" fillId="0" borderId="72" xfId="0" applyBorder="1" applyAlignment="1" applyProtection="1">
      <alignment horizontal="center"/>
      <protection hidden="1"/>
    </xf>
    <xf numFmtId="0" fontId="3" fillId="0" borderId="61" xfId="0" applyFont="1" applyFill="1" applyBorder="1" applyAlignment="1" applyProtection="1">
      <alignment horizontal="center" vertical="center" wrapText="1"/>
      <protection hidden="1"/>
    </xf>
    <xf numFmtId="0" fontId="3" fillId="0" borderId="34" xfId="0" applyFont="1" applyFill="1" applyBorder="1" applyAlignment="1" applyProtection="1">
      <alignment horizontal="center" vertical="center" wrapText="1"/>
      <protection hidden="1"/>
    </xf>
    <xf numFmtId="0" fontId="0" fillId="7" borderId="26" xfId="0" applyFill="1" applyBorder="1" applyAlignment="1">
      <alignment horizontal="center"/>
    </xf>
    <xf numFmtId="0" fontId="0" fillId="7" borderId="60" xfId="0" applyFill="1" applyBorder="1" applyAlignment="1">
      <alignment horizontal="center"/>
    </xf>
    <xf numFmtId="0" fontId="0" fillId="2" borderId="21" xfId="0" applyFill="1" applyBorder="1" applyAlignment="1">
      <alignment horizontal="center"/>
    </xf>
    <xf numFmtId="0" fontId="0" fillId="2" borderId="63" xfId="0" applyFill="1" applyBorder="1" applyAlignment="1">
      <alignment horizontal="center"/>
    </xf>
    <xf numFmtId="0" fontId="3" fillId="0" borderId="62" xfId="0" applyFont="1" applyFill="1" applyBorder="1" applyAlignment="1">
      <alignment horizontal="center" vertical="center"/>
    </xf>
    <xf numFmtId="0" fontId="0" fillId="0" borderId="36" xfId="0" applyFill="1" applyBorder="1" applyAlignment="1">
      <alignment horizontal="center" vertical="center"/>
    </xf>
    <xf numFmtId="0" fontId="0" fillId="0" borderId="23" xfId="0" applyFill="1" applyBorder="1" applyAlignment="1">
      <alignment horizontal="center" vertical="center"/>
    </xf>
    <xf numFmtId="0" fontId="0" fillId="0" borderId="33" xfId="0" applyFill="1" applyBorder="1" applyAlignment="1">
      <alignment horizontal="center" vertical="center"/>
    </xf>
    <xf numFmtId="0" fontId="0" fillId="0" borderId="35" xfId="0" applyFill="1" applyBorder="1" applyAlignment="1">
      <alignment horizontal="center" vertical="center"/>
    </xf>
    <xf numFmtId="0" fontId="0" fillId="0" borderId="32" xfId="0" applyFill="1" applyBorder="1" applyAlignment="1">
      <alignment horizontal="center" vertical="center"/>
    </xf>
    <xf numFmtId="0" fontId="3" fillId="7" borderId="62" xfId="0" applyFont="1" applyFill="1" applyBorder="1" applyAlignment="1">
      <alignment horizontal="center" vertical="center"/>
    </xf>
    <xf numFmtId="0" fontId="0" fillId="0" borderId="36" xfId="0" applyBorder="1" applyAlignment="1"/>
    <xf numFmtId="0" fontId="0" fillId="0" borderId="23" xfId="0" applyBorder="1" applyAlignment="1"/>
    <xf numFmtId="0" fontId="0" fillId="0" borderId="68" xfId="0" applyBorder="1" applyAlignment="1"/>
    <xf numFmtId="0" fontId="0" fillId="0" borderId="69" xfId="0" applyBorder="1" applyAlignment="1"/>
    <xf numFmtId="0" fontId="0" fillId="0" borderId="70" xfId="0" applyBorder="1" applyAlignment="1"/>
    <xf numFmtId="0" fontId="0" fillId="0" borderId="0" xfId="0" applyAlignment="1">
      <alignment horizontal="center"/>
    </xf>
    <xf numFmtId="0" fontId="0" fillId="0" borderId="0" xfId="0" applyFill="1" applyBorder="1" applyAlignment="1">
      <alignment horizontal="center"/>
    </xf>
    <xf numFmtId="0" fontId="0" fillId="2" borderId="20" xfId="0" applyFill="1" applyBorder="1" applyAlignment="1">
      <alignment horizontal="center"/>
    </xf>
    <xf numFmtId="0" fontId="0" fillId="2" borderId="1" xfId="0" applyFill="1" applyBorder="1" applyAlignment="1">
      <alignment horizontal="center"/>
    </xf>
    <xf numFmtId="0" fontId="3" fillId="2" borderId="3" xfId="0" applyFont="1" applyFill="1" applyBorder="1" applyAlignment="1">
      <alignment horizontal="center"/>
    </xf>
    <xf numFmtId="0" fontId="3" fillId="2" borderId="76" xfId="0" applyFont="1" applyFill="1" applyBorder="1" applyAlignment="1">
      <alignment horizontal="center"/>
    </xf>
    <xf numFmtId="0" fontId="3" fillId="2" borderId="77" xfId="0" applyFont="1" applyFill="1" applyBorder="1" applyAlignment="1">
      <alignment horizontal="center"/>
    </xf>
    <xf numFmtId="0" fontId="3" fillId="2" borderId="78" xfId="0" applyFont="1" applyFill="1" applyBorder="1" applyAlignment="1">
      <alignment horizontal="center"/>
    </xf>
    <xf numFmtId="0" fontId="3" fillId="2" borderId="8" xfId="0" applyFont="1" applyFill="1" applyBorder="1" applyAlignment="1">
      <alignment horizontal="center"/>
    </xf>
    <xf numFmtId="0" fontId="3" fillId="2" borderId="79" xfId="0" applyFont="1" applyFill="1" applyBorder="1" applyAlignment="1">
      <alignment horizontal="center"/>
    </xf>
    <xf numFmtId="0" fontId="3" fillId="2" borderId="80" xfId="0" applyFont="1" applyFill="1" applyBorder="1" applyAlignment="1">
      <alignment horizontal="center"/>
    </xf>
    <xf numFmtId="0" fontId="3" fillId="2" borderId="20"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12" xfId="0" applyFont="1" applyFill="1" applyBorder="1" applyAlignment="1">
      <alignment horizontal="center"/>
    </xf>
    <xf numFmtId="0" fontId="3" fillId="2" borderId="81" xfId="0" applyFont="1" applyFill="1" applyBorder="1" applyAlignment="1">
      <alignment horizontal="center"/>
    </xf>
    <xf numFmtId="0" fontId="3" fillId="2" borderId="82" xfId="0" applyFont="1" applyFill="1" applyBorder="1" applyAlignment="1">
      <alignment horizontal="center"/>
    </xf>
    <xf numFmtId="0" fontId="3" fillId="2" borderId="83" xfId="0" applyFont="1" applyFill="1" applyBorder="1" applyAlignment="1">
      <alignment horizontal="center"/>
    </xf>
    <xf numFmtId="0" fontId="6" fillId="0" borderId="24" xfId="0" applyFont="1" applyBorder="1" applyAlignment="1" applyProtection="1">
      <alignment horizontal="left" vertical="center" wrapText="1"/>
      <protection hidden="1"/>
    </xf>
    <xf numFmtId="0" fontId="5" fillId="0" borderId="0" xfId="0" applyFont="1" applyAlignment="1" applyProtection="1">
      <alignment vertical="center" wrapText="1"/>
      <protection hidden="1"/>
    </xf>
    <xf numFmtId="0" fontId="19" fillId="0" borderId="24" xfId="0" applyFont="1" applyBorder="1" applyAlignment="1" applyProtection="1">
      <alignment horizontal="left" vertical="center" wrapText="1"/>
      <protection hidden="1"/>
    </xf>
    <xf numFmtId="0" fontId="8" fillId="2" borderId="0" xfId="0" applyFont="1" applyFill="1" applyAlignment="1" applyProtection="1">
      <alignment horizontal="left" vertical="center"/>
      <protection hidden="1"/>
    </xf>
    <xf numFmtId="0" fontId="6" fillId="0" borderId="0" xfId="0" applyFont="1" applyFill="1" applyBorder="1" applyAlignment="1" applyProtection="1">
      <alignment horizontal="left" vertical="center" wrapText="1"/>
      <protection hidden="1"/>
    </xf>
    <xf numFmtId="0" fontId="5" fillId="0" borderId="61" xfId="0" applyFont="1" applyBorder="1" applyAlignment="1" applyProtection="1">
      <alignment horizontal="center" vertical="center"/>
      <protection hidden="1"/>
    </xf>
    <xf numFmtId="0" fontId="5" fillId="0" borderId="34" xfId="0" applyFont="1" applyBorder="1" applyAlignment="1" applyProtection="1">
      <alignment horizontal="center" vertical="center"/>
      <protection hidden="1"/>
    </xf>
    <xf numFmtId="0" fontId="5" fillId="0" borderId="37" xfId="0" applyFont="1" applyBorder="1" applyAlignment="1" applyProtection="1">
      <alignment horizontal="center" vertical="center"/>
      <protection hidden="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19050</xdr:colOff>
      <xdr:row>0</xdr:row>
      <xdr:rowOff>3175</xdr:rowOff>
    </xdr:from>
    <xdr:to>
      <xdr:col>12</xdr:col>
      <xdr:colOff>434993</xdr:colOff>
      <xdr:row>7</xdr:row>
      <xdr:rowOff>11</xdr:rowOff>
    </xdr:to>
    <xdr:sp macro="" textlink="">
      <xdr:nvSpPr>
        <xdr:cNvPr id="3103" name="Text Box 31"/>
        <xdr:cNvSpPr txBox="1">
          <a:spLocks noChangeArrowheads="1"/>
        </xdr:cNvSpPr>
      </xdr:nvSpPr>
      <xdr:spPr bwMode="auto">
        <a:xfrm>
          <a:off x="9858375" y="9525"/>
          <a:ext cx="2333625" cy="1171575"/>
        </a:xfrm>
        <a:prstGeom prst="rect">
          <a:avLst/>
        </a:prstGeom>
        <a:solidFill>
          <a:srgbClr val="FFFF99"/>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strike="noStrike">
              <a:solidFill>
                <a:srgbClr val="FF0000"/>
              </a:solidFill>
              <a:latin typeface="Arial"/>
              <a:cs typeface="Arial"/>
            </a:rPr>
            <a:t>Important: to use this calculator, you must enable some of the Excel Add-Ins (Inside “Tools” tab, select Analysis ToolPak and Analysis ToolPak – VBA)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209550</xdr:colOff>
      <xdr:row>4</xdr:row>
      <xdr:rowOff>161925</xdr:rowOff>
    </xdr:from>
    <xdr:to>
      <xdr:col>3</xdr:col>
      <xdr:colOff>933450</xdr:colOff>
      <xdr:row>5</xdr:row>
      <xdr:rowOff>180975</xdr:rowOff>
    </xdr:to>
    <xdr:sp macro="" textlink="">
      <xdr:nvSpPr>
        <xdr:cNvPr id="2102" name="AutoShape 5"/>
        <xdr:cNvSpPr>
          <a:spLocks noChangeArrowheads="1"/>
        </xdr:cNvSpPr>
      </xdr:nvSpPr>
      <xdr:spPr bwMode="auto">
        <a:xfrm>
          <a:off x="3209925" y="809625"/>
          <a:ext cx="723900" cy="190500"/>
        </a:xfrm>
        <a:prstGeom prst="rightArrow">
          <a:avLst>
            <a:gd name="adj1" fmla="val 50000"/>
            <a:gd name="adj2" fmla="val 95000"/>
          </a:avLst>
        </a:prstGeom>
        <a:solidFill>
          <a:srgbClr val="339966"/>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39"/>
  <sheetViews>
    <sheetView tabSelected="1" zoomScale="75" workbookViewId="0">
      <pane ySplit="15" topLeftCell="A16" activePane="bottomLeft" state="frozen"/>
      <selection pane="bottomLeft" activeCell="H9" sqref="H9"/>
    </sheetView>
  </sheetViews>
  <sheetFormatPr defaultRowHeight="12.75" x14ac:dyDescent="0.2"/>
  <cols>
    <col min="1" max="1" width="14.5703125" style="63" customWidth="1"/>
    <col min="2" max="2" width="14.140625" style="63" customWidth="1"/>
    <col min="3" max="3" width="16" style="63" customWidth="1"/>
    <col min="4" max="4" width="12.42578125" style="65" customWidth="1"/>
    <col min="5" max="5" width="12.140625" style="63" customWidth="1"/>
    <col min="6" max="6" width="14.5703125" style="63" customWidth="1"/>
    <col min="7" max="7" width="16" style="63" customWidth="1"/>
    <col min="8" max="8" width="15.140625" style="63" customWidth="1"/>
    <col min="9" max="9" width="14.7109375" style="63" customWidth="1"/>
    <col min="10" max="10" width="17.7109375" style="63" customWidth="1"/>
    <col min="11" max="11" width="16.28515625" style="63" customWidth="1"/>
    <col min="12" max="12" width="12.7109375" style="63" customWidth="1"/>
    <col min="13" max="13" width="15.140625" style="63" customWidth="1"/>
    <col min="14" max="14" width="14.7109375" style="65" customWidth="1"/>
    <col min="15" max="15" width="13.28515625" style="65" customWidth="1"/>
    <col min="16" max="16" width="12.7109375" style="63" customWidth="1"/>
    <col min="17" max="17" width="12.42578125" style="63" customWidth="1"/>
    <col min="18" max="18" width="10" style="63" customWidth="1"/>
    <col min="19" max="19" width="4.5703125" style="63" customWidth="1"/>
    <col min="20" max="20" width="18.28515625" style="63" customWidth="1"/>
    <col min="21" max="16384" width="9.140625" style="63"/>
  </cols>
  <sheetData>
    <row r="1" spans="1:16" x14ac:dyDescent="0.2">
      <c r="A1" s="413" t="s">
        <v>403</v>
      </c>
      <c r="B1" s="413"/>
      <c r="C1" s="413"/>
      <c r="D1" s="413"/>
      <c r="E1" s="413"/>
      <c r="F1" s="413"/>
      <c r="G1" s="413"/>
      <c r="H1" s="413"/>
      <c r="I1" s="413"/>
      <c r="J1" s="413"/>
      <c r="K1" s="78"/>
      <c r="M1" s="78"/>
      <c r="N1" s="75"/>
    </row>
    <row r="2" spans="1:16" ht="15.75" customHeight="1" x14ac:dyDescent="0.2">
      <c r="A2" s="413"/>
      <c r="B2" s="413"/>
      <c r="C2" s="413"/>
      <c r="D2" s="413"/>
      <c r="E2" s="413"/>
      <c r="F2" s="413"/>
      <c r="G2" s="413"/>
      <c r="H2" s="413"/>
      <c r="I2" s="413"/>
      <c r="J2" s="413"/>
      <c r="K2" s="78"/>
      <c r="M2" s="78"/>
      <c r="O2" s="241"/>
      <c r="P2" s="242"/>
    </row>
    <row r="3" spans="1:16" x14ac:dyDescent="0.2">
      <c r="A3" s="413"/>
      <c r="B3" s="413"/>
      <c r="C3" s="413"/>
      <c r="D3" s="413"/>
      <c r="E3" s="413"/>
      <c r="F3" s="413"/>
      <c r="G3" s="413"/>
      <c r="H3" s="413"/>
      <c r="I3" s="413"/>
      <c r="J3" s="413"/>
      <c r="K3" s="78"/>
      <c r="M3" s="78"/>
      <c r="N3" s="75"/>
      <c r="P3" s="242"/>
    </row>
    <row r="4" spans="1:16" x14ac:dyDescent="0.2">
      <c r="A4" s="413"/>
      <c r="B4" s="413"/>
      <c r="C4" s="413"/>
      <c r="D4" s="413"/>
      <c r="E4" s="413"/>
      <c r="F4" s="413"/>
      <c r="G4" s="413"/>
      <c r="H4" s="413"/>
      <c r="I4" s="413"/>
      <c r="J4" s="413"/>
      <c r="K4" s="78"/>
      <c r="M4" s="78"/>
      <c r="N4" s="75"/>
      <c r="P4" s="242"/>
    </row>
    <row r="5" spans="1:16" x14ac:dyDescent="0.2">
      <c r="A5" s="413"/>
      <c r="B5" s="413"/>
      <c r="C5" s="413"/>
      <c r="D5" s="413"/>
      <c r="E5" s="413"/>
      <c r="F5" s="413"/>
      <c r="G5" s="413"/>
      <c r="H5" s="413"/>
      <c r="I5" s="413"/>
      <c r="J5" s="413"/>
      <c r="K5" s="78"/>
      <c r="M5" s="78"/>
    </row>
    <row r="6" spans="1:16" x14ac:dyDescent="0.2">
      <c r="A6" s="413"/>
      <c r="B6" s="413"/>
      <c r="C6" s="413"/>
      <c r="D6" s="413"/>
      <c r="E6" s="413"/>
      <c r="F6" s="413"/>
      <c r="G6" s="413"/>
      <c r="H6" s="413"/>
      <c r="I6" s="413"/>
      <c r="J6" s="413"/>
      <c r="K6" s="78"/>
      <c r="M6" s="78"/>
    </row>
    <row r="7" spans="1:16" x14ac:dyDescent="0.2">
      <c r="A7" s="413"/>
      <c r="B7" s="413"/>
      <c r="C7" s="413"/>
      <c r="D7" s="413"/>
      <c r="E7" s="413"/>
      <c r="F7" s="413"/>
      <c r="G7" s="413"/>
      <c r="H7" s="413"/>
      <c r="I7" s="413"/>
      <c r="J7" s="413"/>
      <c r="K7" s="78"/>
      <c r="M7" s="78"/>
      <c r="N7" s="75"/>
    </row>
    <row r="8" spans="1:16" s="300" customFormat="1" ht="22.5" customHeight="1" thickBot="1" x14ac:dyDescent="0.25">
      <c r="A8" s="302" t="s">
        <v>8</v>
      </c>
      <c r="C8" s="294" t="s">
        <v>363</v>
      </c>
      <c r="G8" s="294" t="s">
        <v>384</v>
      </c>
      <c r="H8" s="301"/>
      <c r="J8" s="303" t="s">
        <v>417</v>
      </c>
      <c r="L8" s="294" t="s">
        <v>407</v>
      </c>
      <c r="M8" s="318"/>
    </row>
    <row r="9" spans="1:16" ht="33" customHeight="1" thickBot="1" x14ac:dyDescent="0.25">
      <c r="A9" s="244" t="s">
        <v>7</v>
      </c>
      <c r="C9" s="319" t="s">
        <v>9</v>
      </c>
      <c r="D9" s="414" t="str">
        <f>IF(C9="OFF","Manchester is Disabled",(IF(C9="ON","Manchester Mode is Enabled","Manchester like data stream")))</f>
        <v>Manchester Mode is Enabled</v>
      </c>
      <c r="E9" s="415"/>
      <c r="G9" s="265">
        <v>40</v>
      </c>
      <c r="H9" s="265">
        <v>40</v>
      </c>
      <c r="J9" s="265">
        <v>433.81</v>
      </c>
      <c r="L9" s="266">
        <v>2.4</v>
      </c>
    </row>
    <row r="10" spans="1:16" ht="17.25" customHeight="1" x14ac:dyDescent="0.2">
      <c r="C10" s="296" t="str">
        <f>IF(C9="ON","When Manchester is enabled Rb is the data rate before the Manchester encoding","")</f>
        <v>When Manchester is enabled Rb is the data rate before the Manchester encoding</v>
      </c>
      <c r="G10" s="260" t="s">
        <v>386</v>
      </c>
      <c r="H10" s="260" t="s">
        <v>387</v>
      </c>
      <c r="K10" s="190"/>
      <c r="N10" s="63"/>
    </row>
    <row r="11" spans="1:16" s="297" customFormat="1" ht="22.5" customHeight="1" thickBot="1" x14ac:dyDescent="0.3">
      <c r="A11" s="297" t="s">
        <v>418</v>
      </c>
      <c r="C11" s="295"/>
      <c r="D11" s="298"/>
      <c r="E11" s="297" t="s">
        <v>414</v>
      </c>
      <c r="F11" s="299"/>
      <c r="H11" s="295"/>
      <c r="O11" s="298"/>
    </row>
    <row r="12" spans="1:16" s="315" customFormat="1" ht="13.5" customHeight="1" x14ac:dyDescent="0.25">
      <c r="A12" s="342" t="s">
        <v>399</v>
      </c>
      <c r="B12" s="342" t="s">
        <v>390</v>
      </c>
      <c r="C12" s="424" t="s">
        <v>416</v>
      </c>
      <c r="D12" s="311"/>
      <c r="E12" s="312" t="s">
        <v>421</v>
      </c>
      <c r="F12" s="314"/>
      <c r="H12" s="313"/>
      <c r="K12" s="331" t="s">
        <v>383</v>
      </c>
      <c r="O12" s="311"/>
    </row>
    <row r="13" spans="1:16" s="315" customFormat="1" ht="13.5" customHeight="1" thickBot="1" x14ac:dyDescent="0.3">
      <c r="A13" s="343"/>
      <c r="B13" s="343"/>
      <c r="C13" s="425"/>
      <c r="D13" s="311"/>
      <c r="E13" s="316" t="s">
        <v>160</v>
      </c>
      <c r="F13" s="314"/>
      <c r="H13" s="313"/>
      <c r="K13" s="332"/>
      <c r="O13" s="311"/>
    </row>
    <row r="14" spans="1:16" s="306" customFormat="1" ht="18.75" customHeight="1" thickBot="1" x14ac:dyDescent="0.3">
      <c r="A14" s="308" t="s">
        <v>410</v>
      </c>
      <c r="B14" s="309" t="s">
        <v>413</v>
      </c>
      <c r="C14" s="266">
        <v>25</v>
      </c>
      <c r="D14" s="304"/>
      <c r="E14" s="310">
        <v>200</v>
      </c>
      <c r="F14" s="299"/>
      <c r="H14" s="305"/>
      <c r="K14" s="243">
        <v>30000</v>
      </c>
      <c r="M14" s="75"/>
      <c r="O14" s="304"/>
    </row>
    <row r="15" spans="1:16" ht="13.5" customHeight="1" thickBot="1" x14ac:dyDescent="0.25">
      <c r="A15" s="264" t="str">
        <f>IF('Hidden calc'!A30=1,"Please check your Carrier Frequency - It is out of range","")</f>
        <v/>
      </c>
      <c r="B15" s="75"/>
      <c r="C15" s="75"/>
      <c r="G15" s="426" t="str">
        <f>IF('Hidden calc'!C30=1,"Please Change your Rb input-It is out of range",IF('Hidden calc'!D30=1,"Please Change your Fd input-It is out of range",""))</f>
        <v/>
      </c>
      <c r="H15" s="426"/>
      <c r="I15" s="426"/>
      <c r="J15" s="426"/>
      <c r="K15" s="190"/>
      <c r="N15" s="63"/>
    </row>
    <row r="16" spans="1:16" ht="17.25" customHeight="1" x14ac:dyDescent="0.25">
      <c r="A16" s="380" t="s">
        <v>234</v>
      </c>
      <c r="B16" s="238" t="s">
        <v>253</v>
      </c>
      <c r="C16" s="203"/>
      <c r="D16" s="79"/>
      <c r="E16" s="79"/>
      <c r="F16" s="79"/>
      <c r="G16" s="79"/>
      <c r="H16" s="79"/>
      <c r="I16" s="79"/>
      <c r="J16" s="79"/>
      <c r="K16" s="79"/>
      <c r="L16" s="79"/>
      <c r="M16" s="80"/>
    </row>
    <row r="17" spans="1:31" ht="16.5" customHeight="1" thickBot="1" x14ac:dyDescent="0.3">
      <c r="A17" s="382"/>
      <c r="B17" s="239" t="s">
        <v>368</v>
      </c>
      <c r="C17" s="205"/>
      <c r="D17" s="83"/>
      <c r="E17" s="83"/>
      <c r="F17" s="83"/>
      <c r="G17" s="83"/>
      <c r="H17" s="83"/>
      <c r="I17" s="83"/>
      <c r="J17" s="83"/>
      <c r="K17" s="83"/>
      <c r="L17" s="83"/>
      <c r="M17" s="84"/>
    </row>
    <row r="18" spans="1:31" ht="12" customHeight="1" x14ac:dyDescent="0.2">
      <c r="A18" s="427" t="s">
        <v>240</v>
      </c>
      <c r="B18" s="416" t="s">
        <v>208</v>
      </c>
      <c r="C18" s="417"/>
      <c r="D18" s="418"/>
      <c r="E18" s="422" t="s">
        <v>333</v>
      </c>
      <c r="F18" s="422" t="s">
        <v>394</v>
      </c>
    </row>
    <row r="19" spans="1:31" ht="14.25" customHeight="1" thickBot="1" x14ac:dyDescent="0.25">
      <c r="A19" s="427"/>
      <c r="B19" s="419"/>
      <c r="C19" s="420"/>
      <c r="D19" s="421"/>
      <c r="E19" s="423"/>
      <c r="F19" s="422"/>
      <c r="K19" s="190"/>
    </row>
    <row r="20" spans="1:31" ht="15" customHeight="1" x14ac:dyDescent="0.2">
      <c r="A20" s="427"/>
      <c r="B20" s="333" t="s">
        <v>415</v>
      </c>
      <c r="C20" s="334"/>
      <c r="D20" s="335"/>
      <c r="E20" s="210" t="s">
        <v>242</v>
      </c>
      <c r="F20" s="269"/>
    </row>
    <row r="21" spans="1:31" ht="13.5" customHeight="1" x14ac:dyDescent="0.2">
      <c r="A21" s="427"/>
      <c r="B21" s="336" t="s">
        <v>245</v>
      </c>
      <c r="C21" s="337"/>
      <c r="D21" s="338"/>
      <c r="E21" s="210" t="s">
        <v>245</v>
      </c>
      <c r="F21" s="262" t="s">
        <v>395</v>
      </c>
      <c r="O21" s="281"/>
    </row>
    <row r="22" spans="1:31" ht="14.25" customHeight="1" thickBot="1" x14ac:dyDescent="0.25">
      <c r="A22" s="427"/>
      <c r="B22" s="339">
        <f>J9</f>
        <v>433.81</v>
      </c>
      <c r="C22" s="340"/>
      <c r="D22" s="341"/>
      <c r="E22" s="211">
        <f>B22</f>
        <v>433.81</v>
      </c>
      <c r="F22" s="64">
        <f>K14/32</f>
        <v>937.5</v>
      </c>
      <c r="O22" s="281"/>
    </row>
    <row r="23" spans="1:31" ht="15" customHeight="1" x14ac:dyDescent="0.2">
      <c r="A23" s="427"/>
      <c r="B23" s="360" t="s">
        <v>210</v>
      </c>
      <c r="C23" s="361"/>
      <c r="D23" s="362"/>
      <c r="E23" s="317"/>
      <c r="F23" s="317"/>
      <c r="K23" s="348" t="s">
        <v>241</v>
      </c>
      <c r="L23" s="349"/>
      <c r="M23" s="350"/>
    </row>
    <row r="24" spans="1:31" ht="12.75" customHeight="1" thickBot="1" x14ac:dyDescent="0.25">
      <c r="A24" s="427"/>
      <c r="B24" s="363"/>
      <c r="C24" s="364"/>
      <c r="D24" s="365"/>
      <c r="E24" s="317"/>
      <c r="F24" s="317"/>
      <c r="K24" s="87" t="s">
        <v>244</v>
      </c>
      <c r="L24" s="87" t="str">
        <f>DEC2HEX(64+32*B28+HEX2DEC(C28))</f>
        <v>53</v>
      </c>
      <c r="M24" s="87" t="str">
        <f>CONCATENATE("S2 ",DEC2HEX(128+HEX2DEC(RIGHT(K24,2))),L24)</f>
        <v>S2 F553</v>
      </c>
    </row>
    <row r="25" spans="1:31" ht="10.5" customHeight="1" x14ac:dyDescent="0.2">
      <c r="A25" s="427"/>
      <c r="B25" s="90" t="s">
        <v>243</v>
      </c>
      <c r="C25" s="225"/>
      <c r="D25" s="224"/>
      <c r="K25" s="87" t="s">
        <v>249</v>
      </c>
      <c r="L25" s="88" t="str">
        <f>LEFT(D28,2)</f>
        <v>5F</v>
      </c>
      <c r="M25" s="88" t="str">
        <f>CONCATENATE("S2 ",DEC2HEX(128+HEX2DEC(RIGHT(K25,2))),L25)</f>
        <v>S2 F65F</v>
      </c>
    </row>
    <row r="26" spans="1:31" ht="14.25" customHeight="1" x14ac:dyDescent="0.2">
      <c r="A26" s="427"/>
      <c r="B26" s="90" t="s">
        <v>246</v>
      </c>
      <c r="C26" s="90" t="s">
        <v>247</v>
      </c>
      <c r="D26" s="90" t="s">
        <v>248</v>
      </c>
      <c r="K26" s="88" t="s">
        <v>250</v>
      </c>
      <c r="L26" s="88" t="str">
        <f>RIGHT(D28,2)</f>
        <v>40</v>
      </c>
      <c r="M26" s="88" t="str">
        <f>CONCATENATE("S2 ",DEC2HEX(128+HEX2DEC(RIGHT(K26,2))),L26)</f>
        <v>S2 F740</v>
      </c>
    </row>
    <row r="27" spans="1:31" ht="14.25" customHeight="1" x14ac:dyDescent="0.2">
      <c r="A27" s="427"/>
      <c r="B27" s="90" t="s">
        <v>251</v>
      </c>
      <c r="C27" s="90" t="s">
        <v>251</v>
      </c>
      <c r="D27" s="90" t="s">
        <v>252</v>
      </c>
    </row>
    <row r="28" spans="1:31" ht="10.5" customHeight="1" thickBot="1" x14ac:dyDescent="0.25">
      <c r="A28" s="427"/>
      <c r="B28" s="91">
        <f>IF(B22&gt;=480,1,0)</f>
        <v>0</v>
      </c>
      <c r="C28" s="91" t="str">
        <f>DEC2HEX(INT(B22/(10*($K$14/30000)*(1+B28)))-24,2)</f>
        <v>13</v>
      </c>
      <c r="D28" s="91" t="str">
        <f>DEC2HEX(ROUND(MOD(B22/(10*($K$14/30000)*(1+B28)),1)*64000,0),4)</f>
        <v>5F40</v>
      </c>
    </row>
    <row r="29" spans="1:31" ht="14.25" customHeight="1" thickBot="1" x14ac:dyDescent="0.25"/>
    <row r="30" spans="1:31" x14ac:dyDescent="0.2">
      <c r="A30" s="380" t="s">
        <v>234</v>
      </c>
      <c r="B30" s="351" t="s">
        <v>272</v>
      </c>
      <c r="C30" s="352"/>
      <c r="D30" s="352"/>
      <c r="E30" s="352"/>
      <c r="F30" s="352"/>
      <c r="G30" s="352"/>
      <c r="H30" s="352"/>
      <c r="I30" s="352"/>
      <c r="J30" s="352"/>
      <c r="K30" s="352"/>
      <c r="L30" s="352"/>
      <c r="M30" s="353"/>
      <c r="S30" s="65"/>
      <c r="T30" s="65"/>
      <c r="U30" s="65"/>
      <c r="V30" s="65"/>
      <c r="W30" s="65"/>
      <c r="X30" s="65"/>
      <c r="Y30" s="65"/>
      <c r="Z30" s="65"/>
      <c r="AA30" s="65"/>
      <c r="AB30" s="65"/>
      <c r="AC30" s="65"/>
      <c r="AD30" s="65"/>
      <c r="AE30" s="65"/>
    </row>
    <row r="31" spans="1:31" ht="3.75" customHeight="1" x14ac:dyDescent="0.2">
      <c r="A31" s="381"/>
      <c r="B31" s="354"/>
      <c r="C31" s="355"/>
      <c r="D31" s="355"/>
      <c r="E31" s="355"/>
      <c r="F31" s="355"/>
      <c r="G31" s="355"/>
      <c r="H31" s="355"/>
      <c r="I31" s="355"/>
      <c r="J31" s="355"/>
      <c r="K31" s="355"/>
      <c r="L31" s="355"/>
      <c r="M31" s="356"/>
      <c r="S31" s="65"/>
      <c r="T31" s="65"/>
      <c r="U31" s="65"/>
      <c r="V31" s="65"/>
      <c r="W31" s="65"/>
      <c r="X31" s="65"/>
      <c r="Y31" s="65"/>
      <c r="Z31" s="65"/>
      <c r="AA31" s="65"/>
      <c r="AB31" s="65"/>
      <c r="AC31" s="65"/>
      <c r="AD31" s="65"/>
      <c r="AE31" s="65"/>
    </row>
    <row r="32" spans="1:31" ht="4.5" customHeight="1" thickBot="1" x14ac:dyDescent="0.25">
      <c r="A32" s="382"/>
      <c r="B32" s="357"/>
      <c r="C32" s="358"/>
      <c r="D32" s="358"/>
      <c r="E32" s="358"/>
      <c r="F32" s="358"/>
      <c r="G32" s="358"/>
      <c r="H32" s="358"/>
      <c r="I32" s="358"/>
      <c r="J32" s="358"/>
      <c r="K32" s="358"/>
      <c r="L32" s="358"/>
      <c r="M32" s="359"/>
      <c r="S32" s="65"/>
      <c r="T32" s="65"/>
      <c r="U32" s="65"/>
      <c r="V32" s="65"/>
      <c r="W32" s="65"/>
      <c r="X32" s="65"/>
      <c r="Y32" s="65"/>
      <c r="Z32" s="65"/>
      <c r="AA32" s="65"/>
      <c r="AB32" s="65"/>
      <c r="AC32" s="65"/>
      <c r="AD32" s="65"/>
      <c r="AE32" s="65"/>
    </row>
    <row r="33" spans="1:31" ht="12.75" customHeight="1" x14ac:dyDescent="0.2">
      <c r="A33" s="411" t="s">
        <v>264</v>
      </c>
      <c r="B33" s="368" t="s">
        <v>265</v>
      </c>
      <c r="C33" s="404" t="s">
        <v>257</v>
      </c>
      <c r="D33" s="405"/>
      <c r="E33" s="405"/>
      <c r="F33" s="406"/>
      <c r="G33" s="370" t="s">
        <v>256</v>
      </c>
      <c r="H33" s="383"/>
      <c r="I33" s="383"/>
      <c r="J33" s="371"/>
      <c r="K33" s="366" t="s">
        <v>266</v>
      </c>
      <c r="L33" s="366"/>
      <c r="M33" s="367"/>
      <c r="R33" s="65"/>
      <c r="S33" s="65"/>
      <c r="T33" s="65"/>
      <c r="U33" s="65"/>
      <c r="V33" s="65"/>
      <c r="W33" s="65"/>
      <c r="X33" s="65"/>
      <c r="Y33" s="65"/>
      <c r="Z33" s="65"/>
      <c r="AA33" s="65"/>
      <c r="AB33" s="65"/>
      <c r="AC33" s="65"/>
      <c r="AD33" s="65"/>
      <c r="AE33" s="65"/>
    </row>
    <row r="34" spans="1:31" ht="13.5" thickBot="1" x14ac:dyDescent="0.25">
      <c r="A34" s="412"/>
      <c r="B34" s="369"/>
      <c r="C34" s="407"/>
      <c r="D34" s="408"/>
      <c r="E34" s="408"/>
      <c r="F34" s="409"/>
      <c r="G34" s="384"/>
      <c r="H34" s="385"/>
      <c r="I34" s="385"/>
      <c r="J34" s="386"/>
      <c r="K34" s="320" t="s">
        <v>267</v>
      </c>
      <c r="L34" s="88" t="str">
        <f>LEFT(G37,2)</f>
        <v>13</v>
      </c>
      <c r="M34" s="88" t="str">
        <f>CONCATENATE("S2 ",DEC2HEX(128+HEX2DEC(RIGHT(K34,2))),L34)</f>
        <v>S2 EE13</v>
      </c>
      <c r="R34" s="65"/>
      <c r="S34" s="65"/>
      <c r="T34" s="65"/>
      <c r="U34" s="65"/>
      <c r="V34" s="65"/>
      <c r="W34" s="65"/>
      <c r="X34" s="65"/>
      <c r="Y34" s="65"/>
      <c r="Z34" s="65"/>
      <c r="AA34" s="65"/>
      <c r="AB34" s="65"/>
      <c r="AC34" s="65"/>
      <c r="AD34" s="65"/>
      <c r="AE34" s="65"/>
    </row>
    <row r="35" spans="1:31" ht="13.5" thickTop="1" x14ac:dyDescent="0.2">
      <c r="A35" s="412"/>
      <c r="B35" s="212" t="s">
        <v>177</v>
      </c>
      <c r="C35" s="410" t="s">
        <v>268</v>
      </c>
      <c r="D35" s="410"/>
      <c r="E35" s="410"/>
      <c r="F35" s="410"/>
      <c r="G35" s="347" t="s">
        <v>268</v>
      </c>
      <c r="H35" s="347"/>
      <c r="I35" s="90" t="s">
        <v>269</v>
      </c>
      <c r="J35" s="90" t="s">
        <v>428</v>
      </c>
      <c r="K35" s="88" t="s">
        <v>270</v>
      </c>
      <c r="L35" s="88" t="str">
        <f>RIGHT(G37,2)</f>
        <v>A9</v>
      </c>
      <c r="M35" s="88" t="str">
        <f>CONCATENATE("S2 ",DEC2HEX(128+HEX2DEC(RIGHT(K35,2))),L35)</f>
        <v>S2 EFA9</v>
      </c>
      <c r="R35" s="65"/>
      <c r="S35" s="65"/>
      <c r="T35" s="65"/>
      <c r="U35" s="65"/>
      <c r="V35" s="65"/>
      <c r="W35" s="65"/>
      <c r="X35" s="65"/>
      <c r="Y35" s="65"/>
      <c r="Z35" s="65"/>
      <c r="AA35" s="65"/>
      <c r="AB35" s="65"/>
      <c r="AC35" s="65"/>
      <c r="AD35" s="65"/>
      <c r="AE35" s="65"/>
    </row>
    <row r="36" spans="1:31" x14ac:dyDescent="0.2">
      <c r="A36" s="412"/>
      <c r="B36" s="213"/>
      <c r="C36" s="379" t="s">
        <v>262</v>
      </c>
      <c r="D36" s="379"/>
      <c r="E36" s="379"/>
      <c r="F36" s="379"/>
      <c r="G36" s="347" t="s">
        <v>261</v>
      </c>
      <c r="H36" s="347"/>
      <c r="I36" s="90" t="s">
        <v>271</v>
      </c>
      <c r="J36" s="90" t="s">
        <v>261</v>
      </c>
      <c r="K36" s="88" t="s">
        <v>310</v>
      </c>
      <c r="L36" s="88" t="str">
        <f>'REGISTERS Settings SUMMARY'!C61</f>
        <v>2A</v>
      </c>
      <c r="M36" s="88" t="str">
        <f>CONCATENATE("S2 ",DEC2HEX(128+HEX2DEC(RIGHT(K36,2))),L36)</f>
        <v>S2 F02A</v>
      </c>
      <c r="R36" s="65"/>
      <c r="S36" s="65"/>
      <c r="T36" s="65"/>
      <c r="U36" s="65"/>
      <c r="V36" s="65"/>
      <c r="W36" s="65"/>
      <c r="X36" s="65"/>
      <c r="Y36" s="65"/>
      <c r="Z36" s="65"/>
      <c r="AA36" s="65"/>
      <c r="AB36" s="65"/>
      <c r="AC36" s="65"/>
      <c r="AD36" s="65"/>
      <c r="AE36" s="65"/>
    </row>
    <row r="37" spans="1:31" ht="13.5" thickBot="1" x14ac:dyDescent="0.25">
      <c r="A37" s="412"/>
      <c r="B37" s="270">
        <f>L9</f>
        <v>2.4</v>
      </c>
      <c r="C37" s="378">
        <f>IF(B37*(F71+1)&lt;30, ROUND(B37*1000*(2^21)/(1000000*($K$14/30000)),0),ROUND(B37*1000*(2^16)/(1000000*($K$14/30000)),0))</f>
        <v>5033</v>
      </c>
      <c r="D37" s="378"/>
      <c r="E37" s="378"/>
      <c r="F37" s="378"/>
      <c r="G37" s="374" t="str">
        <f>DEC2HEX(C37,4)</f>
        <v>13A9</v>
      </c>
      <c r="H37" s="374"/>
      <c r="I37" s="91">
        <f>IF(B37*(F71+1)&lt;30,1,0)</f>
        <v>1</v>
      </c>
      <c r="J37" s="91" t="str">
        <f>IF(B37*(F71+1)&lt;100,"80",IF(B37*(F71+1)&lt;200,"C0","ED"))</f>
        <v>80</v>
      </c>
      <c r="K37" s="88" t="s">
        <v>429</v>
      </c>
      <c r="L37" s="88" t="str">
        <f>J37</f>
        <v>80</v>
      </c>
      <c r="M37" s="88" t="str">
        <f>CONCATENATE("S2 ",DEC2HEX(128+HEX2DEC(RIGHT(K37,2))),L37)</f>
        <v>S2 D880</v>
      </c>
      <c r="R37" s="65"/>
      <c r="S37" s="65"/>
      <c r="T37" s="65"/>
      <c r="U37" s="65"/>
      <c r="V37" s="65"/>
      <c r="W37" s="65"/>
      <c r="X37" s="65"/>
      <c r="Y37" s="65"/>
      <c r="Z37" s="65"/>
      <c r="AA37" s="65"/>
      <c r="AB37" s="65"/>
      <c r="AC37" s="65"/>
      <c r="AD37" s="65"/>
      <c r="AE37" s="65"/>
    </row>
    <row r="38" spans="1:31" ht="14.25" customHeight="1" thickBot="1" x14ac:dyDescent="0.25"/>
    <row r="39" spans="1:31" x14ac:dyDescent="0.2">
      <c r="A39" s="431" t="s">
        <v>234</v>
      </c>
      <c r="B39" s="351" t="s">
        <v>263</v>
      </c>
      <c r="C39" s="352"/>
      <c r="D39" s="352"/>
      <c r="E39" s="352"/>
      <c r="F39" s="352"/>
      <c r="G39" s="352"/>
      <c r="H39" s="352"/>
      <c r="I39" s="352"/>
      <c r="J39" s="352"/>
      <c r="K39" s="352"/>
      <c r="L39" s="352"/>
      <c r="M39" s="353"/>
      <c r="S39" s="65"/>
      <c r="T39" s="65"/>
      <c r="U39" s="65"/>
      <c r="V39" s="65"/>
      <c r="W39" s="65"/>
      <c r="X39" s="65"/>
      <c r="Y39" s="65"/>
      <c r="Z39" s="65"/>
      <c r="AA39" s="65"/>
      <c r="AB39" s="65"/>
      <c r="AC39" s="65"/>
      <c r="AD39" s="65"/>
      <c r="AE39" s="65"/>
    </row>
    <row r="40" spans="1:31" ht="6.75" customHeight="1" x14ac:dyDescent="0.2">
      <c r="A40" s="432"/>
      <c r="B40" s="354"/>
      <c r="C40" s="355"/>
      <c r="D40" s="355"/>
      <c r="E40" s="355"/>
      <c r="F40" s="355"/>
      <c r="G40" s="355"/>
      <c r="H40" s="355"/>
      <c r="I40" s="355"/>
      <c r="J40" s="355"/>
      <c r="K40" s="355"/>
      <c r="L40" s="355"/>
      <c r="M40" s="356"/>
      <c r="S40" s="65"/>
      <c r="T40" s="65"/>
      <c r="U40" s="65"/>
      <c r="V40" s="65"/>
      <c r="W40" s="65"/>
      <c r="X40" s="65"/>
      <c r="Y40" s="65"/>
      <c r="Z40" s="65"/>
      <c r="AA40" s="65"/>
      <c r="AB40" s="65"/>
      <c r="AC40" s="65"/>
      <c r="AD40" s="65"/>
      <c r="AE40" s="65"/>
    </row>
    <row r="41" spans="1:31" ht="3.75" customHeight="1" thickBot="1" x14ac:dyDescent="0.25">
      <c r="A41" s="433"/>
      <c r="B41" s="357"/>
      <c r="C41" s="358"/>
      <c r="D41" s="358"/>
      <c r="E41" s="358"/>
      <c r="F41" s="358"/>
      <c r="G41" s="358"/>
      <c r="H41" s="358"/>
      <c r="I41" s="358"/>
      <c r="J41" s="358"/>
      <c r="K41" s="358"/>
      <c r="L41" s="358"/>
      <c r="M41" s="359"/>
      <c r="P41" s="65"/>
      <c r="Q41" s="65"/>
      <c r="R41" s="65"/>
      <c r="S41" s="65"/>
      <c r="T41" s="65"/>
      <c r="U41" s="65"/>
      <c r="V41" s="65"/>
      <c r="W41" s="65"/>
      <c r="X41" s="65"/>
      <c r="Y41" s="65"/>
      <c r="Z41" s="65"/>
      <c r="AA41" s="65"/>
      <c r="AB41" s="65"/>
      <c r="AC41" s="65"/>
      <c r="AD41" s="65"/>
      <c r="AE41" s="65"/>
    </row>
    <row r="42" spans="1:31" x14ac:dyDescent="0.2">
      <c r="A42" s="411" t="s">
        <v>254</v>
      </c>
      <c r="B42" s="368" t="s">
        <v>255</v>
      </c>
      <c r="C42" s="404" t="s">
        <v>257</v>
      </c>
      <c r="D42" s="405"/>
      <c r="E42" s="406"/>
      <c r="F42" s="370" t="s">
        <v>256</v>
      </c>
      <c r="G42" s="371"/>
      <c r="I42" s="93"/>
      <c r="K42" s="448" t="s">
        <v>258</v>
      </c>
      <c r="L42" s="366"/>
      <c r="M42" s="367"/>
      <c r="S42" s="65"/>
      <c r="T42" s="65"/>
      <c r="U42" s="65"/>
      <c r="V42" s="65"/>
      <c r="W42" s="65"/>
      <c r="X42" s="65"/>
      <c r="Y42" s="65"/>
      <c r="Z42" s="65"/>
      <c r="AA42" s="65"/>
      <c r="AB42" s="65"/>
      <c r="AC42" s="65"/>
      <c r="AD42" s="65"/>
      <c r="AE42" s="65"/>
    </row>
    <row r="43" spans="1:31" ht="15" customHeight="1" thickBot="1" x14ac:dyDescent="0.25">
      <c r="A43" s="412"/>
      <c r="B43" s="369"/>
      <c r="C43" s="428"/>
      <c r="D43" s="429"/>
      <c r="E43" s="430"/>
      <c r="F43" s="372"/>
      <c r="G43" s="373"/>
      <c r="K43" s="88" t="s">
        <v>259</v>
      </c>
      <c r="L43" s="88" t="str">
        <f>RIGHT(F46,2)</f>
        <v>28</v>
      </c>
      <c r="M43" s="88" t="str">
        <f>CONCATENATE("S2 ",DEC2HEX(128+HEX2DEC(RIGHT(K43,2))),L43)</f>
        <v>S2 F228</v>
      </c>
      <c r="S43" s="65"/>
      <c r="T43" s="65"/>
      <c r="U43" s="65"/>
      <c r="V43" s="65"/>
      <c r="W43" s="65"/>
      <c r="X43" s="65"/>
      <c r="Y43" s="65"/>
      <c r="Z43" s="65"/>
      <c r="AA43" s="65"/>
      <c r="AB43" s="65"/>
      <c r="AC43" s="65"/>
      <c r="AD43" s="65"/>
      <c r="AE43" s="65"/>
    </row>
    <row r="44" spans="1:31" ht="13.5" thickTop="1" x14ac:dyDescent="0.2">
      <c r="A44" s="412"/>
      <c r="B44" s="212" t="s">
        <v>260</v>
      </c>
      <c r="C44" s="391" t="s">
        <v>221</v>
      </c>
      <c r="D44" s="392"/>
      <c r="E44" s="393"/>
      <c r="F44" s="394" t="s">
        <v>221</v>
      </c>
      <c r="G44" s="394"/>
      <c r="K44" s="88" t="s">
        <v>309</v>
      </c>
      <c r="L44" s="88" t="str">
        <f>'REGISTERS Settings SUMMARY'!C62</f>
        <v>2A</v>
      </c>
      <c r="M44" s="88" t="str">
        <f>CONCATENATE("S2 F1",L44)</f>
        <v>S2 F12A</v>
      </c>
      <c r="S44" s="65"/>
      <c r="T44" s="65"/>
      <c r="U44" s="65"/>
      <c r="V44" s="65"/>
      <c r="W44" s="65"/>
      <c r="X44" s="65"/>
      <c r="Y44" s="65"/>
      <c r="Z44" s="65"/>
      <c r="AA44" s="65"/>
      <c r="AB44" s="65"/>
      <c r="AC44" s="65"/>
      <c r="AD44" s="65"/>
      <c r="AE44" s="65"/>
    </row>
    <row r="45" spans="1:31" x14ac:dyDescent="0.2">
      <c r="A45" s="412"/>
      <c r="B45" s="213"/>
      <c r="C45" s="395" t="s">
        <v>262</v>
      </c>
      <c r="D45" s="396"/>
      <c r="E45" s="397"/>
      <c r="F45" s="347" t="s">
        <v>261</v>
      </c>
      <c r="G45" s="347"/>
      <c r="S45" s="65"/>
      <c r="T45" s="65"/>
      <c r="U45" s="65"/>
      <c r="V45" s="65"/>
      <c r="W45" s="65"/>
      <c r="X45" s="65"/>
      <c r="Y45" s="65"/>
      <c r="Z45" s="65"/>
      <c r="AA45" s="65"/>
      <c r="AB45" s="65"/>
      <c r="AC45" s="65"/>
      <c r="AD45" s="65"/>
      <c r="AE45" s="65"/>
    </row>
    <row r="46" spans="1:31" ht="15" thickBot="1" x14ac:dyDescent="0.25">
      <c r="A46" s="412"/>
      <c r="B46" s="270">
        <f>C14</f>
        <v>25</v>
      </c>
      <c r="C46" s="375">
        <f>ROUND(B46*1000/(625*($K$14/30000)),0)</f>
        <v>40</v>
      </c>
      <c r="D46" s="376"/>
      <c r="E46" s="377"/>
      <c r="F46" s="374" t="str">
        <f>DEC2HEX(C46,3)</f>
        <v>028</v>
      </c>
      <c r="G46" s="374"/>
      <c r="I46" s="199"/>
      <c r="J46" s="65"/>
      <c r="K46" s="65"/>
      <c r="L46" s="65"/>
      <c r="M46" s="65"/>
      <c r="R46" s="65"/>
      <c r="S46" s="65"/>
      <c r="T46" s="65"/>
      <c r="U46" s="65"/>
      <c r="V46" s="65"/>
      <c r="W46" s="65"/>
      <c r="X46" s="65"/>
      <c r="Y46" s="65"/>
      <c r="Z46" s="65"/>
      <c r="AA46" s="65"/>
      <c r="AB46" s="65"/>
      <c r="AC46" s="65"/>
      <c r="AD46" s="65"/>
      <c r="AE46" s="65"/>
    </row>
    <row r="47" spans="1:31" ht="14.25" customHeight="1" thickBot="1" x14ac:dyDescent="0.25"/>
    <row r="48" spans="1:31" ht="18" customHeight="1" x14ac:dyDescent="0.25">
      <c r="A48" s="380" t="s">
        <v>234</v>
      </c>
      <c r="B48" s="238" t="s">
        <v>392</v>
      </c>
      <c r="C48" s="203"/>
      <c r="D48" s="79"/>
      <c r="E48" s="79"/>
      <c r="F48" s="79"/>
      <c r="G48" s="79"/>
      <c r="H48" s="79"/>
      <c r="I48" s="79"/>
      <c r="J48" s="79"/>
      <c r="K48" s="79"/>
      <c r="L48" s="79"/>
      <c r="M48" s="80"/>
      <c r="O48" s="85"/>
    </row>
    <row r="49" spans="1:31" ht="15" customHeight="1" x14ac:dyDescent="0.25">
      <c r="A49" s="381"/>
      <c r="B49" s="237" t="s">
        <v>337</v>
      </c>
      <c r="C49" s="204"/>
      <c r="D49" s="81"/>
      <c r="E49" s="81"/>
      <c r="F49" s="81"/>
      <c r="G49" s="81"/>
      <c r="H49" s="81"/>
      <c r="I49" s="81"/>
      <c r="J49" s="81"/>
      <c r="K49" s="81"/>
      <c r="L49" s="81"/>
      <c r="M49" s="82"/>
    </row>
    <row r="50" spans="1:31" ht="7.5" customHeight="1" thickBot="1" x14ac:dyDescent="0.25">
      <c r="A50" s="382"/>
      <c r="B50" s="258"/>
      <c r="C50" s="204"/>
      <c r="D50" s="81"/>
      <c r="E50" s="81"/>
      <c r="F50" s="83"/>
      <c r="G50" s="83"/>
      <c r="H50" s="83"/>
      <c r="I50" s="83"/>
      <c r="J50" s="83"/>
      <c r="K50" s="83"/>
      <c r="L50" s="83"/>
      <c r="M50" s="84"/>
    </row>
    <row r="51" spans="1:31" ht="25.5" customHeight="1" x14ac:dyDescent="0.2">
      <c r="A51" s="427" t="s">
        <v>207</v>
      </c>
      <c r="B51" s="398" t="s">
        <v>208</v>
      </c>
      <c r="C51" s="399"/>
      <c r="D51" s="399"/>
      <c r="E51" s="400"/>
      <c r="F51" s="387" t="s">
        <v>338</v>
      </c>
      <c r="G51" s="389" t="s">
        <v>332</v>
      </c>
      <c r="H51" s="389" t="s">
        <v>424</v>
      </c>
      <c r="I51" s="389" t="s">
        <v>404</v>
      </c>
      <c r="J51" s="389" t="s">
        <v>405</v>
      </c>
      <c r="K51" s="344" t="s">
        <v>230</v>
      </c>
      <c r="L51" s="345"/>
      <c r="M51" s="346"/>
    </row>
    <row r="52" spans="1:31" ht="13.5" customHeight="1" thickBot="1" x14ac:dyDescent="0.25">
      <c r="A52" s="427"/>
      <c r="B52" s="401"/>
      <c r="C52" s="402"/>
      <c r="D52" s="402"/>
      <c r="E52" s="403"/>
      <c r="F52" s="388"/>
      <c r="G52" s="390"/>
      <c r="H52" s="390"/>
      <c r="I52" s="390"/>
      <c r="J52" s="390"/>
      <c r="K52" s="77" t="s">
        <v>231</v>
      </c>
      <c r="L52" s="77" t="str">
        <f>CONCATENATE(DEC2HEX(HEX2DEC(B62)+8*HEX2DEC(D62)),C62)</f>
        <v>1B</v>
      </c>
      <c r="M52" s="77" t="str">
        <f t="shared" ref="M52:M63" si="0">CONCATENATE("S2 ",DEC2HEX(128+HEX2DEC(RIGHT(K52,2))),L52)</f>
        <v>S2 9C1B</v>
      </c>
    </row>
    <row r="53" spans="1:31" ht="12.75" customHeight="1" x14ac:dyDescent="0.2">
      <c r="A53" s="427"/>
      <c r="B53" s="251" t="s">
        <v>164</v>
      </c>
      <c r="C53" s="89" t="s">
        <v>165</v>
      </c>
      <c r="D53" s="89" t="s">
        <v>331</v>
      </c>
      <c r="E53" s="67"/>
      <c r="F53" s="86" t="s">
        <v>214</v>
      </c>
      <c r="G53" s="86" t="s">
        <v>213</v>
      </c>
      <c r="H53" s="245" t="s">
        <v>204</v>
      </c>
      <c r="I53" s="223"/>
      <c r="J53" s="223" t="s">
        <v>340</v>
      </c>
      <c r="K53" s="246" t="s">
        <v>232</v>
      </c>
      <c r="L53" s="77" t="str">
        <f>RIGHT(E62,2)</f>
        <v>A1</v>
      </c>
      <c r="M53" s="77" t="str">
        <f t="shared" si="0"/>
        <v>S2 A0A1</v>
      </c>
    </row>
    <row r="54" spans="1:31" ht="12.75" customHeight="1" x14ac:dyDescent="0.2">
      <c r="A54" s="427"/>
      <c r="B54" s="66" t="s">
        <v>186</v>
      </c>
      <c r="C54" s="89" t="s">
        <v>160</v>
      </c>
      <c r="D54" s="236" t="s">
        <v>222</v>
      </c>
      <c r="E54" s="67"/>
      <c r="F54" s="86"/>
      <c r="G54" s="86" t="s">
        <v>160</v>
      </c>
      <c r="H54" s="210" t="s">
        <v>160</v>
      </c>
      <c r="I54" s="86" t="s">
        <v>160</v>
      </c>
      <c r="J54" s="86" t="s">
        <v>339</v>
      </c>
      <c r="K54" s="246" t="s">
        <v>233</v>
      </c>
      <c r="L54" s="77" t="str">
        <f>DEC2HEX(HEX2DEC(LEFT(E62,1))*32+HEX2DEC(LEFT(F62,1)),2)</f>
        <v>20</v>
      </c>
      <c r="M54" s="77" t="str">
        <f t="shared" si="0"/>
        <v>S2 A120</v>
      </c>
    </row>
    <row r="55" spans="1:31" ht="13.5" customHeight="1" thickBot="1" x14ac:dyDescent="0.25">
      <c r="A55" s="427"/>
      <c r="B55" s="259">
        <f>L9</f>
        <v>2.4</v>
      </c>
      <c r="C55" s="202">
        <f>C14</f>
        <v>25</v>
      </c>
      <c r="D55" s="202">
        <f>IF(A14="Disable",0,1)</f>
        <v>1</v>
      </c>
      <c r="E55" s="307"/>
      <c r="F55" s="64">
        <f>2*C14/(L9*(1+H62))</f>
        <v>10.416666666666668</v>
      </c>
      <c r="G55" s="64">
        <f>L9*(1+H62)+2*C14</f>
        <v>54.8</v>
      </c>
      <c r="H55" s="211">
        <f>IF(F55&lt;2,(VLOOKUP('Hidden calc'!G7,BWtable!$A$8:'BWtable'!$D$60,2)),IF(2&lt;=F55&lt;10,DEC2HEX(VLOOKUP('Hidden calc'!G7,BWtable!$A$68:'BWtable'!$H$121,2)),(VLOOKUP('Hidden calc'!G7,BWtable!$A$127:'BWtable'!$D$179,2))))</f>
        <v>77.099999999999994</v>
      </c>
      <c r="I55" s="247">
        <f>IF(D55=1,0.35*H55,0.25*H55)</f>
        <v>26.984999999999996</v>
      </c>
      <c r="J55" s="268">
        <f>'Hidden calc'!K7</f>
        <v>-115.83432760327713</v>
      </c>
      <c r="K55" s="246" t="s">
        <v>235</v>
      </c>
      <c r="L55" s="77" t="str">
        <f>MID(F62,2,2)</f>
        <v>27</v>
      </c>
      <c r="M55" s="77" t="str">
        <f t="shared" si="0"/>
        <v>S2 A227</v>
      </c>
    </row>
    <row r="56" spans="1:31" ht="15" customHeight="1" thickBot="1" x14ac:dyDescent="0.25">
      <c r="A56" s="427"/>
      <c r="B56" s="278"/>
      <c r="D56" s="75"/>
      <c r="E56" s="75"/>
      <c r="F56" s="263" t="str">
        <f>IF('Hidden calc'!G30,"Please check your Rb or Fd setting - modulation index is out of range","")</f>
        <v/>
      </c>
      <c r="G56" s="75"/>
      <c r="H56" s="75"/>
      <c r="I56" s="75"/>
      <c r="K56" s="77" t="s">
        <v>236</v>
      </c>
      <c r="L56" s="77" t="str">
        <f>RIGHT(F62,2)</f>
        <v>52</v>
      </c>
      <c r="M56" s="77" t="str">
        <f t="shared" si="0"/>
        <v>S2 A352</v>
      </c>
      <c r="O56" s="277"/>
      <c r="R56" s="65"/>
      <c r="W56" s="75"/>
      <c r="X56" s="75"/>
      <c r="Y56" s="75"/>
      <c r="Z56" s="75"/>
      <c r="AA56" s="75"/>
      <c r="AB56" s="75"/>
      <c r="AC56" s="76"/>
    </row>
    <row r="57" spans="1:31" ht="12" customHeight="1" x14ac:dyDescent="0.2">
      <c r="A57" s="427"/>
      <c r="B57" s="370" t="s">
        <v>210</v>
      </c>
      <c r="C57" s="383"/>
      <c r="D57" s="383"/>
      <c r="E57" s="383"/>
      <c r="F57" s="383"/>
      <c r="G57" s="383"/>
      <c r="H57" s="383"/>
      <c r="I57" s="383"/>
      <c r="J57" s="371"/>
      <c r="K57" s="246" t="s">
        <v>237</v>
      </c>
      <c r="L57" s="65" t="str">
        <f>CONCATENATE(IF(J62=0,"0","1"),LEFT(G62,1))</f>
        <v>10</v>
      </c>
      <c r="M57" s="77" t="str">
        <f t="shared" si="0"/>
        <v>S2 A410</v>
      </c>
      <c r="R57" s="65"/>
      <c r="T57" s="65"/>
      <c r="V57" s="75"/>
      <c r="W57" s="75"/>
      <c r="X57" s="75"/>
      <c r="Y57" s="75"/>
      <c r="Z57" s="75"/>
      <c r="AA57" s="75"/>
      <c r="AB57" s="75"/>
      <c r="AC57" s="76"/>
    </row>
    <row r="58" spans="1:31" ht="12.75" customHeight="1" thickBot="1" x14ac:dyDescent="0.25">
      <c r="A58" s="427"/>
      <c r="B58" s="384"/>
      <c r="C58" s="385"/>
      <c r="D58" s="385"/>
      <c r="E58" s="385"/>
      <c r="F58" s="385"/>
      <c r="G58" s="385"/>
      <c r="H58" s="385"/>
      <c r="I58" s="385"/>
      <c r="J58" s="386"/>
      <c r="K58" s="246" t="s">
        <v>238</v>
      </c>
      <c r="L58" s="77" t="str">
        <f>RIGHT(G62,2)</f>
        <v>20</v>
      </c>
      <c r="M58" s="77" t="str">
        <f t="shared" si="0"/>
        <v>S2 A520</v>
      </c>
      <c r="T58" s="65"/>
      <c r="V58" s="75"/>
      <c r="W58" s="75"/>
      <c r="X58" s="75"/>
      <c r="Y58" s="75"/>
      <c r="Z58" s="75"/>
      <c r="AA58" s="75"/>
      <c r="AB58" s="75"/>
      <c r="AC58" s="76"/>
    </row>
    <row r="59" spans="1:31" ht="13.5" customHeight="1" x14ac:dyDescent="0.2">
      <c r="A59" s="427"/>
      <c r="B59" s="90" t="s">
        <v>216</v>
      </c>
      <c r="C59" s="90" t="s">
        <v>217</v>
      </c>
      <c r="D59" s="224"/>
      <c r="E59" s="224"/>
      <c r="F59" s="90" t="s">
        <v>218</v>
      </c>
      <c r="G59" s="70" t="s">
        <v>219</v>
      </c>
      <c r="H59" s="240" t="s">
        <v>212</v>
      </c>
      <c r="I59" s="434" t="s">
        <v>328</v>
      </c>
      <c r="J59" s="436" t="s">
        <v>400</v>
      </c>
      <c r="K59" s="290" t="s">
        <v>330</v>
      </c>
      <c r="L59" s="77" t="str">
        <f>IF(D55=0,"3C","40")</f>
        <v>40</v>
      </c>
      <c r="M59" s="77" t="str">
        <f t="shared" si="0"/>
        <v>S2 9D40</v>
      </c>
      <c r="T59" s="65"/>
      <c r="V59" s="75"/>
      <c r="W59" s="75"/>
      <c r="X59" s="75"/>
      <c r="Y59" s="75"/>
      <c r="Z59" s="75"/>
      <c r="AA59" s="75"/>
      <c r="AB59" s="75"/>
      <c r="AC59" s="76"/>
    </row>
    <row r="60" spans="1:31" x14ac:dyDescent="0.2">
      <c r="A60" s="427"/>
      <c r="B60" s="90" t="s">
        <v>169</v>
      </c>
      <c r="C60" s="90" t="s">
        <v>170</v>
      </c>
      <c r="D60" s="90" t="s">
        <v>168</v>
      </c>
      <c r="E60" s="90" t="s">
        <v>171</v>
      </c>
      <c r="F60" s="90" t="s">
        <v>172</v>
      </c>
      <c r="G60" s="70" t="s">
        <v>173</v>
      </c>
      <c r="H60" s="90" t="s">
        <v>220</v>
      </c>
      <c r="I60" s="435"/>
      <c r="J60" s="437"/>
      <c r="K60" s="77" t="s">
        <v>406</v>
      </c>
      <c r="L60" s="246" t="str">
        <f>IF(D55=0,"02",IF(B37*(F71+1)&lt;200,"0A","02"))</f>
        <v>0A</v>
      </c>
      <c r="M60" s="77" t="str">
        <f t="shared" si="0"/>
        <v>S2 9E0A</v>
      </c>
      <c r="T60" s="65"/>
      <c r="V60" s="75"/>
      <c r="W60" s="75"/>
      <c r="X60" s="75"/>
      <c r="Y60" s="75"/>
      <c r="Z60" s="75"/>
      <c r="AA60" s="75"/>
      <c r="AB60" s="75"/>
      <c r="AC60" s="76"/>
    </row>
    <row r="61" spans="1:31" ht="14.25" customHeight="1" x14ac:dyDescent="0.2">
      <c r="A61" s="427"/>
      <c r="B61" s="208" t="s">
        <v>224</v>
      </c>
      <c r="C61" s="208" t="s">
        <v>225</v>
      </c>
      <c r="D61" s="208" t="s">
        <v>226</v>
      </c>
      <c r="E61" s="208" t="s">
        <v>227</v>
      </c>
      <c r="F61" s="209" t="s">
        <v>228</v>
      </c>
      <c r="G61" s="70" t="s">
        <v>229</v>
      </c>
      <c r="H61" s="207" t="s">
        <v>223</v>
      </c>
      <c r="I61" s="208" t="s">
        <v>401</v>
      </c>
      <c r="J61" s="208" t="s">
        <v>402</v>
      </c>
      <c r="K61" s="291" t="s">
        <v>343</v>
      </c>
      <c r="L61" s="282" t="str">
        <f>RIGHT(I62,2)</f>
        <v>37</v>
      </c>
      <c r="M61" s="283" t="str">
        <f t="shared" si="0"/>
        <v>S2 AA37</v>
      </c>
      <c r="T61" s="65"/>
      <c r="V61" s="75"/>
      <c r="W61" s="75"/>
      <c r="X61" s="75"/>
      <c r="Y61" s="75"/>
      <c r="Z61" s="75"/>
      <c r="AA61" s="75"/>
      <c r="AB61" s="75"/>
      <c r="AC61" s="76"/>
    </row>
    <row r="62" spans="1:31" ht="13.5" thickBot="1" x14ac:dyDescent="0.25">
      <c r="A62" s="427"/>
      <c r="B62" s="91" t="str">
        <f>IF(F55&lt;2,DEC2HEX(VLOOKUP('Hidden calc'!G7,BWtable!$A$8:'BWtable'!$H$61,3)),IF(2&lt;=F55&lt;10,DEC2HEX(VLOOKUP('Hidden calc'!G7,BWtable!$A$68:'BWtable'!$H$121,3)),DEC2HEX(VLOOKUP('Hidden calc'!G7,BWtable!$A$127:'BWtable'!$H$179,3)))
)</f>
        <v>1</v>
      </c>
      <c r="C62" s="91" t="str">
        <f>IF(F55&lt;2,DEC2HEX(VLOOKUP('Hidden calc'!G7,BWtable!$A$8:'BWtable'!$H$61,4)),IF(2&lt;=F55&lt;10,DEC2HEX(VLOOKUP('Hidden calc'!G7,BWtable!$A$68:'BWtable'!$H$121,4)),DEC2HEX(VLOOKUP('Hidden calc'!G7,BWtable!$A$127:'BWtable'!$H$179,4)))
)</f>
        <v>B</v>
      </c>
      <c r="D62" s="91" t="str">
        <f xml:space="preserve"> IF(F55&lt;2,DEC2HEX(VLOOKUP( 'Hidden calc'!G7,BWtable!$A$8:'BWtable'!$H$61,5)),IF(2&lt;=F55&lt;10,DEC2HEX(VLOOKUP('Hidden calc'!G7,BWtable!$A$68:'BWtable'!$H$121,5)),DEC2HEX(VLOOKUP('Hidden calc'!G7,BWtable!$A$127:'BWtable'!$H$179,5))))</f>
        <v>0</v>
      </c>
      <c r="E62" s="91" t="str">
        <f>DEC2HEX('Hidden calc'!A34,3)</f>
        <v>1A1</v>
      </c>
      <c r="F62" s="91" t="str">
        <f>DEC2HEX(ROUND((L9*2^(20+B62))/(500*($K$14/30000)*(1+2*D62)),0),5)</f>
        <v>02752</v>
      </c>
      <c r="G62" s="73" t="str">
        <f>IF(2+2*32768*L9*(1+H62)/(C14*HEX2DEC(E62))&gt;2047,DEC2HEX(2047),DEC2HEX(ROUND(2+2*32768*L9*(1+H62)/(C14*HEX2DEC(E62)),0),3))</f>
        <v>020</v>
      </c>
      <c r="H62" s="73">
        <f>IF(C9="ON",1,0)</f>
        <v>1</v>
      </c>
      <c r="I62" s="91" t="str">
        <f>IF(D55=1,DEC2HEX('Hidden calc'!J14,2),"FF")</f>
        <v>37</v>
      </c>
      <c r="J62" s="91">
        <f>'Hidden calc'!H7</f>
        <v>1</v>
      </c>
      <c r="K62" s="291" t="s">
        <v>423</v>
      </c>
      <c r="L62" s="282" t="str">
        <f>'Hidden calc'!D21</f>
        <v>00</v>
      </c>
      <c r="M62" s="283" t="str">
        <f t="shared" si="0"/>
        <v>S2 9F00</v>
      </c>
      <c r="T62" s="65"/>
      <c r="V62" s="75"/>
      <c r="W62" s="75"/>
      <c r="X62" s="75"/>
      <c r="Y62" s="75"/>
      <c r="Z62" s="75"/>
      <c r="AA62" s="75"/>
      <c r="AB62" s="75"/>
      <c r="AC62" s="76"/>
    </row>
    <row r="63" spans="1:31" ht="13.5" thickBot="1" x14ac:dyDescent="0.25">
      <c r="B63" s="222"/>
      <c r="D63" s="63"/>
      <c r="E63" s="190" t="str">
        <f>IF('Hidden calc'!E30,"rxosr  is out of range","")</f>
        <v/>
      </c>
      <c r="K63" s="291" t="s">
        <v>430</v>
      </c>
      <c r="L63" s="282">
        <v>60</v>
      </c>
      <c r="M63" s="283" t="str">
        <f t="shared" si="0"/>
        <v>S2 E960</v>
      </c>
      <c r="T63" s="65"/>
      <c r="V63" s="75"/>
      <c r="W63" s="75"/>
      <c r="X63" s="75"/>
      <c r="Y63" s="75"/>
      <c r="Z63" s="75"/>
      <c r="AA63" s="75"/>
      <c r="AB63" s="75"/>
      <c r="AC63" s="76"/>
    </row>
    <row r="64" spans="1:31" ht="15.75" x14ac:dyDescent="0.25">
      <c r="A64" s="214" t="s">
        <v>234</v>
      </c>
      <c r="B64" s="238" t="s">
        <v>396</v>
      </c>
      <c r="C64" s="216"/>
      <c r="D64" s="217"/>
      <c r="E64" s="217"/>
      <c r="F64" s="217"/>
      <c r="G64" s="217"/>
      <c r="H64" s="217"/>
      <c r="I64" s="217"/>
      <c r="J64" s="217"/>
      <c r="K64" s="217"/>
      <c r="L64" s="217"/>
      <c r="M64" s="218"/>
      <c r="P64" s="65"/>
      <c r="Q64" s="65"/>
      <c r="R64" s="65"/>
      <c r="S64" s="65"/>
      <c r="T64" s="65"/>
      <c r="U64" s="65"/>
      <c r="V64" s="65"/>
      <c r="W64" s="65"/>
      <c r="X64" s="65"/>
      <c r="Y64" s="65"/>
      <c r="Z64" s="65"/>
      <c r="AA64" s="65"/>
      <c r="AB64" s="65"/>
      <c r="AC64" s="65"/>
      <c r="AD64" s="65"/>
      <c r="AE64" s="65"/>
    </row>
    <row r="65" spans="1:31" ht="16.5" thickBot="1" x14ac:dyDescent="0.3">
      <c r="A65" s="215"/>
      <c r="B65" s="239" t="s">
        <v>351</v>
      </c>
      <c r="C65" s="219"/>
      <c r="D65" s="220"/>
      <c r="E65" s="220"/>
      <c r="F65" s="220"/>
      <c r="G65" s="220"/>
      <c r="H65" s="220"/>
      <c r="I65" s="220"/>
      <c r="J65" s="220"/>
      <c r="K65" s="220"/>
      <c r="L65" s="220"/>
      <c r="M65" s="221"/>
      <c r="P65" s="65"/>
      <c r="Q65" s="65"/>
      <c r="R65" s="65"/>
      <c r="S65" s="65"/>
      <c r="T65" s="65"/>
      <c r="U65" s="65"/>
      <c r="V65" s="65"/>
      <c r="W65" s="65"/>
      <c r="X65" s="65"/>
      <c r="Y65" s="65"/>
      <c r="Z65" s="65"/>
      <c r="AA65" s="65"/>
      <c r="AB65" s="65"/>
      <c r="AC65" s="65"/>
      <c r="AD65" s="65"/>
      <c r="AE65" s="65"/>
    </row>
    <row r="66" spans="1:31" ht="12.75" customHeight="1" x14ac:dyDescent="0.2">
      <c r="A66" s="427" t="s">
        <v>274</v>
      </c>
      <c r="B66" s="440" t="s">
        <v>162</v>
      </c>
      <c r="C66" s="441"/>
      <c r="D66" s="404" t="s">
        <v>334</v>
      </c>
      <c r="E66" s="405"/>
      <c r="F66" s="405"/>
      <c r="G66" s="405"/>
      <c r="H66" s="405"/>
      <c r="I66" s="406"/>
      <c r="R66" s="65"/>
      <c r="S66" s="65"/>
      <c r="T66" s="65"/>
      <c r="U66" s="65"/>
      <c r="V66" s="65"/>
      <c r="W66" s="65"/>
      <c r="X66" s="65"/>
      <c r="Y66" s="65"/>
      <c r="Z66" s="65"/>
      <c r="AA66" s="65"/>
    </row>
    <row r="67" spans="1:31" ht="13.5" customHeight="1" thickBot="1" x14ac:dyDescent="0.25">
      <c r="A67" s="427"/>
      <c r="B67" s="442"/>
      <c r="C67" s="443"/>
      <c r="D67" s="444"/>
      <c r="E67" s="445"/>
      <c r="F67" s="445"/>
      <c r="G67" s="445"/>
      <c r="H67" s="445"/>
      <c r="I67" s="446"/>
      <c r="K67" s="344" t="s">
        <v>273</v>
      </c>
      <c r="L67" s="345"/>
      <c r="M67" s="346"/>
      <c r="R67" s="65"/>
      <c r="S67" s="65"/>
      <c r="T67" s="65"/>
      <c r="U67" s="65"/>
      <c r="V67" s="65"/>
      <c r="W67" s="65"/>
      <c r="X67" s="65"/>
      <c r="Y67" s="65"/>
      <c r="Z67" s="65"/>
      <c r="AA67" s="65"/>
    </row>
    <row r="68" spans="1:31" ht="12.75" customHeight="1" x14ac:dyDescent="0.2">
      <c r="A68" s="427"/>
      <c r="B68" s="251" t="s">
        <v>164</v>
      </c>
      <c r="C68" s="92" t="s">
        <v>190</v>
      </c>
      <c r="D68" s="438" t="s">
        <v>362</v>
      </c>
      <c r="E68" s="223" t="s">
        <v>174</v>
      </c>
      <c r="F68" s="210" t="s">
        <v>212</v>
      </c>
      <c r="G68" s="223" t="s">
        <v>366</v>
      </c>
      <c r="H68" s="223" t="s">
        <v>352</v>
      </c>
      <c r="I68" s="252" t="s">
        <v>353</v>
      </c>
      <c r="K68" s="77" t="s">
        <v>231</v>
      </c>
      <c r="L68" s="257" t="str">
        <f>CONCATENATE(DEC2HEX(HEX2DEC(B78)+8*HEX2DEC(D78)),C78)</f>
        <v>A1</v>
      </c>
      <c r="M68" s="77" t="str">
        <f t="shared" ref="M68:M77" si="1">CONCATENATE("S2 ",DEC2HEX(128+HEX2DEC(RIGHT(K68,2))),L68)</f>
        <v>S2 9CA1</v>
      </c>
      <c r="R68" s="65"/>
      <c r="S68" s="65"/>
      <c r="T68" s="65"/>
      <c r="U68" s="65"/>
      <c r="V68" s="65"/>
      <c r="W68" s="65"/>
      <c r="X68" s="65"/>
      <c r="Y68" s="65"/>
      <c r="Z68" s="65"/>
      <c r="AA68" s="65"/>
    </row>
    <row r="69" spans="1:31" ht="12.75" customHeight="1" x14ac:dyDescent="0.2">
      <c r="A69" s="427"/>
      <c r="B69" s="66" t="s">
        <v>186</v>
      </c>
      <c r="C69" s="67" t="s">
        <v>160</v>
      </c>
      <c r="D69" s="439"/>
      <c r="E69" s="86" t="s">
        <v>193</v>
      </c>
      <c r="F69" s="210" t="s">
        <v>220</v>
      </c>
      <c r="G69" s="86" t="s">
        <v>220</v>
      </c>
      <c r="H69" s="86" t="s">
        <v>354</v>
      </c>
      <c r="I69" s="253" t="s">
        <v>354</v>
      </c>
      <c r="K69" s="77" t="s">
        <v>232</v>
      </c>
      <c r="L69" s="257" t="str">
        <f>RIGHT(E78,2)</f>
        <v>71</v>
      </c>
      <c r="M69" s="77" t="str">
        <f t="shared" si="1"/>
        <v>S2 A071</v>
      </c>
      <c r="R69" s="65"/>
      <c r="S69" s="65"/>
      <c r="T69" s="65"/>
      <c r="U69" s="65"/>
      <c r="V69" s="65"/>
      <c r="W69" s="65"/>
      <c r="X69" s="65"/>
      <c r="Y69" s="65"/>
      <c r="Z69" s="65"/>
      <c r="AA69" s="65"/>
    </row>
    <row r="70" spans="1:31" ht="12.75" customHeight="1" x14ac:dyDescent="0.2">
      <c r="A70" s="427"/>
      <c r="B70" s="66"/>
      <c r="C70" s="67"/>
      <c r="D70" s="86"/>
      <c r="E70" s="254"/>
      <c r="F70" s="256" t="s">
        <v>223</v>
      </c>
      <c r="G70" s="86" t="s">
        <v>367</v>
      </c>
      <c r="H70" s="86" t="s">
        <v>355</v>
      </c>
      <c r="I70" s="253" t="s">
        <v>356</v>
      </c>
      <c r="K70" s="77" t="s">
        <v>233</v>
      </c>
      <c r="L70" s="257" t="str">
        <f>DEC2HEX(HEX2DEC(LEFT(E78,1))*32+HEX2DEC(LEFT(F78,1)),2)</f>
        <v>40</v>
      </c>
      <c r="M70" s="77" t="str">
        <f t="shared" si="1"/>
        <v>S2 A140</v>
      </c>
      <c r="R70" s="65"/>
      <c r="S70" s="65"/>
      <c r="T70" s="65"/>
      <c r="U70" s="65"/>
      <c r="V70" s="65"/>
      <c r="W70" s="65"/>
      <c r="X70" s="65"/>
      <c r="Y70" s="65"/>
      <c r="Z70" s="65"/>
      <c r="AA70" s="65"/>
    </row>
    <row r="71" spans="1:31" ht="13.5" customHeight="1" thickBot="1" x14ac:dyDescent="0.25">
      <c r="A71" s="427"/>
      <c r="B71" s="259">
        <f>L9</f>
        <v>2.4</v>
      </c>
      <c r="C71" s="202">
        <f>E14</f>
        <v>200</v>
      </c>
      <c r="D71" s="64">
        <f>(VLOOKUP(C71,ook_table!$B$2:'ook_table'!$F$21,3))</f>
        <v>225.1</v>
      </c>
      <c r="E71" s="255">
        <f>HEX2DEC(E78)/8</f>
        <v>78.125</v>
      </c>
      <c r="F71" s="211">
        <f>IF(C9="ON",1,0)</f>
        <v>1</v>
      </c>
      <c r="G71" s="64">
        <f>IF(OR(F71=1, C9="Manchester Data"),0,1)</f>
        <v>0</v>
      </c>
      <c r="H71" s="64">
        <f>IF(OR(F71=1,C9="Manchester Data"),1,0)</f>
        <v>1</v>
      </c>
      <c r="I71" s="261">
        <v>1</v>
      </c>
      <c r="K71" s="77" t="s">
        <v>235</v>
      </c>
      <c r="L71" s="257" t="str">
        <f>MID(F78,2,2)</f>
        <v>1A</v>
      </c>
      <c r="M71" s="77" t="str">
        <f t="shared" si="1"/>
        <v>S2 A21A</v>
      </c>
      <c r="R71" s="65"/>
      <c r="S71" s="65"/>
      <c r="T71" s="65"/>
      <c r="U71" s="65"/>
      <c r="V71" s="65"/>
      <c r="W71" s="65"/>
      <c r="X71" s="65"/>
      <c r="Y71" s="65"/>
      <c r="Z71" s="65"/>
      <c r="AA71" s="65"/>
    </row>
    <row r="72" spans="1:31" ht="13.5" customHeight="1" thickBot="1" x14ac:dyDescent="0.25">
      <c r="A72" s="427"/>
      <c r="B72" s="447"/>
      <c r="C72" s="447"/>
      <c r="D72" s="447"/>
      <c r="E72" s="447"/>
      <c r="F72" s="447"/>
      <c r="G72" s="447"/>
      <c r="H72" s="447"/>
      <c r="K72" s="77" t="s">
        <v>236</v>
      </c>
      <c r="L72" s="257" t="str">
        <f>RIGHT(F78,2)</f>
        <v>37</v>
      </c>
      <c r="M72" s="77" t="str">
        <f t="shared" si="1"/>
        <v>S2 A337</v>
      </c>
      <c r="T72" s="65"/>
      <c r="U72" s="65"/>
      <c r="V72" s="65"/>
      <c r="W72" s="65"/>
      <c r="X72" s="65"/>
      <c r="Y72" s="65"/>
      <c r="Z72" s="65"/>
      <c r="AA72" s="65"/>
      <c r="AB72" s="65"/>
      <c r="AC72" s="65"/>
      <c r="AD72" s="65"/>
      <c r="AE72" s="65"/>
    </row>
    <row r="73" spans="1:31" ht="12.75" customHeight="1" x14ac:dyDescent="0.2">
      <c r="A73" s="427"/>
      <c r="B73" s="370" t="s">
        <v>189</v>
      </c>
      <c r="C73" s="383"/>
      <c r="D73" s="383"/>
      <c r="E73" s="383"/>
      <c r="F73" s="383"/>
      <c r="G73" s="383"/>
      <c r="H73" s="383"/>
      <c r="I73" s="383"/>
      <c r="J73" s="371"/>
      <c r="K73" s="246" t="s">
        <v>237</v>
      </c>
      <c r="L73" s="257" t="str">
        <f>CONCATENATE(IF(J62=0,"0","1"),LEFT(G78,1))</f>
        <v>10</v>
      </c>
      <c r="M73" s="77" t="str">
        <f t="shared" si="1"/>
        <v>S2 A410</v>
      </c>
      <c r="R73" s="65"/>
      <c r="S73" s="65"/>
      <c r="T73" s="65"/>
      <c r="U73" s="65"/>
      <c r="V73" s="65"/>
      <c r="W73" s="65"/>
      <c r="X73" s="65"/>
      <c r="Y73" s="65"/>
      <c r="Z73" s="65"/>
      <c r="AA73" s="65"/>
      <c r="AB73" s="65"/>
      <c r="AC73" s="65"/>
      <c r="AD73" s="65"/>
      <c r="AE73" s="65"/>
    </row>
    <row r="74" spans="1:31" ht="12.75" customHeight="1" thickBot="1" x14ac:dyDescent="0.25">
      <c r="A74" s="427"/>
      <c r="B74" s="384"/>
      <c r="C74" s="385"/>
      <c r="D74" s="385"/>
      <c r="E74" s="385"/>
      <c r="F74" s="385"/>
      <c r="G74" s="385"/>
      <c r="H74" s="385"/>
      <c r="I74" s="385"/>
      <c r="J74" s="386"/>
      <c r="K74" s="246" t="s">
        <v>238</v>
      </c>
      <c r="L74" s="257" t="str">
        <f>RIGHT(G78,2)</f>
        <v>36</v>
      </c>
      <c r="M74" s="77" t="str">
        <f t="shared" si="1"/>
        <v>S2 A536</v>
      </c>
      <c r="R74" s="65"/>
      <c r="S74" s="65"/>
      <c r="T74" s="65"/>
      <c r="U74" s="65"/>
      <c r="V74" s="65"/>
      <c r="W74" s="65"/>
      <c r="X74" s="65"/>
      <c r="Y74" s="65"/>
      <c r="Z74" s="65"/>
      <c r="AA74" s="65"/>
      <c r="AB74" s="65"/>
      <c r="AC74" s="65"/>
      <c r="AD74" s="65"/>
      <c r="AE74" s="65"/>
    </row>
    <row r="75" spans="1:31" ht="12.75" customHeight="1" x14ac:dyDescent="0.2">
      <c r="A75" s="427"/>
      <c r="B75" s="90" t="s">
        <v>216</v>
      </c>
      <c r="C75" s="90" t="s">
        <v>217</v>
      </c>
      <c r="D75" s="90" t="s">
        <v>357</v>
      </c>
      <c r="E75" s="69"/>
      <c r="F75" s="90" t="s">
        <v>218</v>
      </c>
      <c r="G75" s="90" t="s">
        <v>219</v>
      </c>
      <c r="H75" s="206" t="s">
        <v>344</v>
      </c>
      <c r="I75" s="206" t="s">
        <v>345</v>
      </c>
      <c r="J75" s="206" t="s">
        <v>346</v>
      </c>
      <c r="K75" s="77" t="s">
        <v>358</v>
      </c>
      <c r="L75" s="257" t="str">
        <f>H78</f>
        <v>19</v>
      </c>
      <c r="M75" s="77" t="str">
        <f t="shared" si="1"/>
        <v>S2 AC19</v>
      </c>
      <c r="R75" s="65"/>
      <c r="S75" s="65"/>
      <c r="T75" s="65"/>
      <c r="U75" s="65"/>
      <c r="V75" s="65"/>
      <c r="W75" s="65"/>
      <c r="X75" s="65"/>
      <c r="Y75" s="65"/>
      <c r="Z75" s="65"/>
      <c r="AA75" s="65"/>
      <c r="AB75" s="65"/>
      <c r="AC75" s="65"/>
      <c r="AD75" s="65"/>
      <c r="AE75" s="65"/>
    </row>
    <row r="76" spans="1:31" ht="12.75" customHeight="1" x14ac:dyDescent="0.2">
      <c r="A76" s="427"/>
      <c r="B76" s="90" t="s">
        <v>169</v>
      </c>
      <c r="C76" s="90" t="s">
        <v>170</v>
      </c>
      <c r="D76" s="90" t="s">
        <v>168</v>
      </c>
      <c r="E76" s="90" t="s">
        <v>171</v>
      </c>
      <c r="F76" s="90" t="s">
        <v>172</v>
      </c>
      <c r="G76" s="90" t="s">
        <v>173</v>
      </c>
      <c r="H76" s="90"/>
      <c r="I76" s="90"/>
      <c r="J76" s="90" t="s">
        <v>347</v>
      </c>
      <c r="K76" s="77" t="s">
        <v>359</v>
      </c>
      <c r="L76" s="257" t="str">
        <f>I78</f>
        <v>04</v>
      </c>
      <c r="M76" s="77" t="str">
        <f t="shared" si="1"/>
        <v>S2 AD04</v>
      </c>
    </row>
    <row r="77" spans="1:31" ht="12.75" customHeight="1" x14ac:dyDescent="0.2">
      <c r="A77" s="427"/>
      <c r="B77" s="208" t="s">
        <v>224</v>
      </c>
      <c r="C77" s="208" t="s">
        <v>225</v>
      </c>
      <c r="D77" s="208" t="s">
        <v>226</v>
      </c>
      <c r="E77" s="208" t="s">
        <v>227</v>
      </c>
      <c r="F77" s="209" t="s">
        <v>228</v>
      </c>
      <c r="G77" s="90" t="s">
        <v>229</v>
      </c>
      <c r="H77" s="90" t="s">
        <v>348</v>
      </c>
      <c r="I77" s="90" t="s">
        <v>349</v>
      </c>
      <c r="J77" s="90" t="s">
        <v>350</v>
      </c>
      <c r="K77" s="77" t="s">
        <v>360</v>
      </c>
      <c r="L77" s="249" t="str">
        <f>J78</f>
        <v>2B</v>
      </c>
      <c r="M77" s="77" t="str">
        <f t="shared" si="1"/>
        <v>S2 AE2B</v>
      </c>
    </row>
    <row r="78" spans="1:31" ht="13.5" customHeight="1" thickBot="1" x14ac:dyDescent="0.25">
      <c r="A78" s="427"/>
      <c r="B78" s="91" t="str">
        <f>IF(J62=0,DEC2HEX(VLOOKUP((1+F71)*B71,ook_table!$B$29:'ook_table'!$D$36,3)),DEC2HEX(VLOOKUP((1+F71)*B71,ook_table!$B$42:'ook_table'!$D$49,3)))</f>
        <v>2</v>
      </c>
      <c r="C78" s="91" t="str">
        <f>DEC2HEX(VLOOKUP(C71,ook_table!$B$3:'ook_table'!$F$21,5))</f>
        <v>1</v>
      </c>
      <c r="D78" s="91" t="str">
        <f>DEC2HEX(VLOOKUP(C71,ook_table!$B$3:'ook_table'!$F$21,4))</f>
        <v>1</v>
      </c>
      <c r="E78" s="91" t="str">
        <f>DEC2HEX('Hidden calc'!A38,3)</f>
        <v>271</v>
      </c>
      <c r="F78" s="91" t="str">
        <f>DEC2HEX(ROUND((B71*2^(20+B78))/(500*($K$14/30000)*(1+2*D78)),0),5)</f>
        <v>01A37</v>
      </c>
      <c r="G78" s="91" t="str">
        <f>IF(2+32768/(HEX2DEC(E78))&gt;2047,DEC2HEX(2047),DEC2HEX(ROUND(2+32768/(HEX2DEC(E78)),0),3))</f>
        <v>036</v>
      </c>
      <c r="H78" s="91" t="str">
        <f>DEC2HEX((1-H71)*32+16*H71+8*I71+FLOOR((2.5*500/(B71*(F71+1))/256),1),2)</f>
        <v>19</v>
      </c>
      <c r="I78" s="91" t="str">
        <f>DEC2HEX(2.5*500/(B71*(F71+1))-(256*FLOOR(2.5*500/(B71*(F71+1))/256,1)),2)</f>
        <v>04</v>
      </c>
      <c r="J78" s="248" t="str">
        <f>IF(4+CEILING(LOG(E71,2),1)&gt;11,DEC2HEX(2*16+11),DEC2HEX( 2*16+4+CEILING(LOG(E71,2),1)))</f>
        <v>2B</v>
      </c>
      <c r="K78" s="291" t="s">
        <v>423</v>
      </c>
      <c r="L78" s="282" t="str">
        <f>'Hidden calc'!D21</f>
        <v>00</v>
      </c>
      <c r="M78" s="283" t="str">
        <f>CONCATENATE("S2 ",DEC2HEX(128+HEX2DEC(RIGHT(K62,2))),L62)</f>
        <v>S2 9F00</v>
      </c>
      <c r="N78" s="85"/>
    </row>
    <row r="79" spans="1:31" x14ac:dyDescent="0.2">
      <c r="A79" s="65"/>
      <c r="B79" s="65"/>
      <c r="C79" s="65"/>
      <c r="E79" s="65"/>
      <c r="F79" s="65"/>
      <c r="G79" s="65"/>
      <c r="H79" s="65"/>
      <c r="K79" s="291" t="s">
        <v>430</v>
      </c>
      <c r="L79" s="282">
        <v>60</v>
      </c>
      <c r="M79" s="283" t="str">
        <f>CONCATENATE("S2 ",DEC2HEX(128+HEX2DEC(RIGHT(K79,2))),L79)</f>
        <v>S2 E960</v>
      </c>
    </row>
    <row r="80" spans="1:31" x14ac:dyDescent="0.2">
      <c r="A80" s="65"/>
      <c r="B80" s="65"/>
      <c r="C80" s="65"/>
      <c r="E80" s="65"/>
      <c r="F80" s="65"/>
      <c r="G80" s="65"/>
      <c r="H80" s="65"/>
      <c r="I80" s="65"/>
      <c r="J80" s="65"/>
      <c r="P80" s="65"/>
    </row>
    <row r="81" spans="1:31" x14ac:dyDescent="0.2">
      <c r="A81" s="65"/>
      <c r="B81" s="65"/>
      <c r="C81" s="65"/>
      <c r="E81" s="65"/>
      <c r="F81" s="65"/>
      <c r="P81" s="65"/>
    </row>
    <row r="82" spans="1:31" x14ac:dyDescent="0.2">
      <c r="A82" s="65"/>
      <c r="B82" s="65"/>
      <c r="C82" s="65"/>
      <c r="E82" s="65"/>
      <c r="F82" s="65"/>
      <c r="P82" s="65"/>
    </row>
    <row r="83" spans="1:31" x14ac:dyDescent="0.2">
      <c r="B83" s="65"/>
      <c r="C83" s="65"/>
      <c r="E83" s="65"/>
      <c r="F83" s="65"/>
      <c r="M83" s="65"/>
      <c r="P83" s="65"/>
      <c r="Q83" s="65"/>
      <c r="R83" s="65"/>
      <c r="S83" s="65"/>
      <c r="T83" s="65"/>
      <c r="U83" s="65"/>
      <c r="V83" s="65"/>
      <c r="W83" s="65"/>
      <c r="X83" s="65"/>
      <c r="Y83" s="65"/>
      <c r="Z83" s="65"/>
      <c r="AA83" s="65"/>
      <c r="AB83" s="65"/>
      <c r="AC83" s="65"/>
      <c r="AD83" s="65"/>
      <c r="AE83" s="65"/>
    </row>
    <row r="84" spans="1:31" x14ac:dyDescent="0.2">
      <c r="B84" s="65"/>
      <c r="C84" s="65"/>
      <c r="E84" s="65"/>
      <c r="F84" s="65"/>
      <c r="M84" s="65"/>
      <c r="P84" s="65"/>
      <c r="Q84" s="65"/>
      <c r="R84" s="65"/>
      <c r="S84" s="65"/>
      <c r="T84" s="65"/>
      <c r="U84" s="65"/>
      <c r="V84" s="65"/>
      <c r="W84" s="65"/>
      <c r="X84" s="65"/>
      <c r="Y84" s="65"/>
      <c r="Z84" s="65"/>
      <c r="AA84" s="65"/>
      <c r="AB84" s="65"/>
      <c r="AC84" s="65"/>
      <c r="AD84" s="65"/>
      <c r="AE84" s="65"/>
    </row>
    <row r="85" spans="1:31" x14ac:dyDescent="0.2">
      <c r="B85" s="65"/>
      <c r="C85" s="65"/>
      <c r="E85" s="65"/>
      <c r="F85" s="65"/>
      <c r="M85" s="65"/>
      <c r="P85" s="65"/>
      <c r="Q85" s="65"/>
      <c r="R85" s="65"/>
      <c r="S85" s="65"/>
      <c r="T85" s="65"/>
      <c r="U85" s="65"/>
      <c r="V85" s="65"/>
      <c r="W85" s="65"/>
      <c r="X85" s="65"/>
      <c r="Y85" s="65"/>
      <c r="Z85" s="65"/>
      <c r="AA85" s="65"/>
      <c r="AB85" s="65"/>
      <c r="AC85" s="65"/>
      <c r="AD85" s="65"/>
      <c r="AE85" s="65"/>
    </row>
    <row r="86" spans="1:31" ht="12.75" customHeight="1" x14ac:dyDescent="0.2">
      <c r="M86" s="65"/>
      <c r="P86" s="65"/>
      <c r="Q86" s="65"/>
      <c r="R86" s="65"/>
      <c r="S86" s="65"/>
      <c r="T86" s="65"/>
      <c r="U86" s="65"/>
      <c r="V86" s="65"/>
      <c r="W86" s="65"/>
      <c r="X86" s="65"/>
      <c r="Y86" s="65"/>
      <c r="Z86" s="65"/>
      <c r="AA86" s="65"/>
      <c r="AB86" s="65"/>
      <c r="AC86" s="65"/>
      <c r="AD86" s="65"/>
      <c r="AE86" s="65"/>
    </row>
    <row r="87" spans="1:31" x14ac:dyDescent="0.2">
      <c r="K87" s="65"/>
      <c r="L87" s="65"/>
      <c r="M87" s="65"/>
      <c r="P87" s="65"/>
      <c r="Q87" s="65"/>
      <c r="R87" s="65"/>
      <c r="S87" s="65"/>
      <c r="T87" s="65"/>
      <c r="U87" s="65"/>
      <c r="V87" s="65"/>
      <c r="W87" s="65"/>
      <c r="X87" s="65"/>
      <c r="Y87" s="65"/>
      <c r="Z87" s="65"/>
      <c r="AA87" s="65"/>
      <c r="AB87" s="65"/>
      <c r="AC87" s="65"/>
      <c r="AD87" s="65"/>
      <c r="AE87" s="65"/>
    </row>
    <row r="88" spans="1:31" x14ac:dyDescent="0.2">
      <c r="K88" s="65"/>
      <c r="L88" s="65"/>
      <c r="M88" s="65"/>
      <c r="P88" s="65"/>
      <c r="Q88" s="65"/>
      <c r="R88" s="65"/>
      <c r="S88" s="65"/>
      <c r="T88" s="65"/>
      <c r="U88" s="65"/>
      <c r="V88" s="65"/>
      <c r="W88" s="65"/>
      <c r="X88" s="65"/>
      <c r="Y88" s="65"/>
      <c r="Z88" s="65"/>
      <c r="AA88" s="65"/>
      <c r="AB88" s="65"/>
      <c r="AC88" s="65"/>
      <c r="AD88" s="65"/>
      <c r="AE88" s="65"/>
    </row>
    <row r="89" spans="1:31" x14ac:dyDescent="0.2">
      <c r="K89" s="65"/>
      <c r="L89" s="65"/>
      <c r="M89" s="65"/>
      <c r="P89" s="65"/>
      <c r="Q89" s="65"/>
      <c r="R89" s="65"/>
      <c r="S89" s="65"/>
      <c r="T89" s="65"/>
      <c r="U89" s="65"/>
      <c r="V89" s="65"/>
      <c r="W89" s="65"/>
      <c r="X89" s="65"/>
      <c r="Y89" s="65"/>
      <c r="Z89" s="65"/>
      <c r="AA89" s="65"/>
      <c r="AB89" s="65"/>
      <c r="AC89" s="65"/>
      <c r="AD89" s="65"/>
      <c r="AE89" s="65"/>
    </row>
    <row r="90" spans="1:31" x14ac:dyDescent="0.2">
      <c r="K90" s="65"/>
      <c r="L90" s="65"/>
      <c r="M90" s="65"/>
      <c r="P90" s="65"/>
      <c r="Q90" s="65"/>
      <c r="R90" s="65"/>
      <c r="S90" s="65"/>
      <c r="T90" s="65"/>
      <c r="U90" s="65"/>
      <c r="V90" s="65"/>
      <c r="W90" s="65"/>
      <c r="X90" s="65"/>
      <c r="Y90" s="65"/>
      <c r="Z90" s="65"/>
      <c r="AA90" s="65"/>
      <c r="AB90" s="65"/>
      <c r="AC90" s="65"/>
      <c r="AD90" s="65"/>
      <c r="AE90" s="65"/>
    </row>
    <row r="91" spans="1:31" x14ac:dyDescent="0.2">
      <c r="K91" s="65"/>
      <c r="L91" s="65"/>
      <c r="M91" s="65"/>
      <c r="P91" s="65"/>
      <c r="Q91" s="65"/>
      <c r="R91" s="65"/>
      <c r="S91" s="65"/>
      <c r="T91" s="65"/>
      <c r="U91" s="65"/>
      <c r="V91" s="65"/>
      <c r="W91" s="65"/>
      <c r="X91" s="65"/>
      <c r="Y91" s="65"/>
      <c r="Z91" s="65"/>
      <c r="AA91" s="65"/>
      <c r="AB91" s="65"/>
      <c r="AC91" s="65"/>
      <c r="AD91" s="65"/>
      <c r="AE91" s="65"/>
    </row>
    <row r="92" spans="1:31" x14ac:dyDescent="0.2">
      <c r="K92" s="228"/>
      <c r="L92" s="65"/>
      <c r="M92" s="65"/>
      <c r="P92" s="65"/>
      <c r="Q92" s="65"/>
      <c r="R92" s="65"/>
      <c r="S92" s="65"/>
      <c r="T92" s="65"/>
      <c r="U92" s="65"/>
      <c r="V92" s="65"/>
      <c r="W92" s="65"/>
      <c r="X92" s="65"/>
      <c r="Y92" s="65"/>
      <c r="Z92" s="65"/>
      <c r="AA92" s="65"/>
      <c r="AB92" s="65"/>
      <c r="AC92" s="65"/>
      <c r="AD92" s="65"/>
      <c r="AE92" s="65"/>
    </row>
    <row r="93" spans="1:31" x14ac:dyDescent="0.2">
      <c r="A93" s="280"/>
      <c r="B93" s="280"/>
      <c r="C93" s="280"/>
      <c r="D93" s="280"/>
      <c r="E93" s="280"/>
      <c r="F93" s="280"/>
      <c r="G93" s="280"/>
      <c r="H93" s="280"/>
      <c r="I93" s="280"/>
      <c r="J93" s="280"/>
      <c r="K93" s="65"/>
      <c r="L93" s="65"/>
      <c r="M93" s="65"/>
      <c r="P93" s="65"/>
      <c r="Q93" s="65"/>
      <c r="R93" s="65"/>
      <c r="S93" s="65"/>
      <c r="T93" s="65"/>
      <c r="U93" s="65"/>
      <c r="V93" s="65"/>
      <c r="W93" s="65"/>
      <c r="X93" s="65"/>
      <c r="Y93" s="65"/>
      <c r="Z93" s="65"/>
      <c r="AA93" s="65"/>
      <c r="AB93" s="65"/>
      <c r="AC93" s="65"/>
      <c r="AD93" s="65"/>
      <c r="AE93" s="65"/>
    </row>
    <row r="94" spans="1:31" x14ac:dyDescent="0.2">
      <c r="A94" s="280"/>
      <c r="B94" s="280"/>
      <c r="C94" s="280"/>
      <c r="D94" s="280"/>
      <c r="E94" s="280"/>
      <c r="F94" s="280"/>
      <c r="G94" s="280"/>
      <c r="H94" s="280"/>
      <c r="I94" s="280"/>
      <c r="J94" s="280"/>
      <c r="K94" s="65"/>
      <c r="L94" s="65"/>
      <c r="M94" s="65"/>
      <c r="P94" s="65"/>
      <c r="Q94" s="65"/>
      <c r="R94" s="65"/>
      <c r="S94" s="65"/>
      <c r="T94" s="65"/>
      <c r="U94" s="65"/>
      <c r="V94" s="65"/>
      <c r="W94" s="65"/>
      <c r="X94" s="65"/>
      <c r="Y94" s="65"/>
      <c r="Z94" s="65"/>
      <c r="AA94" s="65"/>
      <c r="AB94" s="65"/>
      <c r="AC94" s="65"/>
      <c r="AD94" s="65"/>
      <c r="AE94" s="65"/>
    </row>
    <row r="95" spans="1:31" x14ac:dyDescent="0.2">
      <c r="A95" s="280"/>
      <c r="B95" s="280"/>
      <c r="C95" s="280"/>
      <c r="D95" s="280"/>
      <c r="E95" s="280"/>
      <c r="F95" s="280"/>
      <c r="G95" s="280"/>
      <c r="H95" s="280"/>
      <c r="I95" s="280"/>
      <c r="J95" s="280"/>
      <c r="K95" s="65"/>
      <c r="L95" s="65"/>
      <c r="M95" s="65"/>
      <c r="P95" s="65"/>
      <c r="Q95" s="65"/>
      <c r="R95" s="65"/>
      <c r="S95" s="65"/>
      <c r="T95" s="65"/>
      <c r="U95" s="65"/>
      <c r="V95" s="65"/>
      <c r="W95" s="65"/>
      <c r="X95" s="65"/>
      <c r="Y95" s="65"/>
      <c r="Z95" s="65"/>
      <c r="AA95" s="65"/>
      <c r="AB95" s="65"/>
      <c r="AC95" s="65"/>
      <c r="AD95" s="65"/>
      <c r="AE95" s="65"/>
    </row>
    <row r="96" spans="1:31" x14ac:dyDescent="0.2">
      <c r="A96" s="280"/>
      <c r="B96" s="280"/>
      <c r="C96" s="280"/>
      <c r="D96" s="280"/>
      <c r="E96" s="280"/>
      <c r="F96" s="280"/>
      <c r="G96" s="280"/>
      <c r="H96" s="280"/>
      <c r="I96" s="280"/>
      <c r="J96" s="280"/>
      <c r="K96" s="65"/>
      <c r="L96" s="65"/>
      <c r="M96" s="65"/>
      <c r="P96" s="65"/>
      <c r="Q96" s="65"/>
      <c r="R96" s="65"/>
      <c r="S96" s="65"/>
      <c r="T96" s="65"/>
      <c r="U96" s="65"/>
      <c r="V96" s="65"/>
      <c r="W96" s="65"/>
      <c r="X96" s="65"/>
      <c r="Y96" s="65"/>
      <c r="Z96" s="65"/>
      <c r="AA96" s="65"/>
      <c r="AB96" s="65"/>
      <c r="AC96" s="65"/>
      <c r="AD96" s="65"/>
      <c r="AE96" s="65"/>
    </row>
    <row r="97" spans="1:31" x14ac:dyDescent="0.2">
      <c r="A97" s="279"/>
      <c r="B97" s="279"/>
      <c r="C97" s="279"/>
      <c r="D97" s="279"/>
      <c r="E97" s="279"/>
      <c r="F97" s="279"/>
      <c r="G97" s="279"/>
      <c r="H97" s="279"/>
      <c r="I97" s="279"/>
      <c r="J97" s="279"/>
      <c r="K97" s="65"/>
      <c r="L97" s="65"/>
      <c r="M97" s="65"/>
      <c r="P97" s="65"/>
      <c r="Q97" s="65"/>
      <c r="R97" s="65"/>
      <c r="S97" s="65"/>
      <c r="T97" s="65"/>
      <c r="U97" s="65"/>
      <c r="V97" s="65"/>
      <c r="W97" s="65"/>
      <c r="X97" s="65"/>
      <c r="Y97" s="65"/>
      <c r="Z97" s="65"/>
      <c r="AA97" s="65"/>
      <c r="AB97" s="65"/>
      <c r="AC97" s="65"/>
      <c r="AD97" s="65"/>
      <c r="AE97" s="65"/>
    </row>
    <row r="98" spans="1:31" x14ac:dyDescent="0.2">
      <c r="A98" s="279"/>
      <c r="B98" s="279"/>
      <c r="C98" s="279"/>
      <c r="D98" s="279"/>
      <c r="E98" s="279"/>
      <c r="F98" s="279"/>
      <c r="G98" s="279"/>
      <c r="H98" s="279"/>
      <c r="I98" s="279"/>
      <c r="J98" s="279"/>
      <c r="K98" s="65"/>
      <c r="L98" s="65"/>
      <c r="M98" s="65"/>
      <c r="P98" s="65"/>
      <c r="Q98" s="65"/>
      <c r="R98" s="65"/>
      <c r="S98" s="65"/>
      <c r="T98" s="65"/>
      <c r="U98" s="65"/>
      <c r="V98" s="65"/>
      <c r="W98" s="65"/>
      <c r="X98" s="65"/>
      <c r="Y98" s="65"/>
      <c r="Z98" s="65"/>
      <c r="AA98" s="65"/>
      <c r="AB98" s="65"/>
      <c r="AC98" s="65"/>
      <c r="AD98" s="65"/>
      <c r="AE98" s="65"/>
    </row>
    <row r="99" spans="1:31" x14ac:dyDescent="0.2">
      <c r="A99" s="279"/>
      <c r="B99" s="279"/>
      <c r="C99" s="279"/>
      <c r="D99" s="279"/>
      <c r="E99" s="279"/>
      <c r="F99" s="279"/>
      <c r="G99" s="279"/>
      <c r="H99" s="279"/>
      <c r="I99" s="279"/>
      <c r="J99" s="279"/>
      <c r="K99" s="65"/>
      <c r="L99" s="65"/>
      <c r="M99" s="65"/>
      <c r="P99" s="65"/>
      <c r="Q99" s="65"/>
      <c r="R99" s="65"/>
      <c r="S99" s="65"/>
      <c r="T99" s="65"/>
      <c r="U99" s="65"/>
      <c r="V99" s="65"/>
      <c r="W99" s="65"/>
      <c r="X99" s="65"/>
      <c r="Y99" s="65"/>
      <c r="Z99" s="65"/>
      <c r="AA99" s="65"/>
      <c r="AB99" s="65"/>
      <c r="AC99" s="65"/>
      <c r="AD99" s="65"/>
      <c r="AE99" s="65"/>
    </row>
    <row r="100" spans="1:31" x14ac:dyDescent="0.2">
      <c r="A100" s="279"/>
      <c r="B100" s="279"/>
      <c r="C100" s="279"/>
      <c r="D100" s="279"/>
      <c r="E100" s="279"/>
      <c r="F100" s="279"/>
      <c r="G100" s="279"/>
      <c r="H100" s="279"/>
      <c r="I100" s="279"/>
      <c r="J100" s="279"/>
      <c r="K100" s="65"/>
      <c r="L100" s="65"/>
      <c r="M100" s="65"/>
      <c r="P100" s="65"/>
      <c r="Q100" s="65"/>
      <c r="R100" s="65"/>
      <c r="S100" s="65"/>
      <c r="T100" s="65"/>
      <c r="U100" s="65"/>
      <c r="V100" s="65"/>
      <c r="W100" s="65"/>
      <c r="X100" s="65"/>
      <c r="Y100" s="65"/>
      <c r="Z100" s="65"/>
      <c r="AA100" s="65"/>
      <c r="AB100" s="65"/>
      <c r="AC100" s="65"/>
      <c r="AD100" s="65"/>
      <c r="AE100" s="65"/>
    </row>
    <row r="101" spans="1:31" x14ac:dyDescent="0.2">
      <c r="A101" s="279"/>
      <c r="B101" s="279"/>
      <c r="C101" s="279"/>
      <c r="D101" s="279"/>
      <c r="E101" s="279"/>
      <c r="F101" s="279"/>
      <c r="G101" s="279"/>
      <c r="H101" s="279"/>
      <c r="I101" s="279"/>
      <c r="J101" s="279"/>
      <c r="K101" s="65"/>
      <c r="L101" s="65"/>
      <c r="M101" s="65"/>
      <c r="P101" s="65"/>
      <c r="Q101" s="65"/>
      <c r="R101" s="65"/>
      <c r="S101" s="65"/>
      <c r="T101" s="65"/>
      <c r="U101" s="65"/>
      <c r="V101" s="65"/>
      <c r="W101" s="65"/>
      <c r="X101" s="65"/>
      <c r="Y101" s="65"/>
      <c r="Z101" s="65"/>
      <c r="AA101" s="65"/>
      <c r="AB101" s="65"/>
      <c r="AC101" s="65"/>
      <c r="AD101" s="65"/>
      <c r="AE101" s="65"/>
    </row>
    <row r="102" spans="1:31" x14ac:dyDescent="0.2">
      <c r="A102" s="279"/>
      <c r="B102" s="279"/>
      <c r="C102" s="279"/>
      <c r="D102" s="279"/>
      <c r="E102" s="279"/>
      <c r="F102" s="279"/>
      <c r="G102" s="279"/>
      <c r="H102" s="279"/>
      <c r="I102" s="279"/>
      <c r="J102" s="279"/>
      <c r="K102" s="65"/>
      <c r="L102" s="65"/>
      <c r="M102" s="65"/>
      <c r="P102" s="65"/>
      <c r="Q102" s="65"/>
      <c r="R102" s="65"/>
      <c r="S102" s="65"/>
      <c r="T102" s="65"/>
      <c r="U102" s="65"/>
      <c r="V102" s="65"/>
      <c r="W102" s="65"/>
      <c r="X102" s="65"/>
      <c r="Y102" s="65"/>
      <c r="Z102" s="65"/>
      <c r="AA102" s="65"/>
      <c r="AB102" s="65"/>
      <c r="AC102" s="65"/>
      <c r="AD102" s="65"/>
      <c r="AE102" s="65"/>
    </row>
    <row r="103" spans="1:31" x14ac:dyDescent="0.2">
      <c r="A103" s="279"/>
      <c r="B103" s="279"/>
      <c r="C103" s="279"/>
      <c r="D103" s="279"/>
      <c r="E103" s="279"/>
      <c r="F103" s="279"/>
      <c r="G103" s="279"/>
      <c r="H103" s="279"/>
      <c r="I103" s="279"/>
      <c r="J103" s="279"/>
      <c r="K103" s="65"/>
      <c r="L103" s="65"/>
      <c r="M103" s="65"/>
      <c r="P103" s="65"/>
      <c r="Q103" s="65"/>
      <c r="R103" s="65"/>
      <c r="S103" s="65"/>
      <c r="T103" s="65"/>
      <c r="U103" s="65"/>
      <c r="V103" s="65"/>
      <c r="W103" s="65"/>
      <c r="X103" s="65"/>
      <c r="Y103" s="65"/>
      <c r="Z103" s="65"/>
      <c r="AA103" s="65"/>
      <c r="AB103" s="65"/>
      <c r="AC103" s="65"/>
      <c r="AD103" s="65"/>
      <c r="AE103" s="65"/>
    </row>
    <row r="104" spans="1:31" x14ac:dyDescent="0.2">
      <c r="A104" s="279"/>
      <c r="B104" s="279"/>
      <c r="C104" s="279"/>
      <c r="D104" s="279"/>
      <c r="E104" s="279"/>
      <c r="F104" s="279"/>
      <c r="G104" s="279"/>
      <c r="H104" s="279"/>
      <c r="I104" s="279"/>
      <c r="J104" s="279"/>
      <c r="K104" s="65"/>
      <c r="L104" s="65"/>
      <c r="M104" s="65"/>
      <c r="P104" s="65"/>
      <c r="Q104" s="65"/>
      <c r="R104" s="65"/>
      <c r="S104" s="65"/>
      <c r="T104" s="65"/>
      <c r="U104" s="65"/>
      <c r="V104" s="65"/>
      <c r="W104" s="65"/>
      <c r="X104" s="65"/>
      <c r="Y104" s="65"/>
      <c r="Z104" s="65"/>
      <c r="AA104" s="65"/>
      <c r="AB104" s="65"/>
      <c r="AC104" s="65"/>
      <c r="AD104" s="65"/>
      <c r="AE104" s="65"/>
    </row>
    <row r="105" spans="1:31" x14ac:dyDescent="0.2">
      <c r="A105" s="279"/>
      <c r="B105" s="279"/>
      <c r="C105" s="279"/>
      <c r="D105" s="279"/>
      <c r="E105" s="279"/>
      <c r="F105" s="279"/>
      <c r="G105" s="279"/>
      <c r="H105" s="279"/>
      <c r="I105" s="279"/>
      <c r="J105" s="279"/>
      <c r="K105" s="65"/>
      <c r="L105" s="65"/>
      <c r="M105" s="65"/>
      <c r="P105" s="65"/>
      <c r="Q105" s="65"/>
      <c r="R105" s="65"/>
      <c r="S105" s="65"/>
      <c r="T105" s="65"/>
      <c r="U105" s="65"/>
      <c r="V105" s="65"/>
      <c r="W105" s="65"/>
      <c r="X105" s="65"/>
      <c r="Y105" s="65"/>
      <c r="Z105" s="65"/>
      <c r="AA105" s="65"/>
      <c r="AB105" s="65"/>
      <c r="AC105" s="65"/>
      <c r="AD105" s="65"/>
      <c r="AE105" s="65"/>
    </row>
    <row r="106" spans="1:31" x14ac:dyDescent="0.2">
      <c r="B106" s="65"/>
      <c r="C106" s="65"/>
      <c r="E106" s="65"/>
      <c r="F106" s="65"/>
      <c r="G106" s="65"/>
      <c r="H106" s="65"/>
      <c r="I106" s="65"/>
      <c r="J106" s="65"/>
      <c r="K106" s="65"/>
      <c r="L106" s="65"/>
      <c r="M106" s="65"/>
      <c r="P106" s="65"/>
      <c r="Q106" s="65"/>
      <c r="R106" s="65"/>
      <c r="S106" s="65"/>
      <c r="T106" s="65"/>
      <c r="U106" s="65"/>
      <c r="V106" s="65"/>
      <c r="W106" s="65"/>
      <c r="X106" s="65"/>
      <c r="Y106" s="65"/>
      <c r="Z106" s="65"/>
      <c r="AA106" s="65"/>
      <c r="AB106" s="65"/>
      <c r="AC106" s="65"/>
      <c r="AD106" s="65"/>
      <c r="AE106" s="65"/>
    </row>
    <row r="107" spans="1:31" x14ac:dyDescent="0.2">
      <c r="B107" s="65"/>
      <c r="C107" s="65"/>
      <c r="E107" s="65"/>
      <c r="F107" s="65"/>
      <c r="G107" s="65"/>
      <c r="H107" s="65"/>
      <c r="I107" s="65"/>
      <c r="J107" s="65"/>
      <c r="K107" s="65"/>
      <c r="L107" s="65"/>
      <c r="M107" s="65"/>
      <c r="P107" s="65"/>
      <c r="Q107" s="65"/>
      <c r="R107" s="65"/>
      <c r="S107" s="65"/>
      <c r="T107" s="65"/>
      <c r="U107" s="65"/>
      <c r="V107" s="65"/>
      <c r="W107" s="65"/>
      <c r="X107" s="65"/>
      <c r="Y107" s="65"/>
      <c r="Z107" s="65"/>
      <c r="AA107" s="65"/>
      <c r="AB107" s="65"/>
      <c r="AC107" s="65"/>
      <c r="AD107" s="65"/>
      <c r="AE107" s="65"/>
    </row>
    <row r="108" spans="1:31" x14ac:dyDescent="0.2">
      <c r="B108" s="65"/>
      <c r="C108" s="65"/>
      <c r="E108" s="65"/>
      <c r="F108" s="65"/>
      <c r="G108" s="65"/>
      <c r="H108" s="65"/>
      <c r="I108" s="65"/>
      <c r="J108" s="65"/>
      <c r="K108" s="65"/>
      <c r="L108" s="65"/>
      <c r="M108" s="65"/>
      <c r="P108" s="65"/>
      <c r="Q108" s="65"/>
      <c r="R108" s="65"/>
      <c r="S108" s="65"/>
      <c r="T108" s="65"/>
      <c r="U108" s="65"/>
      <c r="V108" s="65"/>
      <c r="W108" s="65"/>
      <c r="X108" s="65"/>
      <c r="Y108" s="65"/>
      <c r="Z108" s="65"/>
      <c r="AA108" s="65"/>
      <c r="AB108" s="65"/>
      <c r="AC108" s="65"/>
      <c r="AD108" s="65"/>
      <c r="AE108" s="65"/>
    </row>
    <row r="109" spans="1:31" x14ac:dyDescent="0.2">
      <c r="B109" s="65"/>
      <c r="C109" s="65"/>
      <c r="E109" s="65"/>
      <c r="F109" s="65"/>
      <c r="G109" s="65"/>
      <c r="H109" s="65"/>
      <c r="I109" s="65"/>
      <c r="J109" s="65"/>
      <c r="K109" s="65"/>
      <c r="L109" s="65"/>
      <c r="M109" s="65"/>
      <c r="P109" s="65"/>
      <c r="Q109" s="65"/>
      <c r="R109" s="65"/>
      <c r="S109" s="65"/>
      <c r="T109" s="65"/>
      <c r="U109" s="65"/>
      <c r="V109" s="65"/>
      <c r="W109" s="65"/>
      <c r="X109" s="65"/>
      <c r="Y109" s="65"/>
      <c r="Z109" s="65"/>
      <c r="AA109" s="65"/>
      <c r="AB109" s="65"/>
      <c r="AC109" s="65"/>
      <c r="AD109" s="65"/>
      <c r="AE109" s="65"/>
    </row>
    <row r="110" spans="1:31" x14ac:dyDescent="0.2">
      <c r="B110" s="65"/>
      <c r="C110" s="65"/>
      <c r="E110" s="65"/>
      <c r="F110" s="65"/>
      <c r="G110" s="65"/>
      <c r="H110" s="65"/>
      <c r="I110" s="65"/>
      <c r="J110" s="65"/>
      <c r="K110" s="65"/>
      <c r="L110" s="65"/>
      <c r="M110" s="65"/>
      <c r="P110" s="65"/>
      <c r="Q110" s="65"/>
      <c r="R110" s="65"/>
      <c r="S110" s="65"/>
      <c r="T110" s="65"/>
      <c r="U110" s="65"/>
      <c r="V110" s="65"/>
      <c r="W110" s="65"/>
      <c r="X110" s="65"/>
      <c r="Y110" s="65"/>
      <c r="Z110" s="65"/>
      <c r="AA110" s="65"/>
      <c r="AB110" s="65"/>
      <c r="AC110" s="65"/>
      <c r="AD110" s="65"/>
      <c r="AE110" s="65"/>
    </row>
    <row r="111" spans="1:31" x14ac:dyDescent="0.2">
      <c r="B111" s="65"/>
      <c r="C111" s="65"/>
      <c r="E111" s="65"/>
      <c r="F111" s="65"/>
      <c r="G111" s="65"/>
      <c r="H111" s="65"/>
      <c r="I111" s="65"/>
      <c r="J111" s="65"/>
      <c r="K111" s="65"/>
      <c r="L111" s="65"/>
      <c r="M111" s="65"/>
      <c r="P111" s="65"/>
      <c r="Q111" s="65"/>
      <c r="R111" s="65"/>
      <c r="S111" s="65"/>
      <c r="T111" s="65"/>
      <c r="U111" s="65"/>
      <c r="V111" s="65"/>
      <c r="W111" s="65"/>
      <c r="X111" s="65"/>
      <c r="Y111" s="65"/>
      <c r="Z111" s="65"/>
      <c r="AA111" s="65"/>
      <c r="AB111" s="65"/>
      <c r="AC111" s="65"/>
      <c r="AD111" s="65"/>
      <c r="AE111" s="65"/>
    </row>
    <row r="112" spans="1:31" x14ac:dyDescent="0.2">
      <c r="B112" s="65"/>
      <c r="C112" s="65"/>
      <c r="E112" s="65"/>
      <c r="F112" s="65"/>
      <c r="G112" s="65"/>
      <c r="H112" s="65"/>
      <c r="I112" s="65"/>
      <c r="J112" s="65"/>
      <c r="K112" s="65"/>
      <c r="L112" s="65"/>
      <c r="M112" s="65"/>
      <c r="P112" s="65"/>
      <c r="Q112" s="65"/>
      <c r="R112" s="65"/>
      <c r="S112" s="65"/>
      <c r="T112" s="65"/>
      <c r="U112" s="65"/>
      <c r="V112" s="65"/>
      <c r="W112" s="65"/>
      <c r="X112" s="65"/>
      <c r="Y112" s="65"/>
      <c r="Z112" s="65"/>
      <c r="AA112" s="65"/>
      <c r="AB112" s="65"/>
      <c r="AC112" s="65"/>
      <c r="AD112" s="65"/>
      <c r="AE112" s="65"/>
    </row>
    <row r="113" spans="2:31" x14ac:dyDescent="0.2">
      <c r="B113" s="65"/>
      <c r="C113" s="65"/>
      <c r="E113" s="65"/>
      <c r="F113" s="65"/>
      <c r="G113" s="65"/>
      <c r="H113" s="65"/>
      <c r="I113" s="65"/>
      <c r="J113" s="65"/>
      <c r="K113" s="65"/>
      <c r="L113" s="65"/>
      <c r="M113" s="65"/>
      <c r="P113" s="65"/>
      <c r="Q113" s="65"/>
      <c r="R113" s="65"/>
      <c r="S113" s="65"/>
      <c r="T113" s="65"/>
      <c r="U113" s="65"/>
      <c r="V113" s="65"/>
      <c r="W113" s="65"/>
      <c r="X113" s="65"/>
      <c r="Y113" s="65"/>
      <c r="Z113" s="65"/>
      <c r="AA113" s="65"/>
      <c r="AB113" s="65"/>
      <c r="AC113" s="65"/>
      <c r="AD113" s="65"/>
      <c r="AE113" s="65"/>
    </row>
    <row r="114" spans="2:31" x14ac:dyDescent="0.2">
      <c r="B114" s="65"/>
      <c r="C114" s="65"/>
      <c r="E114" s="65"/>
      <c r="F114" s="65"/>
      <c r="G114" s="65"/>
      <c r="H114" s="65"/>
      <c r="I114" s="65"/>
      <c r="J114" s="65"/>
      <c r="K114" s="65"/>
      <c r="L114" s="65"/>
      <c r="M114" s="65"/>
      <c r="P114" s="65"/>
      <c r="Q114" s="65"/>
      <c r="R114" s="65"/>
      <c r="S114" s="65"/>
      <c r="T114" s="65"/>
      <c r="U114" s="65"/>
      <c r="V114" s="65"/>
      <c r="W114" s="65"/>
      <c r="X114" s="65"/>
      <c r="Y114" s="65"/>
      <c r="Z114" s="65"/>
      <c r="AA114" s="65"/>
      <c r="AB114" s="65"/>
      <c r="AC114" s="65"/>
      <c r="AD114" s="65"/>
      <c r="AE114" s="65"/>
    </row>
    <row r="115" spans="2:31" x14ac:dyDescent="0.2">
      <c r="B115" s="65"/>
      <c r="C115" s="65"/>
      <c r="E115" s="65"/>
      <c r="F115" s="65"/>
      <c r="G115" s="65"/>
      <c r="H115" s="65"/>
      <c r="I115" s="65"/>
      <c r="J115" s="65"/>
      <c r="K115" s="65"/>
      <c r="L115" s="65"/>
      <c r="M115" s="65"/>
      <c r="P115" s="65"/>
      <c r="Q115" s="65"/>
      <c r="R115" s="65"/>
      <c r="S115" s="65"/>
      <c r="T115" s="65"/>
      <c r="U115" s="65"/>
      <c r="V115" s="65"/>
      <c r="W115" s="65"/>
      <c r="X115" s="65"/>
      <c r="Y115" s="65"/>
      <c r="Z115" s="65"/>
      <c r="AA115" s="65"/>
      <c r="AB115" s="65"/>
      <c r="AC115" s="65"/>
      <c r="AD115" s="65"/>
      <c r="AE115" s="65"/>
    </row>
    <row r="116" spans="2:31" x14ac:dyDescent="0.2">
      <c r="B116" s="65"/>
      <c r="C116" s="65"/>
      <c r="E116" s="65"/>
      <c r="F116" s="65"/>
      <c r="G116" s="65"/>
      <c r="H116" s="65"/>
      <c r="I116" s="65"/>
      <c r="J116" s="65"/>
      <c r="K116" s="65"/>
      <c r="L116" s="65"/>
      <c r="M116" s="65"/>
      <c r="P116" s="65"/>
      <c r="Q116" s="65"/>
      <c r="R116" s="65"/>
      <c r="S116" s="65"/>
      <c r="T116" s="65"/>
      <c r="U116" s="65"/>
      <c r="V116" s="65"/>
      <c r="W116" s="65"/>
      <c r="X116" s="65"/>
      <c r="Y116" s="65"/>
      <c r="Z116" s="65"/>
      <c r="AA116" s="65"/>
      <c r="AB116" s="65"/>
      <c r="AC116" s="65"/>
      <c r="AD116" s="65"/>
      <c r="AE116" s="65"/>
    </row>
    <row r="117" spans="2:31" x14ac:dyDescent="0.2">
      <c r="B117" s="65"/>
      <c r="C117" s="65"/>
      <c r="E117" s="65"/>
      <c r="F117" s="65"/>
      <c r="G117" s="65"/>
      <c r="H117" s="65"/>
      <c r="I117" s="65"/>
      <c r="J117" s="65"/>
      <c r="K117" s="65"/>
      <c r="L117" s="65"/>
      <c r="M117" s="65"/>
      <c r="P117" s="65"/>
      <c r="Q117" s="65"/>
      <c r="R117" s="65"/>
      <c r="S117" s="65"/>
      <c r="T117" s="65"/>
      <c r="U117" s="65"/>
      <c r="V117" s="65"/>
      <c r="W117" s="65"/>
      <c r="X117" s="65"/>
      <c r="Y117" s="65"/>
      <c r="Z117" s="65"/>
      <c r="AA117" s="65"/>
      <c r="AB117" s="65"/>
      <c r="AC117" s="65"/>
      <c r="AD117" s="65"/>
      <c r="AE117" s="65"/>
    </row>
    <row r="118" spans="2:31" x14ac:dyDescent="0.2">
      <c r="B118" s="65"/>
      <c r="C118" s="65"/>
      <c r="E118" s="65"/>
      <c r="F118" s="65"/>
      <c r="G118" s="65"/>
      <c r="H118" s="65"/>
      <c r="I118" s="65"/>
      <c r="J118" s="65"/>
      <c r="K118" s="65"/>
      <c r="L118" s="65"/>
      <c r="M118" s="65"/>
      <c r="P118" s="65"/>
      <c r="Q118" s="65"/>
      <c r="R118" s="65"/>
      <c r="S118" s="65"/>
      <c r="T118" s="65"/>
      <c r="U118" s="65"/>
      <c r="V118" s="65"/>
      <c r="W118" s="65"/>
      <c r="X118" s="65"/>
      <c r="Y118" s="65"/>
      <c r="Z118" s="65"/>
      <c r="AA118" s="65"/>
      <c r="AB118" s="65"/>
      <c r="AC118" s="65"/>
      <c r="AD118" s="65"/>
      <c r="AE118" s="65"/>
    </row>
    <row r="119" spans="2:31" x14ac:dyDescent="0.2">
      <c r="B119" s="65"/>
      <c r="C119" s="65"/>
      <c r="E119" s="65"/>
      <c r="F119" s="65"/>
      <c r="G119" s="65"/>
      <c r="H119" s="65"/>
      <c r="I119" s="65"/>
      <c r="J119" s="65"/>
      <c r="K119" s="65"/>
      <c r="L119" s="65"/>
      <c r="M119" s="65"/>
      <c r="P119" s="65"/>
      <c r="Q119" s="65"/>
      <c r="R119" s="65"/>
      <c r="S119" s="65"/>
      <c r="T119" s="65"/>
      <c r="U119" s="65"/>
      <c r="V119" s="65"/>
      <c r="W119" s="65"/>
      <c r="X119" s="65"/>
      <c r="Y119" s="65"/>
      <c r="Z119" s="65"/>
      <c r="AA119" s="65"/>
      <c r="AB119" s="65"/>
      <c r="AC119" s="65"/>
      <c r="AD119" s="65"/>
      <c r="AE119" s="65"/>
    </row>
    <row r="120" spans="2:31" x14ac:dyDescent="0.2">
      <c r="B120" s="65"/>
      <c r="C120" s="65"/>
      <c r="E120" s="65"/>
      <c r="F120" s="65"/>
      <c r="G120" s="65"/>
      <c r="H120" s="65"/>
      <c r="I120" s="65"/>
      <c r="J120" s="65"/>
      <c r="K120" s="65"/>
      <c r="L120" s="65"/>
      <c r="M120" s="65"/>
      <c r="P120" s="65"/>
      <c r="Q120" s="65"/>
      <c r="R120" s="65"/>
      <c r="S120" s="65"/>
      <c r="T120" s="65"/>
      <c r="U120" s="65"/>
      <c r="V120" s="65"/>
      <c r="W120" s="65"/>
      <c r="X120" s="65"/>
      <c r="Y120" s="65"/>
      <c r="Z120" s="65"/>
      <c r="AA120" s="65"/>
      <c r="AB120" s="65"/>
      <c r="AC120" s="65"/>
      <c r="AD120" s="65"/>
      <c r="AE120" s="65"/>
    </row>
    <row r="121" spans="2:31" x14ac:dyDescent="0.2">
      <c r="B121" s="65"/>
      <c r="C121" s="65"/>
      <c r="E121" s="65"/>
      <c r="F121" s="65"/>
      <c r="G121" s="65"/>
      <c r="H121" s="65"/>
      <c r="I121" s="65"/>
      <c r="J121" s="65"/>
      <c r="K121" s="65"/>
      <c r="L121" s="65"/>
      <c r="M121" s="65"/>
      <c r="P121" s="65"/>
      <c r="Q121" s="65"/>
      <c r="R121" s="65"/>
      <c r="S121" s="65"/>
      <c r="T121" s="65"/>
      <c r="U121" s="65"/>
      <c r="V121" s="65"/>
      <c r="W121" s="65"/>
      <c r="X121" s="65"/>
      <c r="Y121" s="65"/>
      <c r="Z121" s="65"/>
      <c r="AA121" s="65"/>
      <c r="AB121" s="65"/>
      <c r="AC121" s="65"/>
      <c r="AD121" s="65"/>
      <c r="AE121" s="65"/>
    </row>
    <row r="122" spans="2:31" x14ac:dyDescent="0.2">
      <c r="B122" s="65"/>
      <c r="C122" s="65"/>
      <c r="E122" s="65"/>
      <c r="F122" s="65"/>
      <c r="G122" s="65"/>
      <c r="H122" s="65"/>
      <c r="I122" s="65"/>
      <c r="J122" s="65"/>
      <c r="K122" s="65"/>
      <c r="L122" s="65"/>
      <c r="M122" s="65"/>
      <c r="P122" s="65"/>
      <c r="Q122" s="65"/>
      <c r="R122" s="65"/>
      <c r="S122" s="65"/>
      <c r="T122" s="65"/>
      <c r="U122" s="65"/>
      <c r="V122" s="65"/>
      <c r="W122" s="65"/>
      <c r="X122" s="65"/>
      <c r="Y122" s="65"/>
      <c r="Z122" s="65"/>
      <c r="AA122" s="65"/>
      <c r="AB122" s="65"/>
      <c r="AC122" s="65"/>
      <c r="AD122" s="65"/>
      <c r="AE122" s="65"/>
    </row>
    <row r="123" spans="2:31" x14ac:dyDescent="0.2">
      <c r="B123" s="65"/>
      <c r="C123" s="65"/>
      <c r="E123" s="65"/>
      <c r="F123" s="65"/>
      <c r="G123" s="65"/>
      <c r="H123" s="65"/>
      <c r="I123" s="65"/>
      <c r="J123" s="65"/>
      <c r="K123" s="65"/>
      <c r="L123" s="65"/>
      <c r="M123" s="65"/>
      <c r="P123" s="65"/>
      <c r="Q123" s="65"/>
      <c r="R123" s="65"/>
      <c r="S123" s="65"/>
      <c r="T123" s="65"/>
      <c r="U123" s="65"/>
      <c r="V123" s="65"/>
      <c r="W123" s="65"/>
      <c r="X123" s="65"/>
      <c r="Y123" s="65"/>
      <c r="Z123" s="65"/>
      <c r="AA123" s="65"/>
      <c r="AB123" s="65"/>
      <c r="AC123" s="65"/>
      <c r="AD123" s="65"/>
      <c r="AE123" s="65"/>
    </row>
    <row r="124" spans="2:31" x14ac:dyDescent="0.2">
      <c r="B124" s="65"/>
      <c r="C124" s="65"/>
      <c r="E124" s="65"/>
      <c r="F124" s="65"/>
      <c r="G124" s="65"/>
      <c r="H124" s="65"/>
      <c r="I124" s="65"/>
      <c r="J124" s="65"/>
      <c r="K124" s="65"/>
      <c r="L124" s="65"/>
      <c r="M124" s="65"/>
      <c r="P124" s="65"/>
      <c r="Q124" s="65"/>
      <c r="R124" s="65"/>
      <c r="S124" s="65"/>
      <c r="T124" s="65"/>
      <c r="U124" s="65"/>
      <c r="V124" s="65"/>
      <c r="W124" s="65"/>
      <c r="X124" s="65"/>
      <c r="Y124" s="65"/>
      <c r="Z124" s="65"/>
      <c r="AA124" s="65"/>
      <c r="AB124" s="65"/>
      <c r="AC124" s="65"/>
      <c r="AD124" s="65"/>
      <c r="AE124" s="65"/>
    </row>
    <row r="125" spans="2:31" x14ac:dyDescent="0.2">
      <c r="B125" s="65"/>
      <c r="C125" s="65"/>
      <c r="E125" s="65"/>
      <c r="F125" s="65"/>
      <c r="G125" s="65"/>
      <c r="H125" s="65"/>
      <c r="I125" s="65"/>
      <c r="J125" s="65"/>
      <c r="K125" s="65"/>
      <c r="L125" s="65"/>
      <c r="M125" s="65"/>
      <c r="P125" s="65"/>
      <c r="Q125" s="65"/>
      <c r="R125" s="65"/>
      <c r="S125" s="65"/>
      <c r="T125" s="65"/>
      <c r="U125" s="65"/>
      <c r="V125" s="65"/>
      <c r="W125" s="65"/>
      <c r="X125" s="65"/>
      <c r="Y125" s="65"/>
      <c r="Z125" s="65"/>
      <c r="AA125" s="65"/>
      <c r="AB125" s="65"/>
      <c r="AC125" s="65"/>
      <c r="AD125" s="65"/>
      <c r="AE125" s="65"/>
    </row>
    <row r="126" spans="2:31" x14ac:dyDescent="0.2">
      <c r="B126" s="65"/>
      <c r="C126" s="65"/>
      <c r="E126" s="65"/>
      <c r="F126" s="65"/>
      <c r="G126" s="65"/>
      <c r="H126" s="65"/>
      <c r="I126" s="65"/>
      <c r="J126" s="65"/>
      <c r="K126" s="65"/>
      <c r="L126" s="65"/>
      <c r="M126" s="65"/>
      <c r="P126" s="65"/>
      <c r="Q126" s="65"/>
      <c r="R126" s="65"/>
      <c r="S126" s="65"/>
      <c r="T126" s="65"/>
      <c r="U126" s="65"/>
      <c r="V126" s="65"/>
      <c r="W126" s="65"/>
      <c r="X126" s="65"/>
      <c r="Y126" s="65"/>
      <c r="Z126" s="65"/>
      <c r="AA126" s="65"/>
      <c r="AB126" s="65"/>
      <c r="AC126" s="65"/>
      <c r="AD126" s="65"/>
      <c r="AE126" s="65"/>
    </row>
    <row r="127" spans="2:31" x14ac:dyDescent="0.2">
      <c r="B127" s="65"/>
      <c r="C127" s="65"/>
      <c r="E127" s="65"/>
      <c r="F127" s="65"/>
      <c r="G127" s="65"/>
      <c r="H127" s="65"/>
      <c r="I127" s="65"/>
      <c r="J127" s="65"/>
      <c r="K127" s="65"/>
      <c r="L127" s="65"/>
      <c r="M127" s="65"/>
      <c r="P127" s="65"/>
      <c r="Q127" s="65"/>
      <c r="R127" s="65"/>
      <c r="S127" s="65"/>
      <c r="T127" s="65"/>
      <c r="U127" s="65"/>
      <c r="V127" s="65"/>
      <c r="W127" s="65"/>
      <c r="X127" s="65"/>
      <c r="Y127" s="65"/>
      <c r="Z127" s="65"/>
      <c r="AA127" s="65"/>
      <c r="AB127" s="65"/>
      <c r="AC127" s="65"/>
      <c r="AD127" s="65"/>
      <c r="AE127" s="65"/>
    </row>
    <row r="128" spans="2:31" x14ac:dyDescent="0.2">
      <c r="B128" s="65"/>
      <c r="C128" s="65"/>
      <c r="E128" s="65"/>
      <c r="F128" s="65"/>
      <c r="G128" s="65"/>
      <c r="H128" s="65"/>
      <c r="I128" s="65"/>
      <c r="J128" s="65"/>
      <c r="K128" s="65"/>
      <c r="L128" s="65"/>
      <c r="M128" s="65"/>
      <c r="P128" s="65"/>
      <c r="Q128" s="65"/>
      <c r="R128" s="65"/>
      <c r="S128" s="65"/>
      <c r="T128" s="65"/>
      <c r="U128" s="65"/>
      <c r="V128" s="65"/>
      <c r="W128" s="65"/>
      <c r="X128" s="65"/>
      <c r="Y128" s="65"/>
      <c r="Z128" s="65"/>
      <c r="AA128" s="65"/>
      <c r="AB128" s="65"/>
      <c r="AC128" s="65"/>
      <c r="AD128" s="65"/>
      <c r="AE128" s="65"/>
    </row>
    <row r="129" spans="2:31" x14ac:dyDescent="0.2">
      <c r="B129" s="65"/>
      <c r="C129" s="65"/>
      <c r="E129" s="65"/>
      <c r="F129" s="65"/>
      <c r="G129" s="65"/>
      <c r="H129" s="65"/>
      <c r="I129" s="65"/>
      <c r="J129" s="65"/>
      <c r="K129" s="65"/>
      <c r="L129" s="65"/>
      <c r="M129" s="65"/>
      <c r="P129" s="65"/>
      <c r="Q129" s="65"/>
      <c r="R129" s="65"/>
      <c r="S129" s="65"/>
      <c r="T129" s="65"/>
      <c r="U129" s="65"/>
      <c r="V129" s="65"/>
      <c r="W129" s="65"/>
      <c r="X129" s="65"/>
      <c r="Y129" s="65"/>
      <c r="Z129" s="65"/>
      <c r="AA129" s="65"/>
      <c r="AB129" s="65"/>
      <c r="AC129" s="65"/>
      <c r="AD129" s="65"/>
      <c r="AE129" s="65"/>
    </row>
    <row r="130" spans="2:31" x14ac:dyDescent="0.2">
      <c r="B130" s="65"/>
      <c r="C130" s="65"/>
      <c r="E130" s="65"/>
      <c r="F130" s="65"/>
      <c r="G130" s="65"/>
      <c r="H130" s="65"/>
      <c r="I130" s="65"/>
      <c r="J130" s="65"/>
      <c r="K130" s="65"/>
      <c r="L130" s="65"/>
      <c r="M130" s="65"/>
      <c r="P130" s="65"/>
      <c r="Q130" s="65"/>
      <c r="R130" s="65"/>
      <c r="S130" s="65"/>
      <c r="T130" s="65"/>
      <c r="U130" s="65"/>
      <c r="V130" s="65"/>
      <c r="W130" s="65"/>
      <c r="X130" s="65"/>
      <c r="Y130" s="65"/>
      <c r="Z130" s="65"/>
      <c r="AA130" s="65"/>
      <c r="AB130" s="65"/>
      <c r="AC130" s="65"/>
      <c r="AD130" s="65"/>
      <c r="AE130" s="65"/>
    </row>
    <row r="131" spans="2:31" x14ac:dyDescent="0.2">
      <c r="B131" s="65"/>
      <c r="C131" s="65"/>
      <c r="E131" s="65"/>
      <c r="F131" s="65"/>
      <c r="G131" s="65"/>
      <c r="H131" s="65"/>
      <c r="I131" s="65"/>
      <c r="J131" s="65"/>
      <c r="K131" s="65"/>
      <c r="L131" s="65"/>
      <c r="M131" s="65"/>
      <c r="P131" s="65"/>
      <c r="Q131" s="65"/>
      <c r="R131" s="65"/>
      <c r="S131" s="65"/>
      <c r="T131" s="65"/>
      <c r="U131" s="65"/>
      <c r="V131" s="65"/>
      <c r="W131" s="65"/>
      <c r="X131" s="65"/>
      <c r="Y131" s="65"/>
      <c r="Z131" s="65"/>
      <c r="AA131" s="65"/>
      <c r="AB131" s="65"/>
      <c r="AC131" s="65"/>
      <c r="AD131" s="65"/>
      <c r="AE131" s="65"/>
    </row>
    <row r="132" spans="2:31" x14ac:dyDescent="0.2">
      <c r="B132" s="65"/>
      <c r="C132" s="65"/>
      <c r="E132" s="65"/>
      <c r="F132" s="65"/>
      <c r="G132" s="65"/>
      <c r="H132" s="65"/>
      <c r="I132" s="65"/>
      <c r="J132" s="65"/>
      <c r="K132" s="65"/>
      <c r="L132" s="65"/>
      <c r="M132" s="65"/>
      <c r="P132" s="65"/>
      <c r="Q132" s="65"/>
      <c r="R132" s="65"/>
      <c r="S132" s="65"/>
      <c r="T132" s="65"/>
      <c r="U132" s="65"/>
      <c r="V132" s="65"/>
      <c r="W132" s="65"/>
      <c r="X132" s="65"/>
      <c r="Y132" s="65"/>
      <c r="Z132" s="65"/>
      <c r="AA132" s="65"/>
      <c r="AB132" s="65"/>
      <c r="AC132" s="65"/>
      <c r="AD132" s="65"/>
      <c r="AE132" s="65"/>
    </row>
    <row r="133" spans="2:31" x14ac:dyDescent="0.2">
      <c r="B133" s="65"/>
      <c r="C133" s="65"/>
      <c r="E133" s="65"/>
      <c r="F133" s="65"/>
      <c r="G133" s="65"/>
      <c r="H133" s="65"/>
      <c r="I133" s="65"/>
      <c r="J133" s="65"/>
      <c r="K133" s="65"/>
      <c r="L133" s="65"/>
      <c r="M133" s="65"/>
      <c r="P133" s="65"/>
      <c r="Q133" s="65"/>
      <c r="R133" s="65"/>
      <c r="S133" s="65"/>
      <c r="T133" s="65"/>
      <c r="U133" s="65"/>
      <c r="V133" s="65"/>
      <c r="W133" s="65"/>
      <c r="X133" s="65"/>
      <c r="Y133" s="65"/>
      <c r="Z133" s="65"/>
      <c r="AA133" s="65"/>
      <c r="AB133" s="65"/>
      <c r="AC133" s="65"/>
      <c r="AD133" s="65"/>
      <c r="AE133" s="65"/>
    </row>
    <row r="134" spans="2:31" x14ac:dyDescent="0.2">
      <c r="B134" s="65"/>
      <c r="C134" s="65"/>
      <c r="E134" s="65"/>
      <c r="F134" s="65"/>
      <c r="G134" s="65"/>
      <c r="H134" s="65"/>
      <c r="I134" s="65"/>
      <c r="J134" s="65"/>
      <c r="K134" s="65"/>
      <c r="L134" s="65"/>
      <c r="M134" s="65"/>
      <c r="P134" s="65"/>
      <c r="Q134" s="65"/>
      <c r="R134" s="65"/>
      <c r="S134" s="65"/>
      <c r="T134" s="65"/>
      <c r="U134" s="65"/>
      <c r="V134" s="65"/>
      <c r="W134" s="65"/>
      <c r="X134" s="65"/>
      <c r="Y134" s="65"/>
      <c r="Z134" s="65"/>
      <c r="AA134" s="65"/>
      <c r="AB134" s="65"/>
      <c r="AC134" s="65"/>
      <c r="AD134" s="65"/>
      <c r="AE134" s="65"/>
    </row>
    <row r="135" spans="2:31" x14ac:dyDescent="0.2">
      <c r="B135" s="65"/>
      <c r="C135" s="65"/>
      <c r="E135" s="65"/>
      <c r="F135" s="65"/>
      <c r="G135" s="65"/>
      <c r="H135" s="65"/>
      <c r="I135" s="65"/>
      <c r="J135" s="65"/>
      <c r="K135" s="65"/>
      <c r="L135" s="65"/>
      <c r="M135" s="65"/>
      <c r="P135" s="65"/>
      <c r="Q135" s="65"/>
      <c r="R135" s="65"/>
      <c r="S135" s="65"/>
      <c r="T135" s="65"/>
      <c r="U135" s="65"/>
      <c r="V135" s="65"/>
      <c r="W135" s="65"/>
      <c r="X135" s="65"/>
      <c r="Y135" s="65"/>
      <c r="Z135" s="65"/>
      <c r="AA135" s="65"/>
      <c r="AB135" s="65"/>
      <c r="AC135" s="65"/>
      <c r="AD135" s="65"/>
      <c r="AE135" s="65"/>
    </row>
    <row r="136" spans="2:31" x14ac:dyDescent="0.2">
      <c r="B136" s="65"/>
      <c r="C136" s="65"/>
      <c r="E136" s="65"/>
      <c r="F136" s="65"/>
      <c r="G136" s="65"/>
      <c r="H136" s="65"/>
      <c r="I136" s="65"/>
      <c r="J136" s="65"/>
      <c r="K136" s="65"/>
      <c r="L136" s="65"/>
      <c r="M136" s="65"/>
      <c r="P136" s="65"/>
      <c r="Q136" s="65"/>
      <c r="R136" s="65"/>
      <c r="S136" s="65"/>
      <c r="T136" s="65"/>
      <c r="U136" s="65"/>
      <c r="V136" s="65"/>
      <c r="W136" s="65"/>
      <c r="X136" s="65"/>
      <c r="Y136" s="65"/>
      <c r="Z136" s="65"/>
      <c r="AA136" s="65"/>
      <c r="AB136" s="65"/>
      <c r="AC136" s="65"/>
      <c r="AD136" s="65"/>
      <c r="AE136" s="65"/>
    </row>
    <row r="137" spans="2:31" x14ac:dyDescent="0.2">
      <c r="B137" s="65"/>
      <c r="C137" s="65"/>
      <c r="E137" s="65"/>
      <c r="F137" s="65"/>
      <c r="G137" s="65"/>
      <c r="H137" s="65"/>
      <c r="I137" s="65"/>
      <c r="J137" s="65"/>
      <c r="K137" s="65"/>
      <c r="L137" s="65"/>
      <c r="M137" s="65"/>
      <c r="P137" s="65"/>
      <c r="Q137" s="65"/>
      <c r="R137" s="65"/>
      <c r="S137" s="65"/>
      <c r="T137" s="65"/>
      <c r="U137" s="65"/>
      <c r="V137" s="65"/>
      <c r="W137" s="65"/>
      <c r="X137" s="65"/>
      <c r="Y137" s="65"/>
      <c r="Z137" s="65"/>
      <c r="AA137" s="65"/>
      <c r="AB137" s="65"/>
      <c r="AC137" s="65"/>
      <c r="AD137" s="65"/>
      <c r="AE137" s="65"/>
    </row>
    <row r="138" spans="2:31" x14ac:dyDescent="0.2">
      <c r="B138" s="65"/>
      <c r="C138" s="65"/>
      <c r="E138" s="65"/>
      <c r="F138" s="65"/>
      <c r="G138" s="65"/>
      <c r="H138" s="65"/>
      <c r="I138" s="65"/>
      <c r="J138" s="65"/>
      <c r="K138" s="65"/>
      <c r="L138" s="65"/>
      <c r="M138" s="65"/>
      <c r="P138" s="65"/>
      <c r="Q138" s="65"/>
      <c r="R138" s="65"/>
      <c r="S138" s="65"/>
      <c r="T138" s="65"/>
      <c r="U138" s="65"/>
      <c r="V138" s="65"/>
      <c r="W138" s="65"/>
      <c r="X138" s="65"/>
      <c r="Y138" s="65"/>
      <c r="Z138" s="65"/>
      <c r="AA138" s="65"/>
      <c r="AB138" s="65"/>
      <c r="AC138" s="65"/>
      <c r="AD138" s="65"/>
      <c r="AE138" s="65"/>
    </row>
    <row r="139" spans="2:31" x14ac:dyDescent="0.2">
      <c r="B139" s="65"/>
      <c r="C139" s="65"/>
      <c r="E139" s="65"/>
      <c r="F139" s="65"/>
      <c r="G139" s="65"/>
      <c r="H139" s="65"/>
      <c r="I139" s="65"/>
      <c r="J139" s="65"/>
      <c r="K139" s="65"/>
      <c r="L139" s="65"/>
      <c r="M139" s="65"/>
      <c r="P139" s="65"/>
      <c r="Q139" s="65"/>
      <c r="R139" s="65"/>
      <c r="S139" s="65"/>
      <c r="T139" s="65"/>
      <c r="U139" s="65"/>
      <c r="V139" s="65"/>
      <c r="W139" s="65"/>
      <c r="X139" s="65"/>
      <c r="Y139" s="65"/>
      <c r="Z139" s="65"/>
      <c r="AA139" s="65"/>
      <c r="AB139" s="65"/>
      <c r="AC139" s="65"/>
      <c r="AD139" s="65"/>
      <c r="AE139" s="65"/>
    </row>
    <row r="140" spans="2:31" x14ac:dyDescent="0.2">
      <c r="B140" s="65"/>
      <c r="C140" s="65"/>
      <c r="E140" s="65"/>
      <c r="F140" s="65"/>
      <c r="G140" s="65"/>
      <c r="H140" s="65"/>
      <c r="I140" s="65"/>
      <c r="J140" s="65"/>
      <c r="K140" s="65"/>
      <c r="L140" s="65"/>
      <c r="M140" s="65"/>
      <c r="P140" s="65"/>
      <c r="Q140" s="65"/>
      <c r="R140" s="65"/>
      <c r="S140" s="65"/>
      <c r="T140" s="65"/>
      <c r="U140" s="65"/>
      <c r="V140" s="65"/>
      <c r="W140" s="65"/>
      <c r="X140" s="65"/>
      <c r="Y140" s="65"/>
      <c r="Z140" s="65"/>
      <c r="AA140" s="65"/>
      <c r="AB140" s="65"/>
      <c r="AC140" s="65"/>
      <c r="AD140" s="65"/>
      <c r="AE140" s="65"/>
    </row>
    <row r="141" spans="2:31" x14ac:dyDescent="0.2">
      <c r="B141" s="65"/>
      <c r="C141" s="65"/>
      <c r="E141" s="65"/>
      <c r="F141" s="65"/>
      <c r="G141" s="65"/>
      <c r="H141" s="65"/>
      <c r="I141" s="65"/>
      <c r="J141" s="65"/>
      <c r="K141" s="65"/>
      <c r="L141" s="65"/>
      <c r="M141" s="65"/>
      <c r="P141" s="65"/>
      <c r="Q141" s="65"/>
      <c r="R141" s="65"/>
      <c r="S141" s="65"/>
      <c r="T141" s="65"/>
      <c r="U141" s="65"/>
      <c r="V141" s="65"/>
      <c r="W141" s="65"/>
      <c r="X141" s="65"/>
      <c r="Y141" s="65"/>
      <c r="Z141" s="65"/>
      <c r="AA141" s="65"/>
      <c r="AB141" s="65"/>
      <c r="AC141" s="65"/>
      <c r="AD141" s="65"/>
      <c r="AE141" s="65"/>
    </row>
    <row r="142" spans="2:31" x14ac:dyDescent="0.2">
      <c r="B142" s="65"/>
      <c r="C142" s="65"/>
      <c r="E142" s="65"/>
      <c r="F142" s="65"/>
      <c r="G142" s="65"/>
      <c r="H142" s="65"/>
      <c r="I142" s="65"/>
      <c r="J142" s="65"/>
      <c r="K142" s="65"/>
      <c r="L142" s="65"/>
      <c r="M142" s="65"/>
      <c r="P142" s="65"/>
      <c r="Q142" s="65"/>
      <c r="R142" s="65"/>
      <c r="S142" s="65"/>
      <c r="T142" s="65"/>
      <c r="U142" s="65"/>
      <c r="V142" s="65"/>
      <c r="W142" s="65"/>
      <c r="X142" s="65"/>
      <c r="Y142" s="65"/>
      <c r="Z142" s="65"/>
      <c r="AA142" s="65"/>
      <c r="AB142" s="65"/>
      <c r="AC142" s="65"/>
      <c r="AD142" s="65"/>
      <c r="AE142" s="65"/>
    </row>
    <row r="143" spans="2:31" x14ac:dyDescent="0.2">
      <c r="B143" s="65"/>
      <c r="C143" s="65"/>
      <c r="E143" s="65"/>
      <c r="F143" s="65"/>
      <c r="G143" s="65"/>
      <c r="H143" s="65"/>
      <c r="I143" s="65"/>
      <c r="J143" s="65"/>
      <c r="K143" s="65"/>
      <c r="L143" s="65"/>
      <c r="M143" s="65"/>
      <c r="P143" s="65"/>
      <c r="Q143" s="65"/>
      <c r="R143" s="65"/>
      <c r="S143" s="65"/>
      <c r="T143" s="65"/>
      <c r="U143" s="65"/>
      <c r="V143" s="65"/>
      <c r="W143" s="65"/>
      <c r="X143" s="65"/>
      <c r="Y143" s="65"/>
      <c r="Z143" s="65"/>
      <c r="AA143" s="65"/>
      <c r="AB143" s="65"/>
      <c r="AC143" s="65"/>
      <c r="AD143" s="65"/>
      <c r="AE143" s="65"/>
    </row>
    <row r="144" spans="2:31" x14ac:dyDescent="0.2">
      <c r="B144" s="65"/>
      <c r="C144" s="65"/>
      <c r="E144" s="65"/>
      <c r="F144" s="65"/>
      <c r="G144" s="65"/>
      <c r="H144" s="65"/>
      <c r="I144" s="65"/>
      <c r="J144" s="65"/>
      <c r="K144" s="65"/>
      <c r="L144" s="65"/>
      <c r="M144" s="65"/>
      <c r="P144" s="65"/>
      <c r="Q144" s="65"/>
      <c r="R144" s="65"/>
      <c r="S144" s="65"/>
      <c r="T144" s="65"/>
      <c r="U144" s="65"/>
      <c r="V144" s="65"/>
      <c r="W144" s="65"/>
      <c r="X144" s="65"/>
      <c r="Y144" s="65"/>
      <c r="Z144" s="65"/>
      <c r="AA144" s="65"/>
      <c r="AB144" s="65"/>
      <c r="AC144" s="65"/>
      <c r="AD144" s="65"/>
      <c r="AE144" s="65"/>
    </row>
    <row r="145" spans="2:31" x14ac:dyDescent="0.2">
      <c r="B145" s="65"/>
      <c r="C145" s="65"/>
      <c r="E145" s="65"/>
      <c r="F145" s="65"/>
      <c r="G145" s="65"/>
      <c r="H145" s="65"/>
      <c r="I145" s="65"/>
      <c r="J145" s="65"/>
      <c r="K145" s="65"/>
      <c r="L145" s="65"/>
      <c r="M145" s="65"/>
      <c r="P145" s="65"/>
      <c r="Q145" s="65"/>
      <c r="R145" s="65"/>
      <c r="S145" s="65"/>
      <c r="T145" s="65"/>
      <c r="U145" s="65"/>
      <c r="V145" s="65"/>
      <c r="W145" s="65"/>
      <c r="X145" s="65"/>
      <c r="Y145" s="65"/>
      <c r="Z145" s="65"/>
      <c r="AA145" s="65"/>
      <c r="AB145" s="65"/>
      <c r="AC145" s="65"/>
      <c r="AD145" s="65"/>
      <c r="AE145" s="65"/>
    </row>
    <row r="146" spans="2:31" x14ac:dyDescent="0.2">
      <c r="B146" s="65"/>
      <c r="C146" s="65"/>
      <c r="E146" s="65"/>
      <c r="F146" s="65"/>
      <c r="G146" s="65"/>
      <c r="H146" s="65"/>
      <c r="I146" s="65"/>
      <c r="J146" s="65"/>
      <c r="K146" s="65"/>
      <c r="L146" s="65"/>
      <c r="M146" s="65"/>
      <c r="P146" s="65"/>
      <c r="Q146" s="65"/>
      <c r="R146" s="65"/>
      <c r="S146" s="65"/>
      <c r="T146" s="65"/>
      <c r="U146" s="65"/>
      <c r="V146" s="65"/>
      <c r="W146" s="65"/>
      <c r="X146" s="65"/>
      <c r="Y146" s="65"/>
      <c r="Z146" s="65"/>
      <c r="AA146" s="65"/>
      <c r="AB146" s="65"/>
      <c r="AC146" s="65"/>
      <c r="AD146" s="65"/>
      <c r="AE146" s="65"/>
    </row>
    <row r="147" spans="2:31" x14ac:dyDescent="0.2">
      <c r="B147" s="65"/>
      <c r="C147" s="65"/>
      <c r="E147" s="65"/>
      <c r="F147" s="65"/>
      <c r="G147" s="65"/>
      <c r="H147" s="65"/>
      <c r="I147" s="65"/>
      <c r="J147" s="65"/>
      <c r="K147" s="65"/>
      <c r="L147" s="65"/>
      <c r="M147" s="65"/>
      <c r="P147" s="65"/>
      <c r="Q147" s="65"/>
      <c r="R147" s="65"/>
      <c r="S147" s="65"/>
      <c r="T147" s="65"/>
      <c r="U147" s="65"/>
      <c r="V147" s="65"/>
      <c r="W147" s="65"/>
      <c r="X147" s="65"/>
      <c r="Y147" s="65"/>
      <c r="Z147" s="65"/>
      <c r="AA147" s="65"/>
      <c r="AB147" s="65"/>
      <c r="AC147" s="65"/>
      <c r="AD147" s="65"/>
      <c r="AE147" s="65"/>
    </row>
    <row r="148" spans="2:31" x14ac:dyDescent="0.2">
      <c r="B148" s="65"/>
      <c r="C148" s="65"/>
      <c r="E148" s="65"/>
      <c r="F148" s="65"/>
      <c r="G148" s="65"/>
      <c r="H148" s="65"/>
      <c r="I148" s="65"/>
      <c r="J148" s="65"/>
      <c r="K148" s="65"/>
      <c r="L148" s="65"/>
      <c r="M148" s="65"/>
      <c r="P148" s="65"/>
      <c r="Q148" s="65"/>
      <c r="R148" s="65"/>
      <c r="S148" s="65"/>
      <c r="T148" s="65"/>
      <c r="U148" s="65"/>
      <c r="V148" s="65"/>
      <c r="W148" s="65"/>
      <c r="X148" s="65"/>
      <c r="Y148" s="65"/>
      <c r="Z148" s="65"/>
      <c r="AA148" s="65"/>
      <c r="AB148" s="65"/>
      <c r="AC148" s="65"/>
      <c r="AD148" s="65"/>
      <c r="AE148" s="65"/>
    </row>
    <row r="149" spans="2:31" x14ac:dyDescent="0.2">
      <c r="B149" s="65"/>
      <c r="C149" s="65"/>
      <c r="E149" s="65"/>
      <c r="F149" s="65"/>
      <c r="G149" s="65"/>
      <c r="H149" s="65"/>
      <c r="I149" s="65"/>
      <c r="J149" s="65"/>
      <c r="K149" s="65"/>
      <c r="L149" s="65"/>
      <c r="M149" s="65"/>
      <c r="P149" s="65"/>
      <c r="Q149" s="65"/>
      <c r="R149" s="65"/>
      <c r="S149" s="65"/>
      <c r="T149" s="65"/>
      <c r="U149" s="65"/>
      <c r="V149" s="65"/>
      <c r="W149" s="65"/>
      <c r="X149" s="65"/>
      <c r="Y149" s="65"/>
      <c r="Z149" s="65"/>
      <c r="AA149" s="65"/>
      <c r="AB149" s="65"/>
      <c r="AC149" s="65"/>
      <c r="AD149" s="65"/>
      <c r="AE149" s="65"/>
    </row>
    <row r="150" spans="2:31" x14ac:dyDescent="0.2">
      <c r="B150" s="65"/>
      <c r="C150" s="65"/>
      <c r="E150" s="65"/>
      <c r="F150" s="65"/>
      <c r="G150" s="65"/>
      <c r="H150" s="65"/>
      <c r="I150" s="65"/>
      <c r="J150" s="65"/>
      <c r="K150" s="65"/>
      <c r="L150" s="65"/>
      <c r="M150" s="65"/>
      <c r="P150" s="65"/>
      <c r="Q150" s="65"/>
      <c r="R150" s="65"/>
      <c r="S150" s="65"/>
      <c r="T150" s="65"/>
      <c r="U150" s="65"/>
      <c r="V150" s="65"/>
      <c r="W150" s="65"/>
      <c r="X150" s="65"/>
      <c r="Y150" s="65"/>
      <c r="Z150" s="65"/>
      <c r="AA150" s="65"/>
      <c r="AB150" s="65"/>
      <c r="AC150" s="65"/>
      <c r="AD150" s="65"/>
      <c r="AE150" s="65"/>
    </row>
    <row r="151" spans="2:31" x14ac:dyDescent="0.2">
      <c r="B151" s="65"/>
      <c r="C151" s="65"/>
      <c r="E151" s="65"/>
      <c r="F151" s="65"/>
      <c r="G151" s="65"/>
      <c r="H151" s="65"/>
      <c r="I151" s="65"/>
      <c r="J151" s="65"/>
      <c r="K151" s="65"/>
      <c r="L151" s="65"/>
      <c r="M151" s="65"/>
      <c r="P151" s="65"/>
      <c r="Q151" s="65"/>
      <c r="R151" s="65"/>
      <c r="S151" s="65"/>
      <c r="T151" s="65"/>
      <c r="U151" s="65"/>
      <c r="V151" s="65"/>
      <c r="W151" s="65"/>
      <c r="X151" s="65"/>
      <c r="Y151" s="65"/>
      <c r="Z151" s="65"/>
      <c r="AA151" s="65"/>
      <c r="AB151" s="65"/>
      <c r="AC151" s="65"/>
      <c r="AD151" s="65"/>
      <c r="AE151" s="65"/>
    </row>
    <row r="152" spans="2:31" x14ac:dyDescent="0.2">
      <c r="B152" s="65"/>
      <c r="C152" s="65"/>
      <c r="E152" s="65"/>
      <c r="F152" s="65"/>
      <c r="G152" s="65"/>
      <c r="H152" s="65"/>
      <c r="I152" s="65"/>
      <c r="J152" s="65"/>
      <c r="K152" s="65"/>
      <c r="L152" s="65"/>
      <c r="M152" s="65"/>
      <c r="P152" s="65"/>
      <c r="Q152" s="65"/>
      <c r="R152" s="65"/>
      <c r="S152" s="65"/>
      <c r="T152" s="65"/>
      <c r="U152" s="65"/>
      <c r="V152" s="65"/>
      <c r="W152" s="65"/>
      <c r="X152" s="65"/>
      <c r="Y152" s="65"/>
      <c r="Z152" s="65"/>
      <c r="AA152" s="65"/>
      <c r="AB152" s="65"/>
      <c r="AC152" s="65"/>
      <c r="AD152" s="65"/>
      <c r="AE152" s="65"/>
    </row>
    <row r="153" spans="2:31" x14ac:dyDescent="0.2">
      <c r="B153" s="65"/>
      <c r="C153" s="65"/>
      <c r="E153" s="65"/>
      <c r="F153" s="65"/>
      <c r="G153" s="65"/>
      <c r="H153" s="65"/>
      <c r="I153" s="65"/>
      <c r="J153" s="65"/>
      <c r="K153" s="65"/>
      <c r="L153" s="65"/>
      <c r="M153" s="65"/>
      <c r="P153" s="65"/>
      <c r="Q153" s="65"/>
      <c r="R153" s="65"/>
      <c r="S153" s="65"/>
      <c r="T153" s="65"/>
      <c r="U153" s="65"/>
      <c r="V153" s="65"/>
      <c r="W153" s="65"/>
      <c r="X153" s="65"/>
      <c r="Y153" s="65"/>
      <c r="Z153" s="65"/>
      <c r="AA153" s="65"/>
      <c r="AB153" s="65"/>
      <c r="AC153" s="65"/>
      <c r="AD153" s="65"/>
      <c r="AE153" s="65"/>
    </row>
    <row r="154" spans="2:31" x14ac:dyDescent="0.2">
      <c r="B154" s="65"/>
      <c r="C154" s="65"/>
      <c r="E154" s="65"/>
      <c r="F154" s="65"/>
      <c r="G154" s="65"/>
      <c r="H154" s="65"/>
      <c r="I154" s="65"/>
      <c r="J154" s="65"/>
      <c r="K154" s="65"/>
      <c r="L154" s="65"/>
      <c r="M154" s="65"/>
      <c r="P154" s="65"/>
      <c r="Q154" s="65"/>
      <c r="R154" s="65"/>
      <c r="S154" s="65"/>
      <c r="T154" s="65"/>
      <c r="U154" s="65"/>
      <c r="V154" s="65"/>
      <c r="W154" s="65"/>
      <c r="X154" s="65"/>
      <c r="Y154" s="65"/>
      <c r="Z154" s="65"/>
      <c r="AA154" s="65"/>
      <c r="AB154" s="65"/>
      <c r="AC154" s="65"/>
      <c r="AD154" s="65"/>
      <c r="AE154" s="65"/>
    </row>
    <row r="155" spans="2:31" x14ac:dyDescent="0.2">
      <c r="B155" s="65"/>
      <c r="C155" s="65"/>
      <c r="E155" s="65"/>
      <c r="F155" s="65"/>
      <c r="G155" s="65"/>
      <c r="H155" s="65"/>
      <c r="I155" s="65"/>
      <c r="J155" s="65"/>
      <c r="K155" s="65"/>
      <c r="L155" s="65"/>
      <c r="M155" s="65"/>
      <c r="P155" s="65"/>
      <c r="Q155" s="65"/>
      <c r="R155" s="65"/>
      <c r="S155" s="65"/>
      <c r="T155" s="65"/>
      <c r="U155" s="65"/>
      <c r="V155" s="65"/>
      <c r="W155" s="65"/>
      <c r="X155" s="65"/>
      <c r="Y155" s="65"/>
      <c r="Z155" s="65"/>
      <c r="AA155" s="65"/>
      <c r="AB155" s="65"/>
      <c r="AC155" s="65"/>
      <c r="AD155" s="65"/>
      <c r="AE155" s="65"/>
    </row>
    <row r="156" spans="2:31" x14ac:dyDescent="0.2">
      <c r="B156" s="65"/>
      <c r="C156" s="65"/>
      <c r="E156" s="65"/>
      <c r="F156" s="65"/>
      <c r="G156" s="65"/>
      <c r="H156" s="65"/>
      <c r="I156" s="65"/>
      <c r="J156" s="65"/>
      <c r="K156" s="65"/>
      <c r="L156" s="65"/>
      <c r="M156" s="65"/>
      <c r="P156" s="65"/>
      <c r="Q156" s="65"/>
      <c r="R156" s="65"/>
      <c r="S156" s="65"/>
      <c r="T156" s="65"/>
      <c r="U156" s="65"/>
      <c r="V156" s="65"/>
      <c r="W156" s="65"/>
      <c r="X156" s="65"/>
      <c r="Y156" s="65"/>
      <c r="Z156" s="65"/>
      <c r="AA156" s="65"/>
      <c r="AB156" s="65"/>
      <c r="AC156" s="65"/>
      <c r="AD156" s="65"/>
      <c r="AE156" s="65"/>
    </row>
    <row r="157" spans="2:31" x14ac:dyDescent="0.2">
      <c r="B157" s="65"/>
      <c r="C157" s="65"/>
      <c r="E157" s="65"/>
      <c r="F157" s="65"/>
      <c r="G157" s="65"/>
      <c r="H157" s="65"/>
      <c r="I157" s="65"/>
      <c r="J157" s="65"/>
      <c r="K157" s="65"/>
      <c r="L157" s="65"/>
      <c r="M157" s="65"/>
      <c r="P157" s="65"/>
      <c r="Q157" s="65"/>
      <c r="R157" s="65"/>
      <c r="S157" s="65"/>
      <c r="T157" s="65"/>
      <c r="U157" s="65"/>
      <c r="V157" s="65"/>
      <c r="W157" s="65"/>
      <c r="X157" s="65"/>
      <c r="Y157" s="65"/>
      <c r="Z157" s="65"/>
      <c r="AA157" s="65"/>
      <c r="AB157" s="65"/>
      <c r="AC157" s="65"/>
      <c r="AD157" s="65"/>
      <c r="AE157" s="65"/>
    </row>
    <row r="158" spans="2:31" x14ac:dyDescent="0.2">
      <c r="B158" s="65"/>
      <c r="C158" s="65"/>
      <c r="E158" s="65"/>
      <c r="F158" s="65"/>
      <c r="G158" s="65"/>
      <c r="H158" s="65"/>
      <c r="I158" s="65"/>
      <c r="J158" s="65"/>
      <c r="K158" s="65"/>
      <c r="L158" s="65"/>
      <c r="M158" s="65"/>
      <c r="P158" s="65"/>
      <c r="Q158" s="65"/>
      <c r="R158" s="65"/>
      <c r="S158" s="65"/>
      <c r="T158" s="65"/>
      <c r="U158" s="65"/>
      <c r="V158" s="65"/>
      <c r="W158" s="65"/>
      <c r="X158" s="65"/>
      <c r="Y158" s="65"/>
      <c r="Z158" s="65"/>
      <c r="AA158" s="65"/>
      <c r="AB158" s="65"/>
      <c r="AC158" s="65"/>
      <c r="AD158" s="65"/>
      <c r="AE158" s="65"/>
    </row>
    <row r="159" spans="2:31" x14ac:dyDescent="0.2">
      <c r="B159" s="65"/>
      <c r="C159" s="65"/>
      <c r="E159" s="65"/>
      <c r="F159" s="65"/>
      <c r="G159" s="65"/>
      <c r="H159" s="65"/>
      <c r="I159" s="65"/>
      <c r="J159" s="65"/>
      <c r="K159" s="65"/>
      <c r="L159" s="65"/>
      <c r="M159" s="65"/>
      <c r="P159" s="65"/>
      <c r="Q159" s="65"/>
      <c r="R159" s="65"/>
      <c r="S159" s="65"/>
      <c r="T159" s="65"/>
      <c r="U159" s="65"/>
      <c r="V159" s="65"/>
      <c r="W159" s="65"/>
      <c r="X159" s="65"/>
      <c r="Y159" s="65"/>
      <c r="Z159" s="65"/>
      <c r="AA159" s="65"/>
      <c r="AB159" s="65"/>
      <c r="AC159" s="65"/>
      <c r="AD159" s="65"/>
      <c r="AE159" s="65"/>
    </row>
    <row r="160" spans="2:31" x14ac:dyDescent="0.2">
      <c r="B160" s="65"/>
      <c r="C160" s="65"/>
      <c r="E160" s="65"/>
      <c r="F160" s="65"/>
      <c r="G160" s="65"/>
      <c r="H160" s="65"/>
      <c r="I160" s="65"/>
      <c r="J160" s="65"/>
      <c r="K160" s="65"/>
      <c r="L160" s="65"/>
      <c r="M160" s="65"/>
      <c r="P160" s="65"/>
      <c r="Q160" s="65"/>
      <c r="R160" s="65"/>
      <c r="S160" s="65"/>
      <c r="T160" s="65"/>
      <c r="U160" s="65"/>
      <c r="V160" s="65"/>
      <c r="W160" s="65"/>
      <c r="X160" s="65"/>
      <c r="Y160" s="65"/>
      <c r="Z160" s="65"/>
      <c r="AA160" s="65"/>
      <c r="AB160" s="65"/>
      <c r="AC160" s="65"/>
      <c r="AD160" s="65"/>
      <c r="AE160" s="65"/>
    </row>
    <row r="161" spans="2:31" x14ac:dyDescent="0.2">
      <c r="B161" s="65"/>
      <c r="C161" s="65"/>
      <c r="E161" s="65"/>
      <c r="F161" s="65"/>
      <c r="G161" s="65"/>
      <c r="H161" s="65"/>
      <c r="I161" s="65"/>
      <c r="J161" s="65"/>
      <c r="K161" s="65"/>
      <c r="L161" s="65"/>
      <c r="M161" s="65"/>
      <c r="P161" s="65"/>
      <c r="Q161" s="65"/>
      <c r="R161" s="65"/>
      <c r="S161" s="65"/>
      <c r="T161" s="65"/>
      <c r="U161" s="65"/>
      <c r="V161" s="65"/>
      <c r="W161" s="65"/>
      <c r="X161" s="65"/>
      <c r="Y161" s="65"/>
      <c r="Z161" s="65"/>
      <c r="AA161" s="65"/>
      <c r="AB161" s="65"/>
      <c r="AC161" s="65"/>
      <c r="AD161" s="65"/>
      <c r="AE161" s="65"/>
    </row>
    <row r="162" spans="2:31" x14ac:dyDescent="0.2">
      <c r="B162" s="65"/>
      <c r="C162" s="65"/>
      <c r="E162" s="65"/>
      <c r="F162" s="65"/>
      <c r="G162" s="65"/>
      <c r="H162" s="65"/>
      <c r="I162" s="65"/>
      <c r="J162" s="65"/>
      <c r="K162" s="65"/>
      <c r="L162" s="65"/>
      <c r="M162" s="65"/>
      <c r="P162" s="65"/>
      <c r="Q162" s="65"/>
      <c r="R162" s="65"/>
      <c r="S162" s="65"/>
      <c r="T162" s="65"/>
      <c r="U162" s="65"/>
      <c r="V162" s="65"/>
      <c r="W162" s="65"/>
      <c r="X162" s="65"/>
      <c r="Y162" s="65"/>
      <c r="Z162" s="65"/>
      <c r="AA162" s="65"/>
      <c r="AB162" s="65"/>
      <c r="AC162" s="65"/>
      <c r="AD162" s="65"/>
      <c r="AE162" s="65"/>
    </row>
    <row r="163" spans="2:31" x14ac:dyDescent="0.2">
      <c r="B163" s="65"/>
      <c r="C163" s="65"/>
      <c r="E163" s="65"/>
      <c r="F163" s="65"/>
      <c r="G163" s="65"/>
      <c r="H163" s="65"/>
      <c r="I163" s="65"/>
      <c r="J163" s="65"/>
      <c r="K163" s="65"/>
      <c r="L163" s="65"/>
      <c r="M163" s="65"/>
      <c r="P163" s="65"/>
      <c r="Q163" s="65"/>
      <c r="R163" s="65"/>
      <c r="S163" s="65"/>
      <c r="T163" s="65"/>
      <c r="U163" s="65"/>
      <c r="V163" s="65"/>
      <c r="W163" s="65"/>
      <c r="X163" s="65"/>
      <c r="Y163" s="65"/>
      <c r="Z163" s="65"/>
      <c r="AA163" s="65"/>
      <c r="AB163" s="65"/>
      <c r="AC163" s="65"/>
      <c r="AD163" s="65"/>
      <c r="AE163" s="65"/>
    </row>
    <row r="164" spans="2:31" x14ac:dyDescent="0.2">
      <c r="B164" s="65"/>
      <c r="C164" s="65"/>
      <c r="E164" s="65"/>
      <c r="F164" s="65"/>
      <c r="G164" s="65"/>
      <c r="H164" s="65"/>
      <c r="I164" s="65"/>
      <c r="J164" s="65"/>
      <c r="K164" s="65"/>
      <c r="L164" s="65"/>
      <c r="M164" s="65"/>
      <c r="P164" s="65"/>
      <c r="Q164" s="65"/>
      <c r="R164" s="65"/>
      <c r="S164" s="65"/>
      <c r="T164" s="65"/>
      <c r="U164" s="65"/>
      <c r="V164" s="65"/>
      <c r="W164" s="65"/>
      <c r="X164" s="65"/>
      <c r="Y164" s="65"/>
      <c r="Z164" s="65"/>
      <c r="AA164" s="65"/>
      <c r="AB164" s="65"/>
      <c r="AC164" s="65"/>
      <c r="AD164" s="65"/>
      <c r="AE164" s="65"/>
    </row>
    <row r="165" spans="2:31" x14ac:dyDescent="0.2">
      <c r="B165" s="65"/>
      <c r="C165" s="65"/>
      <c r="E165" s="65"/>
      <c r="F165" s="65"/>
      <c r="G165" s="65"/>
      <c r="H165" s="65"/>
      <c r="I165" s="65"/>
      <c r="J165" s="65"/>
      <c r="K165" s="65"/>
      <c r="L165" s="65"/>
      <c r="M165" s="65"/>
      <c r="P165" s="65"/>
      <c r="Q165" s="65"/>
      <c r="R165" s="65"/>
      <c r="S165" s="65"/>
      <c r="T165" s="65"/>
      <c r="U165" s="65"/>
      <c r="V165" s="65"/>
      <c r="W165" s="65"/>
      <c r="X165" s="65"/>
      <c r="Y165" s="65"/>
      <c r="Z165" s="65"/>
      <c r="AA165" s="65"/>
      <c r="AB165" s="65"/>
      <c r="AC165" s="65"/>
      <c r="AD165" s="65"/>
      <c r="AE165" s="65"/>
    </row>
    <row r="166" spans="2:31" x14ac:dyDescent="0.2">
      <c r="B166" s="65"/>
      <c r="C166" s="65"/>
      <c r="E166" s="65"/>
      <c r="F166" s="65"/>
      <c r="G166" s="65"/>
      <c r="H166" s="65"/>
      <c r="I166" s="65"/>
      <c r="J166" s="65"/>
      <c r="K166" s="65"/>
      <c r="L166" s="65"/>
      <c r="M166" s="65"/>
      <c r="P166" s="65"/>
      <c r="Q166" s="65"/>
      <c r="R166" s="65"/>
      <c r="S166" s="65"/>
      <c r="T166" s="65"/>
      <c r="U166" s="65"/>
      <c r="V166" s="65"/>
      <c r="W166" s="65"/>
      <c r="X166" s="65"/>
      <c r="Y166" s="65"/>
      <c r="Z166" s="65"/>
      <c r="AA166" s="65"/>
      <c r="AB166" s="65"/>
      <c r="AC166" s="65"/>
      <c r="AD166" s="65"/>
      <c r="AE166" s="65"/>
    </row>
    <row r="167" spans="2:31" x14ac:dyDescent="0.2">
      <c r="B167" s="65"/>
      <c r="C167" s="65"/>
      <c r="E167" s="65"/>
      <c r="F167" s="65"/>
      <c r="G167" s="65"/>
      <c r="H167" s="65"/>
      <c r="I167" s="65"/>
      <c r="J167" s="65"/>
      <c r="K167" s="65"/>
      <c r="L167" s="65"/>
      <c r="M167" s="65"/>
      <c r="P167" s="65"/>
      <c r="Q167" s="65"/>
      <c r="R167" s="65"/>
      <c r="S167" s="65"/>
      <c r="T167" s="65"/>
      <c r="U167" s="65"/>
      <c r="V167" s="65"/>
      <c r="W167" s="65"/>
      <c r="X167" s="65"/>
      <c r="Y167" s="65"/>
      <c r="Z167" s="65"/>
      <c r="AA167" s="65"/>
      <c r="AB167" s="65"/>
      <c r="AC167" s="65"/>
      <c r="AD167" s="65"/>
      <c r="AE167" s="65"/>
    </row>
    <row r="168" spans="2:31" x14ac:dyDescent="0.2">
      <c r="B168" s="65"/>
      <c r="C168" s="65"/>
      <c r="E168" s="65"/>
      <c r="F168" s="65"/>
      <c r="G168" s="65"/>
      <c r="H168" s="65"/>
      <c r="I168" s="65"/>
      <c r="J168" s="65"/>
      <c r="K168" s="65"/>
      <c r="L168" s="65"/>
      <c r="M168" s="65"/>
      <c r="P168" s="65"/>
      <c r="Q168" s="65"/>
      <c r="R168" s="65"/>
      <c r="S168" s="65"/>
      <c r="T168" s="65"/>
      <c r="U168" s="65"/>
      <c r="V168" s="65"/>
      <c r="W168" s="65"/>
      <c r="X168" s="65"/>
      <c r="Y168" s="65"/>
      <c r="Z168" s="65"/>
      <c r="AA168" s="65"/>
      <c r="AB168" s="65"/>
      <c r="AC168" s="65"/>
      <c r="AD168" s="65"/>
      <c r="AE168" s="65"/>
    </row>
    <row r="169" spans="2:31" x14ac:dyDescent="0.2">
      <c r="B169" s="65"/>
      <c r="C169" s="65"/>
      <c r="E169" s="65"/>
      <c r="F169" s="65"/>
      <c r="G169" s="65"/>
      <c r="H169" s="65"/>
      <c r="I169" s="65"/>
      <c r="J169" s="65"/>
      <c r="K169" s="65"/>
      <c r="L169" s="65"/>
      <c r="M169" s="65"/>
      <c r="P169" s="65"/>
      <c r="Q169" s="65"/>
      <c r="R169" s="65"/>
      <c r="S169" s="65"/>
      <c r="T169" s="65"/>
      <c r="U169" s="65"/>
      <c r="V169" s="65"/>
      <c r="W169" s="65"/>
      <c r="X169" s="65"/>
      <c r="Y169" s="65"/>
      <c r="Z169" s="65"/>
      <c r="AA169" s="65"/>
      <c r="AB169" s="65"/>
      <c r="AC169" s="65"/>
      <c r="AD169" s="65"/>
      <c r="AE169" s="65"/>
    </row>
    <row r="170" spans="2:31" x14ac:dyDescent="0.2">
      <c r="B170" s="65"/>
      <c r="C170" s="65"/>
      <c r="E170" s="65"/>
      <c r="F170" s="65"/>
      <c r="G170" s="65"/>
      <c r="H170" s="65"/>
      <c r="I170" s="65"/>
      <c r="J170" s="65"/>
      <c r="K170" s="65"/>
      <c r="L170" s="65"/>
      <c r="M170" s="65"/>
      <c r="P170" s="65"/>
      <c r="Q170" s="65"/>
      <c r="R170" s="65"/>
      <c r="S170" s="65"/>
      <c r="T170" s="65"/>
      <c r="U170" s="65"/>
      <c r="V170" s="65"/>
      <c r="W170" s="65"/>
      <c r="X170" s="65"/>
      <c r="Y170" s="65"/>
      <c r="Z170" s="65"/>
      <c r="AA170" s="65"/>
      <c r="AB170" s="65"/>
      <c r="AC170" s="65"/>
      <c r="AD170" s="65"/>
      <c r="AE170" s="65"/>
    </row>
    <row r="171" spans="2:31" x14ac:dyDescent="0.2">
      <c r="B171" s="65"/>
      <c r="C171" s="65"/>
      <c r="E171" s="65"/>
      <c r="F171" s="65"/>
      <c r="G171" s="65"/>
      <c r="H171" s="65"/>
      <c r="I171" s="65"/>
      <c r="J171" s="65"/>
      <c r="K171" s="65"/>
      <c r="L171" s="65"/>
      <c r="M171" s="65"/>
      <c r="P171" s="65"/>
      <c r="Q171" s="65"/>
      <c r="R171" s="65"/>
      <c r="S171" s="65"/>
      <c r="T171" s="65"/>
      <c r="U171" s="65"/>
      <c r="V171" s="65"/>
      <c r="W171" s="65"/>
      <c r="X171" s="65"/>
      <c r="Y171" s="65"/>
      <c r="Z171" s="65"/>
      <c r="AA171" s="65"/>
      <c r="AB171" s="65"/>
      <c r="AC171" s="65"/>
      <c r="AD171" s="65"/>
      <c r="AE171" s="65"/>
    </row>
    <row r="172" spans="2:31" x14ac:dyDescent="0.2">
      <c r="B172" s="65"/>
      <c r="C172" s="65"/>
      <c r="E172" s="65"/>
      <c r="F172" s="65"/>
      <c r="G172" s="65"/>
      <c r="H172" s="65"/>
      <c r="I172" s="65"/>
      <c r="J172" s="65"/>
      <c r="K172" s="65"/>
      <c r="L172" s="65"/>
      <c r="M172" s="65"/>
      <c r="P172" s="65"/>
      <c r="Q172" s="65"/>
      <c r="R172" s="65"/>
      <c r="S172" s="65"/>
      <c r="T172" s="65"/>
      <c r="U172" s="65"/>
      <c r="V172" s="65"/>
      <c r="W172" s="65"/>
      <c r="X172" s="65"/>
      <c r="Y172" s="65"/>
      <c r="Z172" s="65"/>
      <c r="AA172" s="65"/>
      <c r="AB172" s="65"/>
      <c r="AC172" s="65"/>
      <c r="AD172" s="65"/>
      <c r="AE172" s="65"/>
    </row>
    <row r="173" spans="2:31" x14ac:dyDescent="0.2">
      <c r="B173" s="65"/>
      <c r="C173" s="65"/>
      <c r="E173" s="65"/>
      <c r="F173" s="65"/>
      <c r="G173" s="65"/>
      <c r="H173" s="65"/>
      <c r="I173" s="65"/>
      <c r="J173" s="65"/>
      <c r="K173" s="65"/>
      <c r="L173" s="65"/>
      <c r="M173" s="65"/>
      <c r="P173" s="65"/>
      <c r="Q173" s="65"/>
      <c r="R173" s="65"/>
      <c r="S173" s="65"/>
      <c r="T173" s="65"/>
      <c r="U173" s="65"/>
      <c r="V173" s="65"/>
      <c r="W173" s="65"/>
      <c r="X173" s="65"/>
      <c r="Y173" s="65"/>
      <c r="Z173" s="65"/>
      <c r="AA173" s="65"/>
      <c r="AB173" s="65"/>
      <c r="AC173" s="65"/>
      <c r="AD173" s="65"/>
      <c r="AE173" s="65"/>
    </row>
    <row r="174" spans="2:31" x14ac:dyDescent="0.2">
      <c r="B174" s="65"/>
      <c r="C174" s="65"/>
      <c r="E174" s="65"/>
      <c r="F174" s="65"/>
      <c r="G174" s="65"/>
      <c r="H174" s="65"/>
      <c r="I174" s="65"/>
      <c r="J174" s="65"/>
      <c r="K174" s="65"/>
      <c r="L174" s="65"/>
      <c r="M174" s="65"/>
      <c r="P174" s="65"/>
      <c r="Q174" s="65"/>
      <c r="R174" s="65"/>
      <c r="S174" s="65"/>
      <c r="T174" s="65"/>
      <c r="U174" s="65"/>
      <c r="V174" s="65"/>
      <c r="W174" s="65"/>
      <c r="X174" s="65"/>
      <c r="Y174" s="65"/>
      <c r="Z174" s="65"/>
      <c r="AA174" s="65"/>
      <c r="AB174" s="65"/>
      <c r="AC174" s="65"/>
      <c r="AD174" s="65"/>
      <c r="AE174" s="65"/>
    </row>
    <row r="175" spans="2:31" x14ac:dyDescent="0.2">
      <c r="B175" s="65"/>
      <c r="C175" s="65"/>
      <c r="E175" s="65"/>
      <c r="F175" s="65"/>
      <c r="G175" s="65"/>
      <c r="H175" s="65"/>
      <c r="I175" s="65"/>
      <c r="J175" s="65"/>
      <c r="K175" s="65"/>
      <c r="L175" s="65"/>
      <c r="M175" s="65"/>
      <c r="P175" s="65"/>
      <c r="Q175" s="65"/>
      <c r="R175" s="65"/>
      <c r="S175" s="65"/>
      <c r="T175" s="65"/>
      <c r="U175" s="65"/>
      <c r="V175" s="65"/>
      <c r="W175" s="65"/>
      <c r="X175" s="65"/>
      <c r="Y175" s="65"/>
      <c r="Z175" s="65"/>
      <c r="AA175" s="65"/>
      <c r="AB175" s="65"/>
      <c r="AC175" s="65"/>
      <c r="AD175" s="65"/>
      <c r="AE175" s="65"/>
    </row>
    <row r="176" spans="2:31" x14ac:dyDescent="0.2">
      <c r="B176" s="65"/>
      <c r="C176" s="65"/>
      <c r="E176" s="65"/>
      <c r="F176" s="65"/>
      <c r="G176" s="65"/>
      <c r="H176" s="65"/>
      <c r="I176" s="65"/>
      <c r="J176" s="65"/>
      <c r="K176" s="65"/>
      <c r="L176" s="65"/>
      <c r="M176" s="65"/>
      <c r="P176" s="65"/>
      <c r="Q176" s="65"/>
      <c r="R176" s="65"/>
      <c r="S176" s="65"/>
      <c r="T176" s="65"/>
      <c r="U176" s="65"/>
      <c r="V176" s="65"/>
      <c r="W176" s="65"/>
      <c r="X176" s="65"/>
      <c r="Y176" s="65"/>
      <c r="Z176" s="65"/>
      <c r="AA176" s="65"/>
      <c r="AB176" s="65"/>
      <c r="AC176" s="65"/>
      <c r="AD176" s="65"/>
      <c r="AE176" s="65"/>
    </row>
    <row r="177" spans="2:31" x14ac:dyDescent="0.2">
      <c r="B177" s="65"/>
      <c r="C177" s="65"/>
      <c r="E177" s="65"/>
      <c r="F177" s="65"/>
      <c r="G177" s="65"/>
      <c r="H177" s="65"/>
      <c r="I177" s="65"/>
      <c r="J177" s="65"/>
      <c r="K177" s="65"/>
      <c r="L177" s="65"/>
      <c r="M177" s="65"/>
      <c r="P177" s="65"/>
      <c r="Q177" s="65"/>
      <c r="R177" s="65"/>
      <c r="S177" s="65"/>
      <c r="T177" s="65"/>
      <c r="U177" s="65"/>
      <c r="V177" s="65"/>
      <c r="W177" s="65"/>
      <c r="X177" s="65"/>
      <c r="Y177" s="65"/>
      <c r="Z177" s="65"/>
      <c r="AA177" s="65"/>
      <c r="AB177" s="65"/>
      <c r="AC177" s="65"/>
      <c r="AD177" s="65"/>
      <c r="AE177" s="65"/>
    </row>
    <row r="178" spans="2:31" x14ac:dyDescent="0.2">
      <c r="B178" s="65"/>
      <c r="C178" s="65"/>
      <c r="E178" s="65"/>
      <c r="F178" s="65"/>
      <c r="G178" s="65"/>
      <c r="H178" s="65"/>
      <c r="I178" s="65"/>
      <c r="J178" s="65"/>
      <c r="K178" s="65"/>
      <c r="L178" s="65"/>
      <c r="M178" s="65"/>
      <c r="P178" s="65"/>
      <c r="Q178" s="65"/>
      <c r="R178" s="65"/>
      <c r="S178" s="65"/>
      <c r="T178" s="65"/>
      <c r="U178" s="65"/>
      <c r="V178" s="65"/>
      <c r="W178" s="65"/>
      <c r="X178" s="65"/>
      <c r="Y178" s="65"/>
      <c r="Z178" s="65"/>
      <c r="AA178" s="65"/>
      <c r="AB178" s="65"/>
      <c r="AC178" s="65"/>
      <c r="AD178" s="65"/>
      <c r="AE178" s="65"/>
    </row>
    <row r="179" spans="2:31" x14ac:dyDescent="0.2">
      <c r="B179" s="65"/>
      <c r="C179" s="65"/>
      <c r="E179" s="65"/>
      <c r="F179" s="65"/>
      <c r="G179" s="65"/>
      <c r="H179" s="65"/>
      <c r="I179" s="65"/>
      <c r="J179" s="65"/>
      <c r="K179" s="65"/>
      <c r="L179" s="65"/>
      <c r="M179" s="65"/>
      <c r="P179" s="65"/>
      <c r="Q179" s="65"/>
      <c r="R179" s="65"/>
      <c r="S179" s="65"/>
      <c r="T179" s="65"/>
      <c r="U179" s="65"/>
      <c r="V179" s="65"/>
      <c r="W179" s="65"/>
      <c r="X179" s="65"/>
      <c r="Y179" s="65"/>
      <c r="Z179" s="65"/>
      <c r="AA179" s="65"/>
      <c r="AB179" s="65"/>
      <c r="AC179" s="65"/>
      <c r="AD179" s="65"/>
      <c r="AE179" s="65"/>
    </row>
    <row r="180" spans="2:31" x14ac:dyDescent="0.2">
      <c r="B180" s="65"/>
      <c r="C180" s="65"/>
      <c r="E180" s="65"/>
      <c r="F180" s="65"/>
      <c r="G180" s="65"/>
      <c r="H180" s="65"/>
      <c r="I180" s="65"/>
      <c r="J180" s="65"/>
      <c r="K180" s="65"/>
      <c r="L180" s="65"/>
      <c r="M180" s="65"/>
      <c r="P180" s="65"/>
      <c r="Q180" s="65"/>
      <c r="R180" s="65"/>
      <c r="S180" s="65"/>
      <c r="T180" s="65"/>
      <c r="U180" s="65"/>
      <c r="V180" s="65"/>
      <c r="W180" s="65"/>
      <c r="X180" s="65"/>
      <c r="Y180" s="65"/>
      <c r="Z180" s="65"/>
      <c r="AA180" s="65"/>
      <c r="AB180" s="65"/>
      <c r="AC180" s="65"/>
      <c r="AD180" s="65"/>
      <c r="AE180" s="65"/>
    </row>
    <row r="181" spans="2:31" x14ac:dyDescent="0.2">
      <c r="B181" s="65"/>
      <c r="C181" s="65"/>
      <c r="E181" s="65"/>
      <c r="F181" s="65"/>
      <c r="G181" s="65"/>
      <c r="H181" s="65"/>
      <c r="I181" s="65"/>
      <c r="J181" s="65"/>
      <c r="K181" s="65"/>
      <c r="L181" s="65"/>
      <c r="M181" s="65"/>
      <c r="P181" s="65"/>
      <c r="Q181" s="65"/>
      <c r="R181" s="65"/>
      <c r="S181" s="65"/>
      <c r="T181" s="65"/>
      <c r="U181" s="65"/>
      <c r="V181" s="65"/>
      <c r="W181" s="65"/>
      <c r="X181" s="65"/>
      <c r="Y181" s="65"/>
      <c r="Z181" s="65"/>
      <c r="AA181" s="65"/>
      <c r="AB181" s="65"/>
      <c r="AC181" s="65"/>
      <c r="AD181" s="65"/>
      <c r="AE181" s="65"/>
    </row>
    <row r="182" spans="2:31" x14ac:dyDescent="0.2">
      <c r="B182" s="65"/>
      <c r="C182" s="65"/>
      <c r="E182" s="65"/>
      <c r="F182" s="65"/>
      <c r="G182" s="65"/>
      <c r="H182" s="65"/>
      <c r="I182" s="65"/>
      <c r="J182" s="65"/>
      <c r="K182" s="65"/>
      <c r="L182" s="65"/>
      <c r="M182" s="65"/>
      <c r="P182" s="65"/>
      <c r="Q182" s="65"/>
      <c r="R182" s="65"/>
      <c r="S182" s="65"/>
      <c r="T182" s="65"/>
      <c r="U182" s="65"/>
      <c r="V182" s="65"/>
      <c r="W182" s="65"/>
      <c r="X182" s="65"/>
      <c r="Y182" s="65"/>
      <c r="Z182" s="65"/>
      <c r="AA182" s="65"/>
      <c r="AB182" s="65"/>
      <c r="AC182" s="65"/>
      <c r="AD182" s="65"/>
      <c r="AE182" s="65"/>
    </row>
    <row r="183" spans="2:31" x14ac:dyDescent="0.2">
      <c r="B183" s="65"/>
      <c r="C183" s="65"/>
      <c r="E183" s="65"/>
      <c r="F183" s="65"/>
      <c r="G183" s="65"/>
      <c r="H183" s="65"/>
      <c r="I183" s="65"/>
      <c r="J183" s="65"/>
      <c r="K183" s="65"/>
      <c r="L183" s="65"/>
      <c r="M183" s="65"/>
      <c r="P183" s="65"/>
      <c r="Q183" s="65"/>
      <c r="R183" s="65"/>
      <c r="S183" s="65"/>
      <c r="T183" s="65"/>
      <c r="U183" s="65"/>
      <c r="V183" s="65"/>
      <c r="W183" s="65"/>
      <c r="X183" s="65"/>
      <c r="Y183" s="65"/>
      <c r="Z183" s="65"/>
      <c r="AA183" s="65"/>
      <c r="AB183" s="65"/>
      <c r="AC183" s="65"/>
      <c r="AD183" s="65"/>
      <c r="AE183" s="65"/>
    </row>
    <row r="184" spans="2:31" x14ac:dyDescent="0.2">
      <c r="B184" s="65"/>
      <c r="C184" s="65"/>
      <c r="E184" s="65"/>
      <c r="F184" s="65"/>
      <c r="G184" s="65"/>
      <c r="H184" s="65"/>
      <c r="I184" s="65"/>
      <c r="J184" s="65"/>
      <c r="K184" s="65"/>
      <c r="L184" s="65"/>
      <c r="M184" s="65"/>
      <c r="P184" s="65"/>
      <c r="Q184" s="65"/>
      <c r="R184" s="65"/>
      <c r="S184" s="65"/>
      <c r="T184" s="65"/>
      <c r="U184" s="65"/>
      <c r="V184" s="65"/>
      <c r="W184" s="65"/>
      <c r="X184" s="65"/>
      <c r="Y184" s="65"/>
      <c r="Z184" s="65"/>
      <c r="AA184" s="65"/>
      <c r="AB184" s="65"/>
      <c r="AC184" s="65"/>
      <c r="AD184" s="65"/>
      <c r="AE184" s="65"/>
    </row>
    <row r="185" spans="2:31" x14ac:dyDescent="0.2">
      <c r="B185" s="65"/>
      <c r="C185" s="65"/>
      <c r="E185" s="65"/>
      <c r="F185" s="65"/>
      <c r="G185" s="65"/>
      <c r="H185" s="65"/>
      <c r="I185" s="65"/>
      <c r="J185" s="65"/>
      <c r="K185" s="65"/>
      <c r="L185" s="65"/>
      <c r="M185" s="65"/>
      <c r="P185" s="65"/>
      <c r="Q185" s="65"/>
      <c r="R185" s="65"/>
      <c r="S185" s="65"/>
      <c r="T185" s="65"/>
      <c r="U185" s="65"/>
      <c r="V185" s="65"/>
      <c r="W185" s="65"/>
      <c r="X185" s="65"/>
      <c r="Y185" s="65"/>
      <c r="Z185" s="65"/>
      <c r="AA185" s="65"/>
      <c r="AB185" s="65"/>
      <c r="AC185" s="65"/>
      <c r="AD185" s="65"/>
      <c r="AE185" s="65"/>
    </row>
    <row r="186" spans="2:31" x14ac:dyDescent="0.2">
      <c r="B186" s="65"/>
      <c r="C186" s="65"/>
      <c r="E186" s="65"/>
      <c r="F186" s="65"/>
      <c r="G186" s="65"/>
      <c r="H186" s="65"/>
      <c r="I186" s="65"/>
      <c r="J186" s="65"/>
      <c r="K186" s="65"/>
      <c r="L186" s="65"/>
      <c r="M186" s="65"/>
      <c r="P186" s="65"/>
      <c r="Q186" s="65"/>
      <c r="R186" s="65"/>
      <c r="S186" s="65"/>
      <c r="T186" s="65"/>
      <c r="U186" s="65"/>
      <c r="V186" s="65"/>
      <c r="W186" s="65"/>
      <c r="X186" s="65"/>
      <c r="Y186" s="65"/>
      <c r="Z186" s="65"/>
      <c r="AA186" s="65"/>
      <c r="AB186" s="65"/>
      <c r="AC186" s="65"/>
      <c r="AD186" s="65"/>
      <c r="AE186" s="65"/>
    </row>
    <row r="187" spans="2:31" x14ac:dyDescent="0.2">
      <c r="B187" s="65"/>
      <c r="C187" s="65"/>
      <c r="E187" s="65"/>
      <c r="F187" s="65"/>
      <c r="G187" s="65"/>
      <c r="H187" s="65"/>
      <c r="I187" s="65"/>
      <c r="J187" s="65"/>
      <c r="K187" s="65"/>
      <c r="L187" s="65"/>
      <c r="M187" s="65"/>
      <c r="P187" s="65"/>
      <c r="Q187" s="65"/>
      <c r="R187" s="65"/>
      <c r="S187" s="65"/>
      <c r="T187" s="65"/>
      <c r="U187" s="65"/>
      <c r="V187" s="65"/>
      <c r="W187" s="65"/>
      <c r="X187" s="65"/>
      <c r="Y187" s="65"/>
      <c r="Z187" s="65"/>
      <c r="AA187" s="65"/>
      <c r="AB187" s="65"/>
      <c r="AC187" s="65"/>
      <c r="AD187" s="65"/>
      <c r="AE187" s="65"/>
    </row>
    <row r="188" spans="2:31" x14ac:dyDescent="0.2">
      <c r="B188" s="65"/>
      <c r="C188" s="65"/>
      <c r="E188" s="65"/>
      <c r="F188" s="65"/>
      <c r="G188" s="65"/>
      <c r="H188" s="65"/>
      <c r="I188" s="65"/>
      <c r="J188" s="65"/>
      <c r="K188" s="65"/>
      <c r="L188" s="65"/>
      <c r="M188" s="65"/>
      <c r="P188" s="65"/>
      <c r="Q188" s="65"/>
      <c r="R188" s="65"/>
      <c r="S188" s="65"/>
      <c r="T188" s="65"/>
      <c r="U188" s="65"/>
      <c r="V188" s="65"/>
      <c r="W188" s="65"/>
      <c r="X188" s="65"/>
      <c r="Y188" s="65"/>
      <c r="Z188" s="65"/>
      <c r="AA188" s="65"/>
      <c r="AB188" s="65"/>
      <c r="AC188" s="65"/>
      <c r="AD188" s="65"/>
      <c r="AE188" s="65"/>
    </row>
    <row r="189" spans="2:31" x14ac:dyDescent="0.2">
      <c r="B189" s="65"/>
      <c r="C189" s="65"/>
      <c r="E189" s="65"/>
      <c r="F189" s="65"/>
      <c r="G189" s="65"/>
      <c r="H189" s="65"/>
      <c r="I189" s="65"/>
      <c r="J189" s="65"/>
      <c r="K189" s="65"/>
      <c r="L189" s="65"/>
      <c r="M189" s="65"/>
      <c r="P189" s="65"/>
      <c r="Q189" s="65"/>
      <c r="R189" s="65"/>
      <c r="S189" s="65"/>
      <c r="T189" s="65"/>
      <c r="U189" s="65"/>
      <c r="V189" s="65"/>
      <c r="W189" s="65"/>
      <c r="X189" s="65"/>
      <c r="Y189" s="65"/>
      <c r="Z189" s="65"/>
      <c r="AA189" s="65"/>
      <c r="AB189" s="65"/>
      <c r="AC189" s="65"/>
      <c r="AD189" s="65"/>
      <c r="AE189" s="65"/>
    </row>
    <row r="190" spans="2:31" x14ac:dyDescent="0.2">
      <c r="B190" s="65"/>
      <c r="C190" s="65"/>
      <c r="E190" s="65"/>
      <c r="F190" s="65"/>
      <c r="G190" s="65"/>
      <c r="H190" s="65"/>
      <c r="I190" s="65"/>
      <c r="J190" s="65"/>
      <c r="K190" s="65"/>
      <c r="L190" s="65"/>
      <c r="M190" s="65"/>
      <c r="P190" s="65"/>
      <c r="Q190" s="65"/>
      <c r="R190" s="65"/>
      <c r="S190" s="65"/>
      <c r="T190" s="65"/>
      <c r="U190" s="65"/>
      <c r="V190" s="65"/>
      <c r="W190" s="65"/>
      <c r="X190" s="65"/>
      <c r="Y190" s="65"/>
      <c r="Z190" s="65"/>
      <c r="AA190" s="65"/>
      <c r="AB190" s="65"/>
      <c r="AC190" s="65"/>
      <c r="AD190" s="65"/>
      <c r="AE190" s="65"/>
    </row>
    <row r="191" spans="2:31" x14ac:dyDescent="0.2">
      <c r="B191" s="65"/>
      <c r="C191" s="65"/>
      <c r="E191" s="65"/>
      <c r="F191" s="65"/>
      <c r="G191" s="65"/>
      <c r="H191" s="65"/>
      <c r="I191" s="65"/>
      <c r="J191" s="65"/>
      <c r="K191" s="65"/>
      <c r="L191" s="65"/>
      <c r="M191" s="65"/>
      <c r="P191" s="65"/>
      <c r="Q191" s="65"/>
      <c r="R191" s="65"/>
      <c r="S191" s="65"/>
      <c r="T191" s="65"/>
      <c r="U191" s="65"/>
      <c r="V191" s="65"/>
      <c r="W191" s="65"/>
      <c r="X191" s="65"/>
      <c r="Y191" s="65"/>
      <c r="Z191" s="65"/>
      <c r="AA191" s="65"/>
      <c r="AB191" s="65"/>
      <c r="AC191" s="65"/>
      <c r="AD191" s="65"/>
      <c r="AE191" s="65"/>
    </row>
    <row r="192" spans="2:31" x14ac:dyDescent="0.2">
      <c r="B192" s="65"/>
      <c r="C192" s="65"/>
      <c r="E192" s="65"/>
      <c r="F192" s="65"/>
      <c r="G192" s="65"/>
      <c r="H192" s="65"/>
      <c r="I192" s="65"/>
      <c r="J192" s="65"/>
      <c r="K192" s="65"/>
      <c r="L192" s="65"/>
      <c r="M192" s="65"/>
      <c r="P192" s="65"/>
      <c r="Q192" s="65"/>
      <c r="R192" s="65"/>
      <c r="S192" s="65"/>
      <c r="T192" s="65"/>
      <c r="U192" s="65"/>
      <c r="V192" s="65"/>
      <c r="W192" s="65"/>
      <c r="X192" s="65"/>
      <c r="Y192" s="65"/>
      <c r="Z192" s="65"/>
      <c r="AA192" s="65"/>
      <c r="AB192" s="65"/>
      <c r="AC192" s="65"/>
      <c r="AD192" s="65"/>
      <c r="AE192" s="65"/>
    </row>
    <row r="193" spans="2:31" x14ac:dyDescent="0.2">
      <c r="B193" s="65"/>
      <c r="C193" s="65"/>
      <c r="E193" s="65"/>
      <c r="F193" s="65"/>
      <c r="G193" s="65"/>
      <c r="H193" s="65"/>
      <c r="I193" s="65"/>
      <c r="J193" s="65"/>
      <c r="K193" s="65"/>
      <c r="L193" s="65"/>
      <c r="M193" s="65"/>
      <c r="P193" s="65"/>
      <c r="Q193" s="65"/>
      <c r="R193" s="65"/>
      <c r="S193" s="65"/>
      <c r="T193" s="65"/>
      <c r="U193" s="65"/>
      <c r="V193" s="65"/>
      <c r="W193" s="65"/>
      <c r="X193" s="65"/>
      <c r="Y193" s="65"/>
      <c r="Z193" s="65"/>
      <c r="AA193" s="65"/>
      <c r="AB193" s="65"/>
      <c r="AC193" s="65"/>
      <c r="AD193" s="65"/>
      <c r="AE193" s="65"/>
    </row>
    <row r="194" spans="2:31" x14ac:dyDescent="0.2">
      <c r="B194" s="65"/>
      <c r="C194" s="65"/>
      <c r="E194" s="65"/>
      <c r="F194" s="65"/>
      <c r="G194" s="65"/>
      <c r="H194" s="65"/>
      <c r="I194" s="65"/>
      <c r="J194" s="65"/>
      <c r="K194" s="65"/>
      <c r="L194" s="65"/>
      <c r="M194" s="65"/>
      <c r="P194" s="65"/>
      <c r="Q194" s="65"/>
      <c r="R194" s="65"/>
      <c r="S194" s="65"/>
      <c r="T194" s="65"/>
      <c r="U194" s="65"/>
      <c r="V194" s="65"/>
      <c r="W194" s="65"/>
      <c r="X194" s="65"/>
      <c r="Y194" s="65"/>
      <c r="Z194" s="65"/>
      <c r="AA194" s="65"/>
      <c r="AB194" s="65"/>
      <c r="AC194" s="65"/>
      <c r="AD194" s="65"/>
      <c r="AE194" s="65"/>
    </row>
    <row r="195" spans="2:31" x14ac:dyDescent="0.2">
      <c r="B195" s="65"/>
      <c r="C195" s="65"/>
      <c r="E195" s="65"/>
      <c r="F195" s="65"/>
      <c r="G195" s="65"/>
      <c r="H195" s="65"/>
      <c r="I195" s="65"/>
      <c r="J195" s="65"/>
      <c r="K195" s="65"/>
      <c r="L195" s="65"/>
      <c r="M195" s="65"/>
      <c r="P195" s="65"/>
      <c r="Q195" s="65"/>
      <c r="R195" s="65"/>
      <c r="S195" s="65"/>
      <c r="T195" s="65"/>
      <c r="U195" s="65"/>
      <c r="V195" s="65"/>
      <c r="W195" s="65"/>
      <c r="X195" s="65"/>
      <c r="Y195" s="65"/>
      <c r="Z195" s="65"/>
      <c r="AA195" s="65"/>
      <c r="AB195" s="65"/>
      <c r="AC195" s="65"/>
      <c r="AD195" s="65"/>
      <c r="AE195" s="65"/>
    </row>
    <row r="196" spans="2:31" x14ac:dyDescent="0.2">
      <c r="B196" s="65"/>
      <c r="C196" s="65"/>
      <c r="E196" s="65"/>
      <c r="F196" s="65"/>
      <c r="G196" s="65"/>
      <c r="H196" s="65"/>
      <c r="I196" s="65"/>
      <c r="J196" s="65"/>
      <c r="K196" s="65"/>
      <c r="L196" s="65"/>
      <c r="M196" s="65"/>
      <c r="P196" s="65"/>
      <c r="Q196" s="65"/>
      <c r="R196" s="65"/>
      <c r="S196" s="65"/>
      <c r="T196" s="65"/>
      <c r="U196" s="65"/>
      <c r="V196" s="65"/>
      <c r="W196" s="65"/>
      <c r="X196" s="65"/>
      <c r="Y196" s="65"/>
      <c r="Z196" s="65"/>
      <c r="AA196" s="65"/>
      <c r="AB196" s="65"/>
      <c r="AC196" s="65"/>
      <c r="AD196" s="65"/>
      <c r="AE196" s="65"/>
    </row>
    <row r="197" spans="2:31" x14ac:dyDescent="0.2">
      <c r="B197" s="65"/>
      <c r="C197" s="65"/>
      <c r="E197" s="65"/>
      <c r="F197" s="65"/>
      <c r="G197" s="65"/>
      <c r="H197" s="65"/>
      <c r="I197" s="65"/>
      <c r="J197" s="65"/>
      <c r="K197" s="65"/>
      <c r="L197" s="65"/>
      <c r="M197" s="65"/>
      <c r="P197" s="65"/>
      <c r="Q197" s="65"/>
      <c r="R197" s="65"/>
      <c r="S197" s="65"/>
      <c r="T197" s="65"/>
      <c r="U197" s="65"/>
      <c r="V197" s="65"/>
      <c r="W197" s="65"/>
      <c r="X197" s="65"/>
      <c r="Y197" s="65"/>
      <c r="Z197" s="65"/>
      <c r="AA197" s="65"/>
      <c r="AB197" s="65"/>
      <c r="AC197" s="65"/>
      <c r="AD197" s="65"/>
      <c r="AE197" s="65"/>
    </row>
    <row r="198" spans="2:31" x14ac:dyDescent="0.2">
      <c r="B198" s="65"/>
      <c r="C198" s="65"/>
      <c r="E198" s="65"/>
      <c r="F198" s="65"/>
      <c r="G198" s="65"/>
      <c r="H198" s="65"/>
      <c r="I198" s="65"/>
      <c r="J198" s="65"/>
      <c r="K198" s="65"/>
      <c r="L198" s="65"/>
      <c r="M198" s="65"/>
      <c r="P198" s="65"/>
      <c r="Q198" s="65"/>
      <c r="R198" s="65"/>
      <c r="S198" s="65"/>
      <c r="T198" s="65"/>
      <c r="U198" s="65"/>
      <c r="V198" s="65"/>
      <c r="W198" s="65"/>
      <c r="X198" s="65"/>
      <c r="Y198" s="65"/>
      <c r="Z198" s="65"/>
      <c r="AA198" s="65"/>
      <c r="AB198" s="65"/>
      <c r="AC198" s="65"/>
      <c r="AD198" s="65"/>
      <c r="AE198" s="65"/>
    </row>
    <row r="199" spans="2:31" x14ac:dyDescent="0.2">
      <c r="B199" s="65"/>
      <c r="C199" s="65"/>
      <c r="E199" s="65"/>
      <c r="F199" s="65"/>
      <c r="G199" s="65"/>
      <c r="H199" s="65"/>
      <c r="I199" s="65"/>
      <c r="J199" s="65"/>
      <c r="K199" s="65"/>
      <c r="L199" s="65"/>
      <c r="M199" s="65"/>
      <c r="P199" s="65"/>
      <c r="Q199" s="65"/>
      <c r="R199" s="65"/>
      <c r="S199" s="65"/>
      <c r="T199" s="65"/>
      <c r="U199" s="65"/>
      <c r="V199" s="65"/>
      <c r="W199" s="65"/>
      <c r="X199" s="65"/>
      <c r="Y199" s="65"/>
      <c r="Z199" s="65"/>
      <c r="AA199" s="65"/>
      <c r="AB199" s="65"/>
      <c r="AC199" s="65"/>
      <c r="AD199" s="65"/>
      <c r="AE199" s="65"/>
    </row>
    <row r="200" spans="2:31" x14ac:dyDescent="0.2">
      <c r="B200" s="65"/>
      <c r="C200" s="65"/>
      <c r="E200" s="65"/>
      <c r="F200" s="65"/>
      <c r="G200" s="65"/>
      <c r="H200" s="65"/>
      <c r="I200" s="65"/>
      <c r="J200" s="65"/>
      <c r="K200" s="65"/>
      <c r="L200" s="65"/>
      <c r="M200" s="65"/>
      <c r="P200" s="65"/>
      <c r="Q200" s="65"/>
      <c r="R200" s="65"/>
      <c r="S200" s="65"/>
      <c r="T200" s="65"/>
      <c r="U200" s="65"/>
      <c r="V200" s="65"/>
      <c r="W200" s="65"/>
      <c r="X200" s="65"/>
      <c r="Y200" s="65"/>
      <c r="Z200" s="65"/>
      <c r="AA200" s="65"/>
      <c r="AB200" s="65"/>
      <c r="AC200" s="65"/>
      <c r="AD200" s="65"/>
      <c r="AE200" s="65"/>
    </row>
    <row r="201" spans="2:31" x14ac:dyDescent="0.2">
      <c r="B201" s="65"/>
      <c r="C201" s="65"/>
      <c r="E201" s="65"/>
      <c r="F201" s="65"/>
      <c r="G201" s="65"/>
      <c r="H201" s="65"/>
      <c r="I201" s="65"/>
      <c r="J201" s="65"/>
      <c r="K201" s="65"/>
      <c r="L201" s="65"/>
      <c r="M201" s="65"/>
      <c r="P201" s="65"/>
      <c r="Q201" s="65"/>
      <c r="R201" s="65"/>
      <c r="S201" s="65"/>
      <c r="T201" s="65"/>
      <c r="U201" s="65"/>
      <c r="V201" s="65"/>
      <c r="W201" s="65"/>
      <c r="X201" s="65"/>
      <c r="Y201" s="65"/>
      <c r="Z201" s="65"/>
      <c r="AA201" s="65"/>
      <c r="AB201" s="65"/>
      <c r="AC201" s="65"/>
      <c r="AD201" s="65"/>
      <c r="AE201" s="65"/>
    </row>
    <row r="202" spans="2:31" x14ac:dyDescent="0.2">
      <c r="B202" s="65"/>
      <c r="C202" s="65"/>
      <c r="E202" s="65"/>
      <c r="F202" s="65"/>
      <c r="G202" s="65"/>
      <c r="H202" s="65"/>
      <c r="I202" s="65"/>
      <c r="J202" s="65"/>
      <c r="K202" s="65"/>
      <c r="L202" s="65"/>
      <c r="M202" s="65"/>
      <c r="P202" s="65"/>
      <c r="Q202" s="65"/>
      <c r="R202" s="65"/>
      <c r="S202" s="65"/>
      <c r="T202" s="65"/>
      <c r="U202" s="65"/>
      <c r="V202" s="65"/>
      <c r="W202" s="65"/>
      <c r="X202" s="65"/>
      <c r="Y202" s="65"/>
      <c r="Z202" s="65"/>
      <c r="AA202" s="65"/>
      <c r="AB202" s="65"/>
      <c r="AC202" s="65"/>
      <c r="AD202" s="65"/>
      <c r="AE202" s="65"/>
    </row>
    <row r="203" spans="2:31" x14ac:dyDescent="0.2">
      <c r="B203" s="65"/>
      <c r="C203" s="65"/>
      <c r="E203" s="65"/>
      <c r="F203" s="65"/>
      <c r="G203" s="65"/>
      <c r="H203" s="65"/>
      <c r="I203" s="65"/>
      <c r="J203" s="65"/>
      <c r="K203" s="65"/>
      <c r="L203" s="65"/>
      <c r="M203" s="65"/>
      <c r="P203" s="65"/>
      <c r="Q203" s="65"/>
      <c r="R203" s="65"/>
      <c r="S203" s="65"/>
      <c r="T203" s="65"/>
      <c r="U203" s="65"/>
      <c r="V203" s="65"/>
      <c r="W203" s="65"/>
      <c r="X203" s="65"/>
      <c r="Y203" s="65"/>
      <c r="Z203" s="65"/>
      <c r="AA203" s="65"/>
      <c r="AB203" s="65"/>
      <c r="AC203" s="65"/>
      <c r="AD203" s="65"/>
      <c r="AE203" s="65"/>
    </row>
    <row r="204" spans="2:31" x14ac:dyDescent="0.2">
      <c r="B204" s="65"/>
      <c r="C204" s="65"/>
      <c r="E204" s="65"/>
      <c r="F204" s="65"/>
      <c r="G204" s="65"/>
      <c r="H204" s="65"/>
      <c r="I204" s="65"/>
      <c r="J204" s="65"/>
      <c r="K204" s="65"/>
      <c r="L204" s="65"/>
      <c r="M204" s="65"/>
      <c r="P204" s="65"/>
      <c r="Q204" s="65"/>
      <c r="R204" s="65"/>
      <c r="S204" s="65"/>
      <c r="T204" s="65"/>
      <c r="U204" s="65"/>
      <c r="V204" s="65"/>
      <c r="W204" s="65"/>
      <c r="X204" s="65"/>
      <c r="Y204" s="65"/>
      <c r="Z204" s="65"/>
      <c r="AA204" s="65"/>
      <c r="AB204" s="65"/>
      <c r="AC204" s="65"/>
      <c r="AD204" s="65"/>
      <c r="AE204" s="65"/>
    </row>
    <row r="205" spans="2:31" x14ac:dyDescent="0.2">
      <c r="B205" s="65"/>
      <c r="C205" s="65"/>
      <c r="E205" s="65"/>
      <c r="F205" s="65"/>
      <c r="G205" s="65"/>
      <c r="H205" s="65"/>
      <c r="I205" s="65"/>
      <c r="J205" s="65"/>
      <c r="K205" s="65"/>
      <c r="L205" s="65"/>
      <c r="M205" s="65"/>
      <c r="P205" s="65"/>
      <c r="Q205" s="65"/>
      <c r="R205" s="65"/>
      <c r="S205" s="65"/>
      <c r="T205" s="65"/>
      <c r="U205" s="65"/>
      <c r="V205" s="65"/>
      <c r="W205" s="65"/>
      <c r="X205" s="65"/>
      <c r="Y205" s="65"/>
      <c r="Z205" s="65"/>
      <c r="AA205" s="65"/>
      <c r="AB205" s="65"/>
      <c r="AC205" s="65"/>
      <c r="AD205" s="65"/>
      <c r="AE205" s="65"/>
    </row>
    <row r="206" spans="2:31" x14ac:dyDescent="0.2">
      <c r="B206" s="65"/>
      <c r="C206" s="65"/>
      <c r="E206" s="65"/>
      <c r="F206" s="65"/>
      <c r="G206" s="65"/>
      <c r="H206" s="65"/>
      <c r="I206" s="65"/>
      <c r="J206" s="65"/>
      <c r="K206" s="65"/>
      <c r="L206" s="65"/>
      <c r="M206" s="65"/>
      <c r="P206" s="65"/>
      <c r="Q206" s="65"/>
      <c r="R206" s="65"/>
      <c r="S206" s="65"/>
      <c r="T206" s="65"/>
      <c r="U206" s="65"/>
      <c r="V206" s="65"/>
      <c r="W206" s="65"/>
      <c r="X206" s="65"/>
      <c r="Y206" s="65"/>
      <c r="Z206" s="65"/>
      <c r="AA206" s="65"/>
      <c r="AB206" s="65"/>
      <c r="AC206" s="65"/>
      <c r="AD206" s="65"/>
      <c r="AE206" s="65"/>
    </row>
    <row r="207" spans="2:31" x14ac:dyDescent="0.2">
      <c r="B207" s="65"/>
      <c r="C207" s="65"/>
      <c r="E207" s="65"/>
      <c r="F207" s="65"/>
      <c r="G207" s="65"/>
      <c r="H207" s="65"/>
      <c r="I207" s="65"/>
      <c r="J207" s="65"/>
      <c r="K207" s="65"/>
      <c r="L207" s="65"/>
      <c r="M207" s="65"/>
      <c r="P207" s="65"/>
      <c r="Q207" s="65"/>
      <c r="R207" s="65"/>
      <c r="S207" s="65"/>
      <c r="T207" s="65"/>
      <c r="U207" s="65"/>
      <c r="V207" s="65"/>
      <c r="W207" s="65"/>
      <c r="X207" s="65"/>
      <c r="Y207" s="65"/>
      <c r="Z207" s="65"/>
      <c r="AA207" s="65"/>
      <c r="AB207" s="65"/>
      <c r="AC207" s="65"/>
      <c r="AD207" s="65"/>
      <c r="AE207" s="65"/>
    </row>
    <row r="208" spans="2:31" x14ac:dyDescent="0.2">
      <c r="B208" s="65"/>
      <c r="C208" s="65"/>
      <c r="E208" s="65"/>
      <c r="F208" s="65"/>
      <c r="G208" s="65"/>
      <c r="H208" s="65"/>
      <c r="I208" s="65"/>
      <c r="J208" s="65"/>
      <c r="K208" s="65"/>
      <c r="L208" s="65"/>
      <c r="M208" s="65"/>
      <c r="P208" s="65"/>
      <c r="Q208" s="65"/>
      <c r="R208" s="65"/>
      <c r="S208" s="65"/>
      <c r="T208" s="65"/>
      <c r="U208" s="65"/>
      <c r="V208" s="65"/>
      <c r="W208" s="65"/>
      <c r="X208" s="65"/>
      <c r="Y208" s="65"/>
      <c r="Z208" s="65"/>
      <c r="AA208" s="65"/>
      <c r="AB208" s="65"/>
      <c r="AC208" s="65"/>
      <c r="AD208" s="65"/>
      <c r="AE208" s="65"/>
    </row>
    <row r="209" spans="2:31" x14ac:dyDescent="0.2">
      <c r="B209" s="65"/>
      <c r="C209" s="65"/>
      <c r="E209" s="65"/>
      <c r="F209" s="65"/>
      <c r="G209" s="65"/>
      <c r="H209" s="65"/>
      <c r="I209" s="65"/>
      <c r="J209" s="65"/>
      <c r="K209" s="65"/>
      <c r="L209" s="65"/>
      <c r="M209" s="65"/>
      <c r="P209" s="65"/>
      <c r="Q209" s="65"/>
      <c r="R209" s="65"/>
      <c r="S209" s="65"/>
      <c r="T209" s="65"/>
      <c r="U209" s="65"/>
      <c r="V209" s="65"/>
      <c r="W209" s="65"/>
      <c r="X209" s="65"/>
      <c r="Y209" s="65"/>
      <c r="Z209" s="65"/>
      <c r="AA209" s="65"/>
      <c r="AB209" s="65"/>
      <c r="AC209" s="65"/>
      <c r="AD209" s="65"/>
      <c r="AE209" s="65"/>
    </row>
    <row r="210" spans="2:31" x14ac:dyDescent="0.2">
      <c r="B210" s="65"/>
      <c r="C210" s="65"/>
      <c r="E210" s="65"/>
      <c r="F210" s="65"/>
      <c r="G210" s="65"/>
      <c r="H210" s="65"/>
      <c r="I210" s="65"/>
      <c r="J210" s="65"/>
      <c r="K210" s="65"/>
      <c r="L210" s="65"/>
      <c r="M210" s="65"/>
      <c r="P210" s="65"/>
      <c r="Q210" s="65"/>
      <c r="R210" s="65"/>
      <c r="S210" s="65"/>
      <c r="T210" s="65"/>
      <c r="U210" s="65"/>
      <c r="V210" s="65"/>
      <c r="W210" s="65"/>
      <c r="X210" s="65"/>
      <c r="Y210" s="65"/>
      <c r="Z210" s="65"/>
      <c r="AA210" s="65"/>
      <c r="AB210" s="65"/>
      <c r="AC210" s="65"/>
      <c r="AD210" s="65"/>
      <c r="AE210" s="65"/>
    </row>
    <row r="211" spans="2:31" x14ac:dyDescent="0.2">
      <c r="B211" s="65"/>
      <c r="C211" s="65"/>
      <c r="E211" s="65"/>
      <c r="F211" s="65"/>
      <c r="G211" s="65"/>
      <c r="H211" s="65"/>
      <c r="I211" s="65"/>
      <c r="J211" s="65"/>
      <c r="K211" s="65"/>
      <c r="L211" s="65"/>
      <c r="M211" s="65"/>
      <c r="P211" s="65"/>
      <c r="Q211" s="65"/>
      <c r="R211" s="65"/>
      <c r="S211" s="65"/>
      <c r="T211" s="65"/>
      <c r="U211" s="65"/>
      <c r="V211" s="65"/>
      <c r="W211" s="65"/>
      <c r="X211" s="65"/>
      <c r="Y211" s="65"/>
      <c r="Z211" s="65"/>
      <c r="AA211" s="65"/>
      <c r="AB211" s="65"/>
      <c r="AC211" s="65"/>
      <c r="AD211" s="65"/>
      <c r="AE211" s="65"/>
    </row>
    <row r="212" spans="2:31" x14ac:dyDescent="0.2">
      <c r="B212" s="65"/>
      <c r="C212" s="65"/>
      <c r="E212" s="65"/>
      <c r="F212" s="65"/>
      <c r="G212" s="65"/>
      <c r="H212" s="65"/>
      <c r="I212" s="65"/>
      <c r="J212" s="65"/>
      <c r="K212" s="65"/>
      <c r="L212" s="65"/>
      <c r="M212" s="65"/>
      <c r="P212" s="65"/>
      <c r="Q212" s="65"/>
      <c r="R212" s="65"/>
      <c r="S212" s="65"/>
      <c r="T212" s="65"/>
      <c r="U212" s="65"/>
      <c r="V212" s="65"/>
      <c r="W212" s="65"/>
      <c r="X212" s="65"/>
      <c r="Y212" s="65"/>
      <c r="Z212" s="65"/>
      <c r="AA212" s="65"/>
      <c r="AB212" s="65"/>
      <c r="AC212" s="65"/>
      <c r="AD212" s="65"/>
      <c r="AE212" s="65"/>
    </row>
    <row r="213" spans="2:31" x14ac:dyDescent="0.2">
      <c r="B213" s="65"/>
      <c r="C213" s="65"/>
      <c r="E213" s="65"/>
      <c r="F213" s="65"/>
      <c r="G213" s="65"/>
      <c r="H213" s="65"/>
      <c r="I213" s="65"/>
      <c r="J213" s="65"/>
      <c r="K213" s="65"/>
      <c r="L213" s="65"/>
      <c r="M213" s="65"/>
      <c r="P213" s="65"/>
      <c r="Q213" s="65"/>
      <c r="R213" s="65"/>
      <c r="S213" s="65"/>
      <c r="T213" s="65"/>
      <c r="U213" s="65"/>
      <c r="V213" s="65"/>
      <c r="W213" s="65"/>
      <c r="X213" s="65"/>
      <c r="Y213" s="65"/>
      <c r="Z213" s="65"/>
      <c r="AA213" s="65"/>
      <c r="AB213" s="65"/>
      <c r="AC213" s="65"/>
      <c r="AD213" s="65"/>
      <c r="AE213" s="65"/>
    </row>
    <row r="214" spans="2:31" x14ac:dyDescent="0.2">
      <c r="B214" s="65"/>
      <c r="C214" s="65"/>
      <c r="E214" s="65"/>
      <c r="F214" s="65"/>
      <c r="G214" s="65"/>
      <c r="H214" s="65"/>
      <c r="I214" s="65"/>
      <c r="J214" s="65"/>
      <c r="K214" s="65"/>
      <c r="L214" s="65"/>
      <c r="M214" s="65"/>
      <c r="P214" s="65"/>
      <c r="Q214" s="65"/>
      <c r="R214" s="65"/>
      <c r="S214" s="65"/>
      <c r="T214" s="65"/>
      <c r="U214" s="65"/>
      <c r="V214" s="65"/>
      <c r="W214" s="65"/>
      <c r="X214" s="65"/>
      <c r="Y214" s="65"/>
      <c r="Z214" s="65"/>
      <c r="AA214" s="65"/>
      <c r="AB214" s="65"/>
      <c r="AC214" s="65"/>
      <c r="AD214" s="65"/>
      <c r="AE214" s="65"/>
    </row>
    <row r="215" spans="2:31" x14ac:dyDescent="0.2">
      <c r="B215" s="65"/>
      <c r="C215" s="65"/>
      <c r="E215" s="65"/>
      <c r="F215" s="65"/>
      <c r="G215" s="65"/>
      <c r="H215" s="65"/>
      <c r="I215" s="65"/>
      <c r="J215" s="65"/>
      <c r="K215" s="65"/>
      <c r="L215" s="65"/>
      <c r="M215" s="65"/>
      <c r="P215" s="65"/>
      <c r="Q215" s="65"/>
      <c r="R215" s="65"/>
      <c r="S215" s="65"/>
      <c r="T215" s="65"/>
      <c r="U215" s="65"/>
      <c r="V215" s="65"/>
      <c r="W215" s="65"/>
      <c r="X215" s="65"/>
      <c r="Y215" s="65"/>
      <c r="Z215" s="65"/>
      <c r="AA215" s="65"/>
      <c r="AB215" s="65"/>
      <c r="AC215" s="65"/>
      <c r="AD215" s="65"/>
      <c r="AE215" s="65"/>
    </row>
    <row r="216" spans="2:31" x14ac:dyDescent="0.2">
      <c r="B216" s="65"/>
      <c r="C216" s="65"/>
      <c r="E216" s="65"/>
      <c r="F216" s="65"/>
      <c r="G216" s="65"/>
      <c r="H216" s="65"/>
      <c r="I216" s="65"/>
      <c r="J216" s="65"/>
      <c r="K216" s="65"/>
      <c r="L216" s="65"/>
      <c r="M216" s="65"/>
      <c r="P216" s="65"/>
      <c r="Q216" s="65"/>
      <c r="R216" s="65"/>
      <c r="S216" s="65"/>
      <c r="T216" s="65"/>
      <c r="U216" s="65"/>
      <c r="V216" s="65"/>
      <c r="W216" s="65"/>
      <c r="X216" s="65"/>
      <c r="Y216" s="65"/>
      <c r="Z216" s="65"/>
      <c r="AA216" s="65"/>
      <c r="AB216" s="65"/>
      <c r="AC216" s="65"/>
      <c r="AD216" s="65"/>
      <c r="AE216" s="65"/>
    </row>
    <row r="217" spans="2:31" x14ac:dyDescent="0.2">
      <c r="B217" s="65"/>
      <c r="C217" s="65"/>
      <c r="E217" s="65"/>
      <c r="F217" s="65"/>
      <c r="G217" s="65"/>
      <c r="H217" s="65"/>
      <c r="I217" s="65"/>
      <c r="J217" s="65"/>
      <c r="K217" s="65"/>
      <c r="L217" s="65"/>
      <c r="M217" s="65"/>
      <c r="P217" s="65"/>
      <c r="Q217" s="65"/>
      <c r="R217" s="65"/>
      <c r="S217" s="65"/>
      <c r="T217" s="65"/>
      <c r="U217" s="65"/>
      <c r="V217" s="65"/>
      <c r="W217" s="65"/>
      <c r="X217" s="65"/>
      <c r="Y217" s="65"/>
      <c r="Z217" s="65"/>
      <c r="AA217" s="65"/>
      <c r="AB217" s="65"/>
      <c r="AC217" s="65"/>
      <c r="AD217" s="65"/>
      <c r="AE217" s="65"/>
    </row>
    <row r="218" spans="2:31" x14ac:dyDescent="0.2">
      <c r="B218" s="65"/>
      <c r="C218" s="65"/>
      <c r="E218" s="65"/>
      <c r="F218" s="65"/>
      <c r="G218" s="65"/>
      <c r="H218" s="65"/>
      <c r="I218" s="65"/>
      <c r="J218" s="65"/>
      <c r="K218" s="65"/>
      <c r="L218" s="65"/>
      <c r="M218" s="65"/>
      <c r="P218" s="65"/>
      <c r="Q218" s="65"/>
      <c r="R218" s="65"/>
      <c r="S218" s="65"/>
      <c r="T218" s="65"/>
      <c r="U218" s="65"/>
      <c r="V218" s="65"/>
      <c r="W218" s="65"/>
      <c r="X218" s="65"/>
      <c r="Y218" s="65"/>
      <c r="Z218" s="65"/>
      <c r="AA218" s="65"/>
      <c r="AB218" s="65"/>
      <c r="AC218" s="65"/>
      <c r="AD218" s="65"/>
      <c r="AE218" s="65"/>
    </row>
    <row r="219" spans="2:31" x14ac:dyDescent="0.2">
      <c r="B219" s="65"/>
      <c r="C219" s="65"/>
      <c r="E219" s="65"/>
      <c r="F219" s="65"/>
      <c r="G219" s="65"/>
      <c r="H219" s="65"/>
      <c r="I219" s="65"/>
      <c r="J219" s="65"/>
      <c r="K219" s="65"/>
      <c r="L219" s="65"/>
      <c r="M219" s="65"/>
      <c r="P219" s="65"/>
      <c r="Q219" s="65"/>
      <c r="R219" s="65"/>
      <c r="S219" s="65"/>
      <c r="T219" s="65"/>
      <c r="U219" s="65"/>
      <c r="V219" s="65"/>
      <c r="W219" s="65"/>
      <c r="X219" s="65"/>
      <c r="Y219" s="65"/>
      <c r="Z219" s="65"/>
      <c r="AA219" s="65"/>
      <c r="AB219" s="65"/>
      <c r="AC219" s="65"/>
      <c r="AD219" s="65"/>
      <c r="AE219" s="65"/>
    </row>
    <row r="220" spans="2:31" x14ac:dyDescent="0.2">
      <c r="B220" s="65"/>
      <c r="C220" s="65"/>
      <c r="E220" s="65"/>
      <c r="F220" s="65"/>
      <c r="G220" s="65"/>
      <c r="H220" s="65"/>
      <c r="I220" s="65"/>
      <c r="J220" s="65"/>
      <c r="K220" s="65"/>
      <c r="L220" s="65"/>
      <c r="M220" s="65"/>
      <c r="P220" s="65"/>
      <c r="Q220" s="65"/>
      <c r="R220" s="65"/>
      <c r="S220" s="65"/>
      <c r="T220" s="65"/>
      <c r="U220" s="65"/>
      <c r="V220" s="65"/>
      <c r="W220" s="65"/>
      <c r="X220" s="65"/>
      <c r="Y220" s="65"/>
      <c r="Z220" s="65"/>
      <c r="AA220" s="65"/>
      <c r="AB220" s="65"/>
      <c r="AC220" s="65"/>
      <c r="AD220" s="65"/>
      <c r="AE220" s="65"/>
    </row>
    <row r="221" spans="2:31" x14ac:dyDescent="0.2">
      <c r="B221" s="65"/>
      <c r="C221" s="65"/>
      <c r="E221" s="65"/>
      <c r="F221" s="65"/>
      <c r="G221" s="65"/>
      <c r="H221" s="65"/>
      <c r="I221" s="65"/>
      <c r="J221" s="65"/>
      <c r="K221" s="65"/>
      <c r="L221" s="65"/>
      <c r="M221" s="65"/>
      <c r="P221" s="65"/>
      <c r="Q221" s="65"/>
      <c r="R221" s="65"/>
      <c r="S221" s="65"/>
      <c r="T221" s="65"/>
      <c r="U221" s="65"/>
      <c r="V221" s="65"/>
      <c r="W221" s="65"/>
      <c r="X221" s="65"/>
      <c r="Y221" s="65"/>
      <c r="Z221" s="65"/>
      <c r="AA221" s="65"/>
      <c r="AB221" s="65"/>
      <c r="AC221" s="65"/>
      <c r="AD221" s="65"/>
      <c r="AE221" s="65"/>
    </row>
    <row r="222" spans="2:31" x14ac:dyDescent="0.2">
      <c r="B222" s="65"/>
      <c r="C222" s="65"/>
      <c r="E222" s="65"/>
      <c r="F222" s="65"/>
      <c r="G222" s="65"/>
      <c r="H222" s="65"/>
      <c r="I222" s="65"/>
      <c r="J222" s="65"/>
      <c r="K222" s="65"/>
      <c r="L222" s="65"/>
      <c r="M222" s="65"/>
      <c r="P222" s="65"/>
      <c r="Q222" s="65"/>
      <c r="R222" s="65"/>
      <c r="S222" s="65"/>
      <c r="T222" s="65"/>
      <c r="U222" s="65"/>
      <c r="V222" s="65"/>
      <c r="W222" s="65"/>
      <c r="X222" s="65"/>
      <c r="Y222" s="65"/>
      <c r="Z222" s="65"/>
      <c r="AA222" s="65"/>
      <c r="AB222" s="65"/>
      <c r="AC222" s="65"/>
      <c r="AD222" s="65"/>
      <c r="AE222" s="65"/>
    </row>
    <row r="223" spans="2:31" x14ac:dyDescent="0.2">
      <c r="B223" s="65"/>
      <c r="C223" s="65"/>
      <c r="E223" s="65"/>
      <c r="F223" s="65"/>
      <c r="G223" s="65"/>
      <c r="H223" s="65"/>
      <c r="I223" s="65"/>
      <c r="J223" s="65"/>
      <c r="K223" s="65"/>
      <c r="L223" s="65"/>
      <c r="M223" s="65"/>
      <c r="P223" s="65"/>
      <c r="Q223" s="65"/>
      <c r="R223" s="65"/>
      <c r="S223" s="65"/>
      <c r="T223" s="65"/>
      <c r="U223" s="65"/>
      <c r="V223" s="65"/>
      <c r="W223" s="65"/>
      <c r="X223" s="65"/>
      <c r="Y223" s="65"/>
      <c r="Z223" s="65"/>
      <c r="AA223" s="65"/>
      <c r="AB223" s="65"/>
      <c r="AC223" s="65"/>
      <c r="AD223" s="65"/>
      <c r="AE223" s="65"/>
    </row>
    <row r="224" spans="2:31" x14ac:dyDescent="0.2">
      <c r="B224" s="65"/>
      <c r="C224" s="65"/>
      <c r="E224" s="65"/>
      <c r="F224" s="65"/>
      <c r="G224" s="65"/>
      <c r="H224" s="65"/>
      <c r="I224" s="65"/>
      <c r="J224" s="65"/>
      <c r="K224" s="65"/>
      <c r="L224" s="65"/>
      <c r="M224" s="65"/>
      <c r="P224" s="65"/>
      <c r="Q224" s="65"/>
      <c r="R224" s="65"/>
      <c r="S224" s="65"/>
      <c r="T224" s="65"/>
      <c r="U224" s="65"/>
      <c r="V224" s="65"/>
      <c r="W224" s="65"/>
      <c r="X224" s="65"/>
      <c r="Y224" s="65"/>
      <c r="Z224" s="65"/>
      <c r="AA224" s="65"/>
      <c r="AB224" s="65"/>
      <c r="AC224" s="65"/>
      <c r="AD224" s="65"/>
      <c r="AE224" s="65"/>
    </row>
    <row r="225" spans="2:31" x14ac:dyDescent="0.2">
      <c r="B225" s="65"/>
      <c r="C225" s="65"/>
      <c r="E225" s="65"/>
      <c r="F225" s="65"/>
      <c r="G225" s="65"/>
      <c r="H225" s="65"/>
      <c r="I225" s="65"/>
      <c r="J225" s="65"/>
      <c r="K225" s="65"/>
      <c r="L225" s="65"/>
      <c r="M225" s="65"/>
      <c r="P225" s="65"/>
      <c r="Q225" s="65"/>
      <c r="R225" s="65"/>
      <c r="S225" s="65"/>
      <c r="T225" s="65"/>
      <c r="U225" s="65"/>
      <c r="V225" s="65"/>
      <c r="W225" s="65"/>
      <c r="X225" s="65"/>
      <c r="Y225" s="65"/>
      <c r="Z225" s="65"/>
      <c r="AA225" s="65"/>
      <c r="AB225" s="65"/>
      <c r="AC225" s="65"/>
      <c r="AD225" s="65"/>
      <c r="AE225" s="65"/>
    </row>
    <row r="226" spans="2:31" x14ac:dyDescent="0.2">
      <c r="B226" s="65"/>
      <c r="C226" s="65"/>
      <c r="E226" s="65"/>
      <c r="F226" s="65"/>
      <c r="G226" s="65"/>
      <c r="H226" s="65"/>
      <c r="I226" s="65"/>
      <c r="J226" s="65"/>
      <c r="K226" s="65"/>
      <c r="L226" s="65"/>
      <c r="M226" s="65"/>
      <c r="P226" s="65"/>
      <c r="Q226" s="65"/>
      <c r="R226" s="65"/>
      <c r="S226" s="65"/>
      <c r="T226" s="65"/>
      <c r="U226" s="65"/>
      <c r="V226" s="65"/>
      <c r="W226" s="65"/>
      <c r="X226" s="65"/>
      <c r="Y226" s="65"/>
      <c r="Z226" s="65"/>
      <c r="AA226" s="65"/>
      <c r="AB226" s="65"/>
      <c r="AC226" s="65"/>
      <c r="AD226" s="65"/>
      <c r="AE226" s="65"/>
    </row>
    <row r="227" spans="2:31" x14ac:dyDescent="0.2">
      <c r="B227" s="65"/>
      <c r="C227" s="65"/>
      <c r="E227" s="65"/>
      <c r="F227" s="65"/>
      <c r="G227" s="65"/>
      <c r="H227" s="65"/>
      <c r="I227" s="65"/>
      <c r="J227" s="65"/>
      <c r="K227" s="65"/>
      <c r="L227" s="65"/>
      <c r="M227" s="65"/>
      <c r="P227" s="65"/>
      <c r="Q227" s="65"/>
      <c r="R227" s="65"/>
      <c r="S227" s="65"/>
      <c r="T227" s="65"/>
      <c r="U227" s="65"/>
      <c r="V227" s="65"/>
      <c r="W227" s="65"/>
      <c r="X227" s="65"/>
      <c r="Y227" s="65"/>
      <c r="Z227" s="65"/>
      <c r="AA227" s="65"/>
      <c r="AB227" s="65"/>
      <c r="AC227" s="65"/>
      <c r="AD227" s="65"/>
      <c r="AE227" s="65"/>
    </row>
    <row r="228" spans="2:31" x14ac:dyDescent="0.2">
      <c r="B228" s="65"/>
      <c r="C228" s="65"/>
      <c r="E228" s="65"/>
      <c r="F228" s="65"/>
      <c r="G228" s="65"/>
      <c r="H228" s="65"/>
      <c r="I228" s="65"/>
      <c r="J228" s="65"/>
      <c r="K228" s="65"/>
      <c r="L228" s="65"/>
      <c r="M228" s="65"/>
      <c r="P228" s="65"/>
      <c r="Q228" s="65"/>
      <c r="R228" s="65"/>
      <c r="S228" s="65"/>
      <c r="T228" s="65"/>
      <c r="U228" s="65"/>
      <c r="V228" s="65"/>
      <c r="W228" s="65"/>
      <c r="X228" s="65"/>
      <c r="Y228" s="65"/>
      <c r="Z228" s="65"/>
      <c r="AA228" s="65"/>
      <c r="AB228" s="65"/>
      <c r="AC228" s="65"/>
      <c r="AD228" s="65"/>
      <c r="AE228" s="65"/>
    </row>
    <row r="229" spans="2:31" x14ac:dyDescent="0.2">
      <c r="B229" s="65"/>
      <c r="C229" s="65"/>
      <c r="E229" s="65"/>
      <c r="F229" s="65"/>
      <c r="G229" s="65"/>
      <c r="H229" s="65"/>
      <c r="I229" s="65"/>
      <c r="J229" s="65"/>
      <c r="K229" s="65"/>
      <c r="L229" s="65"/>
      <c r="M229" s="65"/>
      <c r="P229" s="65"/>
      <c r="Q229" s="65"/>
      <c r="R229" s="65"/>
      <c r="S229" s="65"/>
      <c r="T229" s="65"/>
      <c r="U229" s="65"/>
      <c r="V229" s="65"/>
      <c r="W229" s="65"/>
      <c r="X229" s="65"/>
      <c r="Y229" s="65"/>
      <c r="Z229" s="65"/>
      <c r="AA229" s="65"/>
      <c r="AB229" s="65"/>
      <c r="AC229" s="65"/>
      <c r="AD229" s="65"/>
      <c r="AE229" s="65"/>
    </row>
    <row r="230" spans="2:31" x14ac:dyDescent="0.2">
      <c r="B230" s="65"/>
      <c r="C230" s="65"/>
      <c r="E230" s="65"/>
      <c r="F230" s="65"/>
      <c r="G230" s="65"/>
      <c r="H230" s="65"/>
      <c r="I230" s="65"/>
      <c r="J230" s="65"/>
      <c r="K230" s="65"/>
      <c r="L230" s="65"/>
      <c r="M230" s="65"/>
      <c r="P230" s="65"/>
      <c r="Q230" s="65"/>
      <c r="R230" s="65"/>
      <c r="S230" s="65"/>
      <c r="T230" s="65"/>
      <c r="U230" s="65"/>
      <c r="V230" s="65"/>
      <c r="W230" s="65"/>
      <c r="X230" s="65"/>
      <c r="Y230" s="65"/>
      <c r="Z230" s="65"/>
      <c r="AA230" s="65"/>
      <c r="AB230" s="65"/>
      <c r="AC230" s="65"/>
      <c r="AD230" s="65"/>
      <c r="AE230" s="65"/>
    </row>
    <row r="231" spans="2:31" x14ac:dyDescent="0.2">
      <c r="B231" s="65"/>
      <c r="C231" s="65"/>
      <c r="E231" s="65"/>
      <c r="F231" s="65"/>
      <c r="G231" s="65"/>
      <c r="H231" s="65"/>
      <c r="I231" s="65"/>
      <c r="J231" s="65"/>
      <c r="K231" s="65"/>
      <c r="L231" s="65"/>
      <c r="M231" s="65"/>
      <c r="P231" s="65"/>
      <c r="Q231" s="65"/>
      <c r="R231" s="65"/>
      <c r="S231" s="65"/>
      <c r="T231" s="65"/>
      <c r="U231" s="65"/>
      <c r="V231" s="65"/>
      <c r="W231" s="65"/>
      <c r="X231" s="65"/>
      <c r="Y231" s="65"/>
      <c r="Z231" s="65"/>
      <c r="AA231" s="65"/>
      <c r="AB231" s="65"/>
      <c r="AC231" s="65"/>
      <c r="AD231" s="65"/>
      <c r="AE231" s="65"/>
    </row>
    <row r="232" spans="2:31" x14ac:dyDescent="0.2">
      <c r="B232" s="65"/>
      <c r="C232" s="65"/>
      <c r="E232" s="65"/>
      <c r="F232" s="65"/>
      <c r="G232" s="65"/>
      <c r="H232" s="65"/>
      <c r="I232" s="65"/>
      <c r="J232" s="65"/>
      <c r="K232" s="65"/>
      <c r="L232" s="65"/>
      <c r="M232" s="65"/>
      <c r="P232" s="65"/>
      <c r="Q232" s="65"/>
      <c r="R232" s="65"/>
      <c r="S232" s="65"/>
      <c r="T232" s="65"/>
      <c r="U232" s="65"/>
      <c r="V232" s="65"/>
      <c r="W232" s="65"/>
      <c r="X232" s="65"/>
      <c r="Y232" s="65"/>
      <c r="Z232" s="65"/>
      <c r="AA232" s="65"/>
      <c r="AB232" s="65"/>
      <c r="AC232" s="65"/>
      <c r="AD232" s="65"/>
      <c r="AE232" s="65"/>
    </row>
    <row r="233" spans="2:31" x14ac:dyDescent="0.2">
      <c r="B233" s="65"/>
      <c r="C233" s="65"/>
      <c r="E233" s="65"/>
      <c r="F233" s="65"/>
      <c r="G233" s="65"/>
      <c r="H233" s="65"/>
      <c r="I233" s="65"/>
      <c r="J233" s="65"/>
      <c r="K233" s="65"/>
      <c r="L233" s="65"/>
      <c r="M233" s="65"/>
      <c r="P233" s="65"/>
      <c r="Q233" s="65"/>
      <c r="R233" s="65"/>
      <c r="S233" s="65"/>
      <c r="T233" s="65"/>
      <c r="U233" s="65"/>
      <c r="V233" s="65"/>
      <c r="W233" s="65"/>
      <c r="X233" s="65"/>
      <c r="Y233" s="65"/>
      <c r="Z233" s="65"/>
      <c r="AA233" s="65"/>
      <c r="AB233" s="65"/>
      <c r="AC233" s="65"/>
      <c r="AD233" s="65"/>
      <c r="AE233" s="65"/>
    </row>
    <row r="234" spans="2:31" x14ac:dyDescent="0.2">
      <c r="B234" s="65"/>
      <c r="C234" s="65"/>
      <c r="E234" s="65"/>
      <c r="F234" s="65"/>
      <c r="G234" s="65"/>
      <c r="H234" s="65"/>
      <c r="I234" s="65"/>
      <c r="J234" s="65"/>
      <c r="K234" s="65"/>
      <c r="L234" s="65"/>
      <c r="M234" s="65"/>
      <c r="P234" s="65"/>
      <c r="Q234" s="65"/>
      <c r="R234" s="65"/>
      <c r="S234" s="65"/>
      <c r="T234" s="65"/>
      <c r="U234" s="65"/>
      <c r="V234" s="65"/>
      <c r="W234" s="65"/>
      <c r="X234" s="65"/>
      <c r="Y234" s="65"/>
      <c r="Z234" s="65"/>
      <c r="AA234" s="65"/>
      <c r="AB234" s="65"/>
      <c r="AC234" s="65"/>
      <c r="AD234" s="65"/>
      <c r="AE234" s="65"/>
    </row>
    <row r="235" spans="2:31" x14ac:dyDescent="0.2">
      <c r="B235" s="65"/>
      <c r="C235" s="65"/>
      <c r="E235" s="65"/>
      <c r="F235" s="65"/>
      <c r="G235" s="65"/>
      <c r="H235" s="65"/>
      <c r="I235" s="65"/>
      <c r="J235" s="65"/>
      <c r="K235" s="65"/>
      <c r="L235" s="65"/>
      <c r="M235" s="65"/>
      <c r="P235" s="65"/>
      <c r="Q235" s="65"/>
      <c r="R235" s="65"/>
      <c r="S235" s="65"/>
      <c r="T235" s="65"/>
      <c r="U235" s="65"/>
      <c r="V235" s="65"/>
      <c r="W235" s="65"/>
      <c r="X235" s="65"/>
      <c r="Y235" s="65"/>
      <c r="Z235" s="65"/>
      <c r="AA235" s="65"/>
      <c r="AB235" s="65"/>
      <c r="AC235" s="65"/>
      <c r="AD235" s="65"/>
      <c r="AE235" s="65"/>
    </row>
    <row r="236" spans="2:31" x14ac:dyDescent="0.2">
      <c r="B236" s="65"/>
      <c r="C236" s="65"/>
      <c r="E236" s="65"/>
      <c r="F236" s="65"/>
      <c r="G236" s="65"/>
      <c r="H236" s="65"/>
      <c r="I236" s="65"/>
      <c r="J236" s="65"/>
      <c r="K236" s="65"/>
      <c r="L236" s="65"/>
      <c r="M236" s="65"/>
      <c r="P236" s="65"/>
      <c r="Q236" s="65"/>
      <c r="R236" s="65"/>
      <c r="S236" s="65"/>
      <c r="T236" s="65"/>
      <c r="U236" s="65"/>
      <c r="V236" s="65"/>
      <c r="W236" s="65"/>
      <c r="X236" s="65"/>
      <c r="Y236" s="65"/>
      <c r="Z236" s="65"/>
      <c r="AA236" s="65"/>
      <c r="AB236" s="65"/>
      <c r="AC236" s="65"/>
      <c r="AD236" s="65"/>
      <c r="AE236" s="65"/>
    </row>
    <row r="237" spans="2:31" x14ac:dyDescent="0.2">
      <c r="B237" s="65"/>
      <c r="C237" s="65"/>
      <c r="E237" s="65"/>
      <c r="F237" s="65"/>
      <c r="G237" s="65"/>
      <c r="H237" s="65"/>
      <c r="I237" s="65"/>
      <c r="J237" s="65"/>
      <c r="K237" s="65"/>
      <c r="L237" s="65"/>
      <c r="M237" s="65"/>
      <c r="P237" s="65"/>
      <c r="Q237" s="65"/>
      <c r="R237" s="65"/>
      <c r="S237" s="65"/>
      <c r="T237" s="65"/>
      <c r="U237" s="65"/>
      <c r="V237" s="65"/>
      <c r="W237" s="65"/>
      <c r="X237" s="65"/>
      <c r="Y237" s="65"/>
      <c r="Z237" s="65"/>
      <c r="AA237" s="65"/>
      <c r="AB237" s="65"/>
      <c r="AC237" s="65"/>
      <c r="AD237" s="65"/>
      <c r="AE237" s="65"/>
    </row>
    <row r="238" spans="2:31" x14ac:dyDescent="0.2">
      <c r="B238" s="65"/>
      <c r="C238" s="65"/>
      <c r="E238" s="65"/>
      <c r="F238" s="65"/>
      <c r="G238" s="65"/>
      <c r="H238" s="65"/>
      <c r="I238" s="65"/>
      <c r="J238" s="65"/>
      <c r="K238" s="65"/>
      <c r="L238" s="65"/>
      <c r="M238" s="65"/>
      <c r="P238" s="65"/>
      <c r="Q238" s="65"/>
      <c r="R238" s="65"/>
      <c r="S238" s="65"/>
      <c r="T238" s="65"/>
      <c r="U238" s="65"/>
      <c r="V238" s="65"/>
      <c r="W238" s="65"/>
      <c r="X238" s="65"/>
      <c r="Y238" s="65"/>
      <c r="Z238" s="65"/>
      <c r="AA238" s="65"/>
      <c r="AB238" s="65"/>
      <c r="AC238" s="65"/>
      <c r="AD238" s="65"/>
      <c r="AE238" s="65"/>
    </row>
    <row r="239" spans="2:31" x14ac:dyDescent="0.2">
      <c r="B239" s="65"/>
      <c r="C239" s="65"/>
      <c r="E239" s="65"/>
      <c r="F239" s="65"/>
      <c r="G239" s="65"/>
      <c r="H239" s="65"/>
      <c r="I239" s="65"/>
      <c r="J239" s="65"/>
      <c r="K239" s="65"/>
      <c r="L239" s="65"/>
      <c r="M239" s="65"/>
      <c r="P239" s="65"/>
      <c r="Q239" s="65"/>
      <c r="R239" s="65"/>
      <c r="S239" s="65"/>
      <c r="T239" s="65"/>
      <c r="U239" s="65"/>
      <c r="V239" s="65"/>
      <c r="W239" s="65"/>
      <c r="X239" s="65"/>
      <c r="Y239" s="65"/>
      <c r="Z239" s="65"/>
      <c r="AA239" s="65"/>
      <c r="AB239" s="65"/>
      <c r="AC239" s="65"/>
      <c r="AD239" s="65"/>
      <c r="AE239" s="65"/>
    </row>
  </sheetData>
  <sheetProtection password="CF76" sheet="1"/>
  <mergeCells count="62">
    <mergeCell ref="A48:A50"/>
    <mergeCell ref="A33:A37"/>
    <mergeCell ref="C42:E43"/>
    <mergeCell ref="K67:M67"/>
    <mergeCell ref="A66:A78"/>
    <mergeCell ref="B39:M41"/>
    <mergeCell ref="A39:A41"/>
    <mergeCell ref="A51:A62"/>
    <mergeCell ref="I59:I60"/>
    <mergeCell ref="J59:J60"/>
    <mergeCell ref="B73:J74"/>
    <mergeCell ref="D68:D69"/>
    <mergeCell ref="B66:C67"/>
    <mergeCell ref="D66:I67"/>
    <mergeCell ref="B72:H72"/>
    <mergeCell ref="K42:M42"/>
    <mergeCell ref="A1:J7"/>
    <mergeCell ref="D9:E9"/>
    <mergeCell ref="A16:A17"/>
    <mergeCell ref="B18:D19"/>
    <mergeCell ref="E18:E19"/>
    <mergeCell ref="C12:C13"/>
    <mergeCell ref="G15:J15"/>
    <mergeCell ref="A12:A13"/>
    <mergeCell ref="F18:F19"/>
    <mergeCell ref="A18:A28"/>
    <mergeCell ref="A30:A32"/>
    <mergeCell ref="B57:J58"/>
    <mergeCell ref="F51:F52"/>
    <mergeCell ref="I51:I52"/>
    <mergeCell ref="C44:E44"/>
    <mergeCell ref="F44:G44"/>
    <mergeCell ref="C45:E45"/>
    <mergeCell ref="G51:G52"/>
    <mergeCell ref="B51:E52"/>
    <mergeCell ref="J51:J52"/>
    <mergeCell ref="H51:H52"/>
    <mergeCell ref="C33:F34"/>
    <mergeCell ref="G33:J34"/>
    <mergeCell ref="C35:F35"/>
    <mergeCell ref="G37:H37"/>
    <mergeCell ref="A42:A46"/>
    <mergeCell ref="K51:M51"/>
    <mergeCell ref="G36:H36"/>
    <mergeCell ref="K23:M23"/>
    <mergeCell ref="B30:M32"/>
    <mergeCell ref="B23:D24"/>
    <mergeCell ref="K33:M33"/>
    <mergeCell ref="G35:H35"/>
    <mergeCell ref="B42:B43"/>
    <mergeCell ref="F42:G43"/>
    <mergeCell ref="F46:G46"/>
    <mergeCell ref="C46:E46"/>
    <mergeCell ref="F45:G45"/>
    <mergeCell ref="C37:F37"/>
    <mergeCell ref="B33:B34"/>
    <mergeCell ref="C36:F36"/>
    <mergeCell ref="K12:K13"/>
    <mergeCell ref="B20:D20"/>
    <mergeCell ref="B21:D21"/>
    <mergeCell ref="B22:D22"/>
    <mergeCell ref="B12:B13"/>
  </mergeCells>
  <phoneticPr fontId="1" type="noConversion"/>
  <dataValidations xWindow="63" yWindow="261" count="9">
    <dataValidation allowBlank="1" showInputMessage="1" showErrorMessage="1" promptTitle="RF Carrier Frequency" prompt="Minimum 240 MHz and _x000a_Maximum 960 MHz" sqref="J9"/>
    <dataValidation errorStyle="warning" allowBlank="1" showInputMessage="1" showErrorMessage="1" promptTitle="OOK  ONLY  Receiver BandWidth" prompt="Valid inputs:_x000a_Minimum 75 KHz_x000a_Maximum 620 KHz" sqref="E14"/>
    <dataValidation type="list" allowBlank="1" showInputMessage="1" showErrorMessage="1" errorTitle="Invalid Selection" error="Please select AFC to be Either:_x000a_Enable_x000a_Disable" promptTitle="Select AFC Operation" prompt="Either Enabled or Disabled" sqref="A14">
      <formula1>EnableDisable</formula1>
    </dataValidation>
    <dataValidation type="list" allowBlank="1" showInputMessage="1" showErrorMessage="1" errorTitle="Inavlid Input!" error="There are two options in the drop down menu. Select one of them." promptTitle="Max Rb. Error" prompt="Select one of the two options" sqref="B14">
      <formula1>percentage</formula1>
    </dataValidation>
    <dataValidation type="list" allowBlank="1" showInputMessage="1" showErrorMessage="1" promptTitle="Manchester Options" prompt="1) ON  - Internal Manchester encoding/decoding in PH is Enabled._x000a_2) OFF - Internal Manchester encoding/decoding in PH is Disabled._x000a_3) Manchester Data - Optimizes RX Modem assuming RX data is already Manchester-encoded, no PH processing required" sqref="C9">
      <formula1>ONorOFF1</formula1>
    </dataValidation>
    <dataValidation type="list" allowBlank="1" showInputMessage="1" showErrorMessage="1" promptTitle="Select One Type of Modulation" prompt="1) OOK_x000a_2) FSK_x000a_3) GFSK" sqref="A9">
      <formula1>ValidMods</formula1>
    </dataValidation>
    <dataValidation allowBlank="1" showInputMessage="1" showErrorMessage="1" promptTitle="Data Rate" prompt="Minimum 0.125kbps and_x000a_Maximun 256kbps" sqref="L9"/>
    <dataValidation allowBlank="1" showInputMessage="1" showErrorMessage="1" promptTitle="Freq.Deviation" prompt="Minimum 0.625kHz and_x000a_Maximum 320kHz" sqref="C14"/>
    <dataValidation allowBlank="1" showInputMessage="1" showErrorMessage="1" prompt="Crystal Tolerance values affect RX Modem parameters, as a wider IF Bandwidth is required to handle larger frequency offsets." sqref="G9:H9"/>
  </dataValidations>
  <pageMargins left="0.75" right="0.75" top="1" bottom="1" header="0.5" footer="0.5"/>
  <pageSetup orientation="portrait" r:id="rId1"/>
  <headerFooter alignWithMargins="0"/>
  <ignoredErrors>
    <ignoredError sqref="B22 C71" unlocked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I18"/>
  <sheetViews>
    <sheetView topLeftCell="C1" workbookViewId="0">
      <selection activeCell="H2" sqref="H2"/>
    </sheetView>
  </sheetViews>
  <sheetFormatPr defaultRowHeight="12.75" x14ac:dyDescent="0.2"/>
  <cols>
    <col min="5" max="5" width="9.140625" style="274" customWidth="1"/>
    <col min="6" max="6" width="12.42578125" style="274" customWidth="1"/>
    <col min="9" max="9" width="93" bestFit="1" customWidth="1"/>
  </cols>
  <sheetData>
    <row r="4" spans="5:9" x14ac:dyDescent="0.2">
      <c r="E4" s="274" t="s">
        <v>315</v>
      </c>
    </row>
    <row r="7" spans="5:9" ht="13.5" thickBot="1" x14ac:dyDescent="0.25">
      <c r="E7" s="274" t="s">
        <v>312</v>
      </c>
      <c r="F7" s="274" t="s">
        <v>371</v>
      </c>
      <c r="G7" t="s">
        <v>314</v>
      </c>
      <c r="I7" t="s">
        <v>311</v>
      </c>
    </row>
    <row r="8" spans="5:9" x14ac:dyDescent="0.2">
      <c r="E8" s="275">
        <v>0</v>
      </c>
      <c r="F8" s="284"/>
      <c r="G8" s="272" t="s">
        <v>361</v>
      </c>
      <c r="H8" s="272"/>
      <c r="I8" s="273" t="s">
        <v>419</v>
      </c>
    </row>
    <row r="9" spans="5:9" x14ac:dyDescent="0.2">
      <c r="E9" s="287">
        <v>1</v>
      </c>
      <c r="F9" s="288" t="s">
        <v>425</v>
      </c>
      <c r="G9" s="271" t="s">
        <v>426</v>
      </c>
      <c r="H9" s="271"/>
      <c r="I9" s="289" t="s">
        <v>427</v>
      </c>
    </row>
    <row r="10" spans="5:9" ht="13.5" thickBot="1" x14ac:dyDescent="0.25">
      <c r="E10" s="287">
        <v>2</v>
      </c>
      <c r="F10" s="288" t="s">
        <v>425</v>
      </c>
      <c r="G10" s="271" t="s">
        <v>431</v>
      </c>
      <c r="H10" s="271"/>
      <c r="I10" s="289" t="s">
        <v>432</v>
      </c>
    </row>
    <row r="11" spans="5:9" ht="15" x14ac:dyDescent="0.25">
      <c r="E11" s="322">
        <v>4</v>
      </c>
      <c r="F11" s="323" t="s">
        <v>440</v>
      </c>
      <c r="G11" s="323" t="s">
        <v>441</v>
      </c>
      <c r="H11" s="323"/>
      <c r="I11" s="324" t="s">
        <v>442</v>
      </c>
    </row>
    <row r="12" spans="5:9" ht="15" x14ac:dyDescent="0.25">
      <c r="E12" s="325"/>
      <c r="F12" s="326"/>
      <c r="G12" s="326"/>
      <c r="H12" s="326"/>
      <c r="I12" s="327" t="s">
        <v>443</v>
      </c>
    </row>
    <row r="13" spans="5:9" ht="15" x14ac:dyDescent="0.25">
      <c r="E13" s="325"/>
      <c r="F13" s="326"/>
      <c r="G13" s="326"/>
      <c r="H13" s="326"/>
      <c r="I13" s="327" t="s">
        <v>444</v>
      </c>
    </row>
    <row r="14" spans="5:9" ht="15" x14ac:dyDescent="0.25">
      <c r="E14" s="325"/>
      <c r="F14" s="326"/>
      <c r="G14" s="326"/>
      <c r="H14" s="326"/>
      <c r="I14" s="327" t="s">
        <v>445</v>
      </c>
    </row>
    <row r="15" spans="5:9" ht="15.75" thickBot="1" x14ac:dyDescent="0.3">
      <c r="E15" s="328"/>
      <c r="F15" s="329"/>
      <c r="G15" s="329"/>
      <c r="H15" s="329"/>
      <c r="I15" s="330" t="s">
        <v>446</v>
      </c>
    </row>
    <row r="16" spans="5:9" x14ac:dyDescent="0.2">
      <c r="E16" s="276"/>
      <c r="F16" s="276"/>
      <c r="G16" s="27"/>
      <c r="H16" s="27"/>
      <c r="I16" s="285"/>
    </row>
    <row r="17" spans="5:9" x14ac:dyDescent="0.2">
      <c r="E17" s="276"/>
      <c r="F17" s="276"/>
      <c r="G17" s="27"/>
      <c r="H17" s="27"/>
      <c r="I17" s="285"/>
    </row>
    <row r="18" spans="5:9" x14ac:dyDescent="0.2">
      <c r="E18" s="276"/>
      <c r="F18" s="276"/>
      <c r="G18" s="27"/>
      <c r="H18" s="27"/>
      <c r="I18" s="286"/>
    </row>
  </sheetData>
  <phoneticPr fontId="1"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529"/>
  <sheetViews>
    <sheetView topLeftCell="A67" workbookViewId="0">
      <selection activeCell="H86" sqref="H86"/>
    </sheetView>
  </sheetViews>
  <sheetFormatPr defaultRowHeight="12.75" x14ac:dyDescent="0.2"/>
  <sheetData>
    <row r="4" spans="2:11" x14ac:dyDescent="0.2">
      <c r="K4" t="s">
        <v>49</v>
      </c>
    </row>
    <row r="5" spans="2:11" x14ac:dyDescent="0.2">
      <c r="B5" t="s">
        <v>69</v>
      </c>
      <c r="E5" t="s">
        <v>6</v>
      </c>
      <c r="G5" t="s">
        <v>6</v>
      </c>
      <c r="I5" t="s">
        <v>9</v>
      </c>
      <c r="K5" t="s">
        <v>47</v>
      </c>
    </row>
    <row r="6" spans="2:11" x14ac:dyDescent="0.2">
      <c r="B6" t="s">
        <v>68</v>
      </c>
      <c r="E6" t="s">
        <v>7</v>
      </c>
      <c r="G6" t="s">
        <v>7</v>
      </c>
      <c r="I6" t="s">
        <v>10</v>
      </c>
      <c r="K6" t="s">
        <v>48</v>
      </c>
    </row>
    <row r="7" spans="2:11" x14ac:dyDescent="0.2">
      <c r="E7" t="s">
        <v>5</v>
      </c>
      <c r="G7" t="s">
        <v>5</v>
      </c>
    </row>
    <row r="8" spans="2:11" x14ac:dyDescent="0.2">
      <c r="K8" t="s">
        <v>50</v>
      </c>
    </row>
    <row r="9" spans="2:11" x14ac:dyDescent="0.2">
      <c r="B9" s="1" t="s">
        <v>70</v>
      </c>
      <c r="K9" t="s">
        <v>51</v>
      </c>
    </row>
    <row r="10" spans="2:11" x14ac:dyDescent="0.2">
      <c r="B10" s="1" t="s">
        <v>71</v>
      </c>
      <c r="D10" t="s">
        <v>9</v>
      </c>
      <c r="G10" t="s">
        <v>9</v>
      </c>
      <c r="I10" t="s">
        <v>9</v>
      </c>
    </row>
    <row r="11" spans="2:11" x14ac:dyDescent="0.2">
      <c r="D11" t="s">
        <v>10</v>
      </c>
      <c r="G11" t="s">
        <v>10</v>
      </c>
      <c r="K11" t="s">
        <v>53</v>
      </c>
    </row>
    <row r="12" spans="2:11" x14ac:dyDescent="0.2">
      <c r="D12" t="s">
        <v>365</v>
      </c>
      <c r="K12" t="s">
        <v>54</v>
      </c>
    </row>
    <row r="13" spans="2:11" x14ac:dyDescent="0.2">
      <c r="I13" t="s">
        <v>10</v>
      </c>
      <c r="K13" t="s">
        <v>52</v>
      </c>
    </row>
    <row r="14" spans="2:11" x14ac:dyDescent="0.2">
      <c r="E14" t="s">
        <v>20</v>
      </c>
      <c r="G14" t="s">
        <v>20</v>
      </c>
    </row>
    <row r="15" spans="2:11" x14ac:dyDescent="0.2">
      <c r="E15" t="s">
        <v>21</v>
      </c>
      <c r="G15" t="s">
        <v>21</v>
      </c>
      <c r="I15" t="s">
        <v>24</v>
      </c>
      <c r="K15" t="s">
        <v>55</v>
      </c>
    </row>
    <row r="16" spans="2:11" x14ac:dyDescent="0.2">
      <c r="K16" t="s">
        <v>56</v>
      </c>
    </row>
    <row r="17" spans="1:11" x14ac:dyDescent="0.2">
      <c r="E17" t="s">
        <v>23</v>
      </c>
      <c r="G17" t="s">
        <v>23</v>
      </c>
      <c r="I17" t="s">
        <v>23</v>
      </c>
      <c r="K17" t="s">
        <v>57</v>
      </c>
    </row>
    <row r="18" spans="1:11" x14ac:dyDescent="0.2">
      <c r="A18" s="3" t="str">
        <f t="shared" ref="A18:A81" si="0">DEC2HEX(C18,2)</f>
        <v>00</v>
      </c>
      <c r="B18">
        <v>0</v>
      </c>
      <c r="C18">
        <v>0</v>
      </c>
      <c r="E18" t="s">
        <v>24</v>
      </c>
      <c r="G18" t="s">
        <v>24</v>
      </c>
    </row>
    <row r="19" spans="1:11" x14ac:dyDescent="0.2">
      <c r="A19" s="3" t="str">
        <f t="shared" si="0"/>
        <v>01</v>
      </c>
      <c r="B19">
        <v>1</v>
      </c>
      <c r="C19">
        <v>1</v>
      </c>
      <c r="K19" t="s">
        <v>58</v>
      </c>
    </row>
    <row r="20" spans="1:11" x14ac:dyDescent="0.2">
      <c r="A20" s="3" t="str">
        <f t="shared" si="0"/>
        <v>02</v>
      </c>
      <c r="B20">
        <v>2</v>
      </c>
      <c r="C20">
        <v>2</v>
      </c>
      <c r="E20" t="s">
        <v>27</v>
      </c>
      <c r="G20" t="s">
        <v>27</v>
      </c>
      <c r="K20" t="s">
        <v>59</v>
      </c>
    </row>
    <row r="21" spans="1:11" x14ac:dyDescent="0.2">
      <c r="A21" s="3" t="str">
        <f t="shared" si="0"/>
        <v>03</v>
      </c>
      <c r="B21">
        <v>3</v>
      </c>
      <c r="C21">
        <v>3</v>
      </c>
      <c r="E21" t="s">
        <v>28</v>
      </c>
      <c r="G21" t="s">
        <v>28</v>
      </c>
    </row>
    <row r="22" spans="1:11" x14ac:dyDescent="0.2">
      <c r="A22" s="3" t="str">
        <f t="shared" si="0"/>
        <v>04</v>
      </c>
      <c r="B22">
        <v>4</v>
      </c>
      <c r="C22">
        <v>4</v>
      </c>
      <c r="E22" t="s">
        <v>29</v>
      </c>
      <c r="G22" t="s">
        <v>29</v>
      </c>
    </row>
    <row r="23" spans="1:11" x14ac:dyDescent="0.2">
      <c r="A23" s="3" t="str">
        <f t="shared" si="0"/>
        <v>05</v>
      </c>
      <c r="B23">
        <v>5</v>
      </c>
      <c r="C23">
        <v>5</v>
      </c>
      <c r="E23" t="s">
        <v>30</v>
      </c>
      <c r="G23" t="s">
        <v>30</v>
      </c>
      <c r="K23" t="s">
        <v>64</v>
      </c>
    </row>
    <row r="24" spans="1:11" x14ac:dyDescent="0.2">
      <c r="A24" s="3" t="str">
        <f t="shared" si="0"/>
        <v>06</v>
      </c>
      <c r="B24">
        <v>6</v>
      </c>
      <c r="C24">
        <v>6</v>
      </c>
      <c r="K24" t="s">
        <v>60</v>
      </c>
    </row>
    <row r="25" spans="1:11" x14ac:dyDescent="0.2">
      <c r="A25" s="3" t="str">
        <f t="shared" si="0"/>
        <v>07</v>
      </c>
      <c r="B25">
        <v>7</v>
      </c>
      <c r="C25">
        <v>7</v>
      </c>
      <c r="K25" t="s">
        <v>61</v>
      </c>
    </row>
    <row r="26" spans="1:11" x14ac:dyDescent="0.2">
      <c r="A26" s="3" t="str">
        <f t="shared" si="0"/>
        <v>08</v>
      </c>
      <c r="B26">
        <v>8</v>
      </c>
      <c r="C26">
        <v>8</v>
      </c>
      <c r="E26" t="s">
        <v>31</v>
      </c>
      <c r="H26" t="s">
        <v>41</v>
      </c>
      <c r="K26" t="s">
        <v>62</v>
      </c>
    </row>
    <row r="27" spans="1:11" x14ac:dyDescent="0.2">
      <c r="A27" s="3" t="str">
        <f t="shared" si="0"/>
        <v>09</v>
      </c>
      <c r="B27">
        <v>9</v>
      </c>
      <c r="C27">
        <v>9</v>
      </c>
      <c r="E27" t="s">
        <v>32</v>
      </c>
      <c r="H27" t="s">
        <v>42</v>
      </c>
      <c r="K27" t="s">
        <v>63</v>
      </c>
    </row>
    <row r="28" spans="1:11" x14ac:dyDescent="0.2">
      <c r="A28" s="3" t="str">
        <f t="shared" si="0"/>
        <v>0A</v>
      </c>
      <c r="B28">
        <v>10</v>
      </c>
      <c r="C28">
        <v>10</v>
      </c>
      <c r="E28" t="s">
        <v>33</v>
      </c>
      <c r="H28" t="s">
        <v>43</v>
      </c>
    </row>
    <row r="29" spans="1:11" x14ac:dyDescent="0.2">
      <c r="A29" s="3" t="str">
        <f t="shared" si="0"/>
        <v>0B</v>
      </c>
      <c r="B29">
        <v>11</v>
      </c>
      <c r="C29">
        <v>11</v>
      </c>
      <c r="E29" t="s">
        <v>34</v>
      </c>
      <c r="H29" t="s">
        <v>44</v>
      </c>
    </row>
    <row r="30" spans="1:11" x14ac:dyDescent="0.2">
      <c r="A30" s="3" t="str">
        <f t="shared" si="0"/>
        <v>0C</v>
      </c>
      <c r="B30">
        <v>12</v>
      </c>
      <c r="C30">
        <v>12</v>
      </c>
      <c r="E30" t="s">
        <v>35</v>
      </c>
      <c r="K30" t="s">
        <v>72</v>
      </c>
    </row>
    <row r="31" spans="1:11" x14ac:dyDescent="0.2">
      <c r="A31" s="3" t="str">
        <f t="shared" si="0"/>
        <v>0D</v>
      </c>
      <c r="B31">
        <v>13</v>
      </c>
      <c r="C31">
        <v>13</v>
      </c>
      <c r="K31" t="s">
        <v>77</v>
      </c>
    </row>
    <row r="32" spans="1:11" x14ac:dyDescent="0.2">
      <c r="A32" s="3" t="str">
        <f t="shared" si="0"/>
        <v>0E</v>
      </c>
      <c r="B32">
        <v>14</v>
      </c>
      <c r="C32">
        <v>14</v>
      </c>
      <c r="K32" t="s">
        <v>78</v>
      </c>
    </row>
    <row r="33" spans="1:11" x14ac:dyDescent="0.2">
      <c r="A33" s="3" t="str">
        <f t="shared" si="0"/>
        <v>0F</v>
      </c>
      <c r="B33">
        <v>15</v>
      </c>
      <c r="C33">
        <v>15</v>
      </c>
      <c r="H33" t="s">
        <v>410</v>
      </c>
    </row>
    <row r="34" spans="1:11" x14ac:dyDescent="0.2">
      <c r="A34" s="3" t="str">
        <f t="shared" si="0"/>
        <v>10</v>
      </c>
      <c r="B34">
        <v>16</v>
      </c>
      <c r="C34">
        <v>16</v>
      </c>
      <c r="H34" t="s">
        <v>411</v>
      </c>
      <c r="K34" t="s">
        <v>76</v>
      </c>
    </row>
    <row r="35" spans="1:11" x14ac:dyDescent="0.2">
      <c r="A35" s="3" t="str">
        <f t="shared" si="0"/>
        <v>11</v>
      </c>
      <c r="B35">
        <v>17</v>
      </c>
      <c r="C35">
        <v>17</v>
      </c>
      <c r="E35">
        <v>0</v>
      </c>
      <c r="K35" t="s">
        <v>79</v>
      </c>
    </row>
    <row r="36" spans="1:11" x14ac:dyDescent="0.2">
      <c r="A36" s="3" t="str">
        <f t="shared" si="0"/>
        <v>12</v>
      </c>
      <c r="B36">
        <v>18</v>
      </c>
      <c r="C36">
        <v>18</v>
      </c>
      <c r="E36">
        <v>1</v>
      </c>
      <c r="G36" t="s">
        <v>23</v>
      </c>
    </row>
    <row r="37" spans="1:11" x14ac:dyDescent="0.2">
      <c r="A37" s="3" t="str">
        <f t="shared" si="0"/>
        <v>13</v>
      </c>
      <c r="B37">
        <v>19</v>
      </c>
      <c r="C37">
        <v>19</v>
      </c>
      <c r="E37">
        <v>2</v>
      </c>
      <c r="G37" t="s">
        <v>24</v>
      </c>
    </row>
    <row r="38" spans="1:11" x14ac:dyDescent="0.2">
      <c r="A38" s="3" t="str">
        <f t="shared" si="0"/>
        <v>14</v>
      </c>
      <c r="B38">
        <v>20</v>
      </c>
      <c r="C38">
        <v>20</v>
      </c>
      <c r="E38">
        <v>3</v>
      </c>
      <c r="G38" t="s">
        <v>75</v>
      </c>
      <c r="K38" s="5" t="s">
        <v>143</v>
      </c>
    </row>
    <row r="39" spans="1:11" x14ac:dyDescent="0.2">
      <c r="A39" s="3" t="str">
        <f t="shared" si="0"/>
        <v>15</v>
      </c>
      <c r="B39">
        <v>21</v>
      </c>
      <c r="C39">
        <v>21</v>
      </c>
      <c r="E39">
        <v>4</v>
      </c>
    </row>
    <row r="40" spans="1:11" x14ac:dyDescent="0.2">
      <c r="A40" s="3" t="str">
        <f t="shared" si="0"/>
        <v>16</v>
      </c>
      <c r="B40">
        <v>22</v>
      </c>
      <c r="C40">
        <v>22</v>
      </c>
      <c r="E40">
        <v>5</v>
      </c>
      <c r="K40" t="s">
        <v>92</v>
      </c>
    </row>
    <row r="41" spans="1:11" x14ac:dyDescent="0.2">
      <c r="A41" s="3" t="str">
        <f t="shared" si="0"/>
        <v>17</v>
      </c>
      <c r="B41">
        <v>23</v>
      </c>
      <c r="C41">
        <v>23</v>
      </c>
      <c r="E41">
        <v>6</v>
      </c>
      <c r="K41" t="s">
        <v>94</v>
      </c>
    </row>
    <row r="42" spans="1:11" x14ac:dyDescent="0.2">
      <c r="A42" s="3" t="str">
        <f t="shared" si="0"/>
        <v>18</v>
      </c>
      <c r="B42">
        <v>24</v>
      </c>
      <c r="C42">
        <v>24</v>
      </c>
      <c r="E42">
        <v>7</v>
      </c>
      <c r="G42" t="s">
        <v>278</v>
      </c>
      <c r="K42" t="s">
        <v>93</v>
      </c>
    </row>
    <row r="43" spans="1:11" x14ac:dyDescent="0.2">
      <c r="A43" s="3" t="str">
        <f t="shared" si="0"/>
        <v>19</v>
      </c>
      <c r="B43">
        <v>25</v>
      </c>
      <c r="C43">
        <v>25</v>
      </c>
      <c r="E43">
        <v>8</v>
      </c>
      <c r="G43" t="s">
        <v>279</v>
      </c>
    </row>
    <row r="44" spans="1:11" x14ac:dyDescent="0.2">
      <c r="A44" s="3" t="str">
        <f t="shared" si="0"/>
        <v>1A</v>
      </c>
      <c r="B44">
        <v>26</v>
      </c>
      <c r="C44">
        <v>26</v>
      </c>
      <c r="E44">
        <v>9</v>
      </c>
      <c r="K44" t="s">
        <v>117</v>
      </c>
    </row>
    <row r="45" spans="1:11" x14ac:dyDescent="0.2">
      <c r="A45" s="3" t="str">
        <f t="shared" si="0"/>
        <v>1B</v>
      </c>
      <c r="B45">
        <v>27</v>
      </c>
      <c r="C45">
        <v>27</v>
      </c>
      <c r="E45">
        <v>10</v>
      </c>
    </row>
    <row r="46" spans="1:11" x14ac:dyDescent="0.2">
      <c r="A46" s="3" t="str">
        <f t="shared" si="0"/>
        <v>1C</v>
      </c>
      <c r="B46">
        <v>28</v>
      </c>
      <c r="C46">
        <v>28</v>
      </c>
      <c r="E46">
        <v>11</v>
      </c>
      <c r="K46" t="s">
        <v>141</v>
      </c>
    </row>
    <row r="47" spans="1:11" x14ac:dyDescent="0.2">
      <c r="A47" s="3" t="str">
        <f t="shared" si="0"/>
        <v>1D</v>
      </c>
      <c r="B47">
        <v>29</v>
      </c>
      <c r="C47">
        <v>29</v>
      </c>
      <c r="E47">
        <v>12</v>
      </c>
    </row>
    <row r="48" spans="1:11" x14ac:dyDescent="0.2">
      <c r="A48" s="3" t="str">
        <f t="shared" si="0"/>
        <v>1E</v>
      </c>
      <c r="B48">
        <v>30</v>
      </c>
      <c r="C48">
        <v>30</v>
      </c>
      <c r="E48">
        <v>13</v>
      </c>
      <c r="G48" t="s">
        <v>282</v>
      </c>
      <c r="K48" t="s">
        <v>104</v>
      </c>
    </row>
    <row r="49" spans="1:11" x14ac:dyDescent="0.2">
      <c r="A49" s="3" t="str">
        <f t="shared" si="0"/>
        <v>1F</v>
      </c>
      <c r="B49">
        <v>31</v>
      </c>
      <c r="C49">
        <v>31</v>
      </c>
      <c r="E49">
        <v>14</v>
      </c>
      <c r="G49" t="s">
        <v>283</v>
      </c>
      <c r="K49" t="s">
        <v>105</v>
      </c>
    </row>
    <row r="50" spans="1:11" x14ac:dyDescent="0.2">
      <c r="A50" s="3" t="str">
        <f t="shared" si="0"/>
        <v>20</v>
      </c>
      <c r="B50">
        <v>32</v>
      </c>
      <c r="C50">
        <v>32</v>
      </c>
      <c r="E50">
        <v>15</v>
      </c>
      <c r="K50" t="s">
        <v>106</v>
      </c>
    </row>
    <row r="51" spans="1:11" x14ac:dyDescent="0.2">
      <c r="A51" s="3" t="str">
        <f t="shared" si="0"/>
        <v>21</v>
      </c>
      <c r="B51">
        <v>33</v>
      </c>
      <c r="C51">
        <v>33</v>
      </c>
      <c r="K51" t="s">
        <v>107</v>
      </c>
    </row>
    <row r="52" spans="1:11" x14ac:dyDescent="0.2">
      <c r="A52" s="3" t="str">
        <f t="shared" si="0"/>
        <v>22</v>
      </c>
      <c r="B52">
        <v>34</v>
      </c>
      <c r="C52">
        <v>34</v>
      </c>
    </row>
    <row r="53" spans="1:11" x14ac:dyDescent="0.2">
      <c r="A53" s="3" t="str">
        <f t="shared" si="0"/>
        <v>23</v>
      </c>
      <c r="B53">
        <v>35</v>
      </c>
      <c r="C53">
        <v>35</v>
      </c>
      <c r="G53" t="s">
        <v>296</v>
      </c>
    </row>
    <row r="54" spans="1:11" x14ac:dyDescent="0.2">
      <c r="A54" s="3" t="str">
        <f t="shared" si="0"/>
        <v>24</v>
      </c>
      <c r="B54">
        <v>36</v>
      </c>
      <c r="C54">
        <v>36</v>
      </c>
    </row>
    <row r="55" spans="1:11" x14ac:dyDescent="0.2">
      <c r="A55" s="3" t="str">
        <f t="shared" si="0"/>
        <v>25</v>
      </c>
      <c r="B55">
        <v>37</v>
      </c>
      <c r="C55">
        <v>37</v>
      </c>
      <c r="K55" t="s">
        <v>120</v>
      </c>
    </row>
    <row r="56" spans="1:11" x14ac:dyDescent="0.2">
      <c r="A56" s="3" t="str">
        <f t="shared" si="0"/>
        <v>26</v>
      </c>
      <c r="B56">
        <v>38</v>
      </c>
      <c r="C56">
        <v>38</v>
      </c>
      <c r="K56" t="s">
        <v>121</v>
      </c>
    </row>
    <row r="57" spans="1:11" x14ac:dyDescent="0.2">
      <c r="A57" s="3" t="str">
        <f t="shared" si="0"/>
        <v>27</v>
      </c>
      <c r="B57">
        <v>39</v>
      </c>
      <c r="C57">
        <v>39</v>
      </c>
      <c r="E57" t="s">
        <v>305</v>
      </c>
      <c r="K57" t="s">
        <v>122</v>
      </c>
    </row>
    <row r="58" spans="1:11" x14ac:dyDescent="0.2">
      <c r="A58" s="3" t="str">
        <f t="shared" si="0"/>
        <v>28</v>
      </c>
      <c r="B58">
        <v>40</v>
      </c>
      <c r="C58">
        <v>40</v>
      </c>
      <c r="E58" t="s">
        <v>306</v>
      </c>
      <c r="K58" t="s">
        <v>123</v>
      </c>
    </row>
    <row r="59" spans="1:11" x14ac:dyDescent="0.2">
      <c r="A59" s="3" t="str">
        <f t="shared" si="0"/>
        <v>29</v>
      </c>
      <c r="B59">
        <v>41</v>
      </c>
      <c r="C59">
        <v>41</v>
      </c>
      <c r="K59" t="s">
        <v>124</v>
      </c>
    </row>
    <row r="60" spans="1:11" x14ac:dyDescent="0.2">
      <c r="A60" s="3" t="str">
        <f t="shared" si="0"/>
        <v>2A</v>
      </c>
      <c r="B60">
        <v>42</v>
      </c>
      <c r="C60">
        <v>42</v>
      </c>
      <c r="K60" t="s">
        <v>125</v>
      </c>
    </row>
    <row r="61" spans="1:11" x14ac:dyDescent="0.2">
      <c r="A61" s="3" t="str">
        <f t="shared" si="0"/>
        <v>2B</v>
      </c>
      <c r="B61">
        <v>43</v>
      </c>
      <c r="C61">
        <v>43</v>
      </c>
      <c r="E61" t="s">
        <v>308</v>
      </c>
    </row>
    <row r="62" spans="1:11" x14ac:dyDescent="0.2">
      <c r="A62" s="3" t="str">
        <f t="shared" si="0"/>
        <v>2C</v>
      </c>
      <c r="B62">
        <v>44</v>
      </c>
      <c r="C62">
        <v>44</v>
      </c>
      <c r="E62" t="s">
        <v>307</v>
      </c>
      <c r="K62" t="s">
        <v>144</v>
      </c>
    </row>
    <row r="63" spans="1:11" x14ac:dyDescent="0.2">
      <c r="A63" s="3" t="str">
        <f t="shared" si="0"/>
        <v>2D</v>
      </c>
      <c r="B63">
        <v>45</v>
      </c>
      <c r="C63">
        <v>45</v>
      </c>
    </row>
    <row r="64" spans="1:11" x14ac:dyDescent="0.2">
      <c r="A64" s="3" t="str">
        <f t="shared" si="0"/>
        <v>2E</v>
      </c>
      <c r="B64">
        <v>46</v>
      </c>
      <c r="C64">
        <v>46</v>
      </c>
      <c r="K64" t="s">
        <v>148</v>
      </c>
    </row>
    <row r="65" spans="1:11" x14ac:dyDescent="0.2">
      <c r="A65" s="3" t="str">
        <f t="shared" si="0"/>
        <v>2F</v>
      </c>
      <c r="B65">
        <v>47</v>
      </c>
      <c r="C65">
        <v>47</v>
      </c>
      <c r="K65" t="s">
        <v>147</v>
      </c>
    </row>
    <row r="66" spans="1:11" x14ac:dyDescent="0.2">
      <c r="A66" s="3" t="str">
        <f t="shared" si="0"/>
        <v>30</v>
      </c>
      <c r="B66">
        <v>48</v>
      </c>
      <c r="C66">
        <v>48</v>
      </c>
    </row>
    <row r="67" spans="1:11" x14ac:dyDescent="0.2">
      <c r="A67" s="3" t="str">
        <f t="shared" si="0"/>
        <v>31</v>
      </c>
      <c r="B67">
        <v>49</v>
      </c>
      <c r="C67">
        <v>49</v>
      </c>
    </row>
    <row r="68" spans="1:11" x14ac:dyDescent="0.2">
      <c r="A68" s="3" t="str">
        <f t="shared" si="0"/>
        <v>32</v>
      </c>
      <c r="B68">
        <v>50</v>
      </c>
      <c r="C68">
        <v>50</v>
      </c>
      <c r="G68" s="1" t="s">
        <v>84</v>
      </c>
      <c r="K68" t="s">
        <v>152</v>
      </c>
    </row>
    <row r="69" spans="1:11" x14ac:dyDescent="0.2">
      <c r="A69" s="3" t="str">
        <f t="shared" si="0"/>
        <v>33</v>
      </c>
      <c r="B69">
        <v>51</v>
      </c>
      <c r="C69">
        <v>51</v>
      </c>
      <c r="G69" s="1" t="s">
        <v>155</v>
      </c>
      <c r="K69" t="s">
        <v>153</v>
      </c>
    </row>
    <row r="70" spans="1:11" x14ac:dyDescent="0.2">
      <c r="A70" s="3" t="str">
        <f t="shared" si="0"/>
        <v>34</v>
      </c>
      <c r="B70">
        <v>52</v>
      </c>
      <c r="C70">
        <v>52</v>
      </c>
      <c r="G70" s="1" t="s">
        <v>2</v>
      </c>
      <c r="K70" t="s">
        <v>313</v>
      </c>
    </row>
    <row r="71" spans="1:11" x14ac:dyDescent="0.2">
      <c r="A71" s="3" t="str">
        <f t="shared" si="0"/>
        <v>35</v>
      </c>
      <c r="B71">
        <v>53</v>
      </c>
      <c r="C71">
        <v>53</v>
      </c>
      <c r="G71" s="1" t="s">
        <v>156</v>
      </c>
      <c r="K71" t="s">
        <v>154</v>
      </c>
    </row>
    <row r="72" spans="1:11" x14ac:dyDescent="0.2">
      <c r="A72" s="3" t="str">
        <f t="shared" si="0"/>
        <v>36</v>
      </c>
      <c r="B72">
        <v>54</v>
      </c>
      <c r="C72">
        <v>54</v>
      </c>
    </row>
    <row r="73" spans="1:11" x14ac:dyDescent="0.2">
      <c r="A73" s="3" t="str">
        <f t="shared" si="0"/>
        <v>37</v>
      </c>
      <c r="B73">
        <v>55</v>
      </c>
      <c r="C73">
        <v>55</v>
      </c>
    </row>
    <row r="74" spans="1:11" x14ac:dyDescent="0.2">
      <c r="A74" s="3" t="str">
        <f t="shared" si="0"/>
        <v>38</v>
      </c>
      <c r="B74">
        <v>56</v>
      </c>
      <c r="C74">
        <v>56</v>
      </c>
    </row>
    <row r="75" spans="1:11" x14ac:dyDescent="0.2">
      <c r="A75" s="3" t="str">
        <f t="shared" si="0"/>
        <v>39</v>
      </c>
      <c r="B75">
        <v>57</v>
      </c>
      <c r="C75">
        <v>57</v>
      </c>
      <c r="G75">
        <v>10</v>
      </c>
    </row>
    <row r="76" spans="1:11" x14ac:dyDescent="0.2">
      <c r="A76" s="3" t="str">
        <f t="shared" si="0"/>
        <v>3A</v>
      </c>
      <c r="B76">
        <v>58</v>
      </c>
      <c r="C76">
        <v>58</v>
      </c>
      <c r="G76">
        <v>15</v>
      </c>
    </row>
    <row r="77" spans="1:11" x14ac:dyDescent="0.2">
      <c r="A77" s="3" t="str">
        <f t="shared" si="0"/>
        <v>3B</v>
      </c>
      <c r="B77">
        <v>59</v>
      </c>
      <c r="C77">
        <v>59</v>
      </c>
      <c r="G77">
        <v>20</v>
      </c>
    </row>
    <row r="78" spans="1:11" x14ac:dyDescent="0.2">
      <c r="A78" s="3" t="str">
        <f t="shared" si="0"/>
        <v>3C</v>
      </c>
      <c r="B78">
        <v>60</v>
      </c>
      <c r="C78">
        <v>60</v>
      </c>
      <c r="G78">
        <v>25</v>
      </c>
    </row>
    <row r="79" spans="1:11" x14ac:dyDescent="0.2">
      <c r="A79" s="3" t="str">
        <f t="shared" si="0"/>
        <v>3D</v>
      </c>
      <c r="B79">
        <v>61</v>
      </c>
      <c r="C79">
        <v>61</v>
      </c>
      <c r="G79">
        <v>30</v>
      </c>
    </row>
    <row r="80" spans="1:11" x14ac:dyDescent="0.2">
      <c r="A80" s="3" t="str">
        <f t="shared" si="0"/>
        <v>3E</v>
      </c>
      <c r="B80">
        <v>62</v>
      </c>
      <c r="C80">
        <v>62</v>
      </c>
      <c r="G80">
        <v>35</v>
      </c>
    </row>
    <row r="81" spans="1:5" x14ac:dyDescent="0.2">
      <c r="A81" s="3" t="str">
        <f t="shared" si="0"/>
        <v>3F</v>
      </c>
      <c r="B81">
        <v>63</v>
      </c>
      <c r="C81">
        <v>63</v>
      </c>
    </row>
    <row r="82" spans="1:5" x14ac:dyDescent="0.2">
      <c r="A82" s="3" t="str">
        <f t="shared" ref="A82:A145" si="1">DEC2HEX(C82,2)</f>
        <v>40</v>
      </c>
      <c r="B82">
        <v>64</v>
      </c>
      <c r="C82">
        <v>64</v>
      </c>
    </row>
    <row r="83" spans="1:5" x14ac:dyDescent="0.2">
      <c r="A83" s="3" t="str">
        <f t="shared" si="1"/>
        <v>41</v>
      </c>
      <c r="B83">
        <v>65</v>
      </c>
      <c r="C83">
        <v>65</v>
      </c>
    </row>
    <row r="84" spans="1:5" x14ac:dyDescent="0.2">
      <c r="A84" s="3" t="str">
        <f t="shared" si="1"/>
        <v>42</v>
      </c>
      <c r="B84">
        <v>66</v>
      </c>
      <c r="C84">
        <v>66</v>
      </c>
      <c r="E84" t="s">
        <v>9</v>
      </c>
    </row>
    <row r="85" spans="1:5" x14ac:dyDescent="0.2">
      <c r="A85" s="3" t="str">
        <f t="shared" si="1"/>
        <v>43</v>
      </c>
      <c r="B85">
        <v>67</v>
      </c>
      <c r="C85">
        <v>67</v>
      </c>
      <c r="E85" t="s">
        <v>10</v>
      </c>
    </row>
    <row r="86" spans="1:5" x14ac:dyDescent="0.2">
      <c r="A86" s="3" t="str">
        <f t="shared" si="1"/>
        <v>44</v>
      </c>
      <c r="B86">
        <v>68</v>
      </c>
      <c r="C86">
        <v>68</v>
      </c>
      <c r="E86" t="s">
        <v>364</v>
      </c>
    </row>
    <row r="87" spans="1:5" x14ac:dyDescent="0.2">
      <c r="A87" s="3" t="str">
        <f t="shared" si="1"/>
        <v>45</v>
      </c>
      <c r="B87">
        <v>69</v>
      </c>
      <c r="C87">
        <v>69</v>
      </c>
    </row>
    <row r="88" spans="1:5" x14ac:dyDescent="0.2">
      <c r="A88" s="3" t="str">
        <f t="shared" si="1"/>
        <v>46</v>
      </c>
      <c r="B88">
        <v>70</v>
      </c>
      <c r="C88">
        <v>70</v>
      </c>
    </row>
    <row r="89" spans="1:5" x14ac:dyDescent="0.2">
      <c r="A89" s="3" t="str">
        <f t="shared" si="1"/>
        <v>47</v>
      </c>
      <c r="B89">
        <v>71</v>
      </c>
      <c r="C89">
        <v>71</v>
      </c>
    </row>
    <row r="90" spans="1:5" x14ac:dyDescent="0.2">
      <c r="A90" s="3" t="str">
        <f t="shared" si="1"/>
        <v>48</v>
      </c>
      <c r="B90">
        <v>72</v>
      </c>
      <c r="C90">
        <v>72</v>
      </c>
    </row>
    <row r="91" spans="1:5" x14ac:dyDescent="0.2">
      <c r="A91" s="3" t="str">
        <f t="shared" si="1"/>
        <v>49</v>
      </c>
      <c r="B91">
        <v>73</v>
      </c>
      <c r="C91">
        <v>73</v>
      </c>
      <c r="E91" s="1" t="s">
        <v>412</v>
      </c>
    </row>
    <row r="92" spans="1:5" x14ac:dyDescent="0.2">
      <c r="A92" s="3" t="str">
        <f t="shared" si="1"/>
        <v>4A</v>
      </c>
      <c r="B92">
        <v>74</v>
      </c>
      <c r="C92">
        <v>74</v>
      </c>
      <c r="E92" t="s">
        <v>413</v>
      </c>
    </row>
    <row r="93" spans="1:5" x14ac:dyDescent="0.2">
      <c r="A93" s="3" t="str">
        <f t="shared" si="1"/>
        <v>4B</v>
      </c>
      <c r="B93">
        <v>75</v>
      </c>
      <c r="C93">
        <v>75</v>
      </c>
    </row>
    <row r="94" spans="1:5" x14ac:dyDescent="0.2">
      <c r="A94" s="3" t="str">
        <f t="shared" si="1"/>
        <v>4C</v>
      </c>
      <c r="B94">
        <v>76</v>
      </c>
      <c r="C94">
        <v>76</v>
      </c>
    </row>
    <row r="95" spans="1:5" x14ac:dyDescent="0.2">
      <c r="A95" s="3" t="str">
        <f t="shared" si="1"/>
        <v>4D</v>
      </c>
      <c r="B95">
        <v>77</v>
      </c>
      <c r="C95">
        <v>77</v>
      </c>
    </row>
    <row r="96" spans="1:5" x14ac:dyDescent="0.2">
      <c r="A96" s="3" t="str">
        <f t="shared" si="1"/>
        <v>4E</v>
      </c>
      <c r="B96">
        <v>78</v>
      </c>
      <c r="C96">
        <v>78</v>
      </c>
    </row>
    <row r="97" spans="1:3" x14ac:dyDescent="0.2">
      <c r="A97" s="3" t="str">
        <f t="shared" si="1"/>
        <v>4F</v>
      </c>
      <c r="B97">
        <v>79</v>
      </c>
      <c r="C97">
        <v>79</v>
      </c>
    </row>
    <row r="98" spans="1:3" x14ac:dyDescent="0.2">
      <c r="A98" s="3" t="str">
        <f t="shared" si="1"/>
        <v>50</v>
      </c>
      <c r="B98">
        <v>80</v>
      </c>
      <c r="C98">
        <v>80</v>
      </c>
    </row>
    <row r="99" spans="1:3" x14ac:dyDescent="0.2">
      <c r="A99" s="3" t="str">
        <f t="shared" si="1"/>
        <v>51</v>
      </c>
      <c r="B99">
        <v>81</v>
      </c>
      <c r="C99">
        <v>81</v>
      </c>
    </row>
    <row r="100" spans="1:3" x14ac:dyDescent="0.2">
      <c r="A100" s="3" t="str">
        <f t="shared" si="1"/>
        <v>52</v>
      </c>
      <c r="B100">
        <v>82</v>
      </c>
      <c r="C100">
        <v>82</v>
      </c>
    </row>
    <row r="101" spans="1:3" x14ac:dyDescent="0.2">
      <c r="A101" s="3" t="str">
        <f t="shared" si="1"/>
        <v>53</v>
      </c>
      <c r="B101">
        <v>83</v>
      </c>
      <c r="C101">
        <v>83</v>
      </c>
    </row>
    <row r="102" spans="1:3" x14ac:dyDescent="0.2">
      <c r="A102" s="3" t="str">
        <f t="shared" si="1"/>
        <v>54</v>
      </c>
      <c r="B102">
        <v>84</v>
      </c>
      <c r="C102">
        <v>84</v>
      </c>
    </row>
    <row r="103" spans="1:3" x14ac:dyDescent="0.2">
      <c r="A103" s="3" t="str">
        <f t="shared" si="1"/>
        <v>55</v>
      </c>
      <c r="B103">
        <v>85</v>
      </c>
      <c r="C103">
        <v>85</v>
      </c>
    </row>
    <row r="104" spans="1:3" x14ac:dyDescent="0.2">
      <c r="A104" s="3" t="str">
        <f t="shared" si="1"/>
        <v>56</v>
      </c>
      <c r="B104">
        <v>86</v>
      </c>
      <c r="C104">
        <v>86</v>
      </c>
    </row>
    <row r="105" spans="1:3" x14ac:dyDescent="0.2">
      <c r="A105" s="3" t="str">
        <f t="shared" si="1"/>
        <v>57</v>
      </c>
      <c r="B105">
        <v>87</v>
      </c>
      <c r="C105">
        <v>87</v>
      </c>
    </row>
    <row r="106" spans="1:3" x14ac:dyDescent="0.2">
      <c r="A106" s="3" t="str">
        <f t="shared" si="1"/>
        <v>58</v>
      </c>
      <c r="B106">
        <v>88</v>
      </c>
      <c r="C106">
        <v>88</v>
      </c>
    </row>
    <row r="107" spans="1:3" x14ac:dyDescent="0.2">
      <c r="A107" s="3" t="str">
        <f t="shared" si="1"/>
        <v>59</v>
      </c>
      <c r="B107">
        <v>89</v>
      </c>
      <c r="C107">
        <v>89</v>
      </c>
    </row>
    <row r="108" spans="1:3" x14ac:dyDescent="0.2">
      <c r="A108" s="3" t="str">
        <f t="shared" si="1"/>
        <v>5A</v>
      </c>
      <c r="B108">
        <v>90</v>
      </c>
      <c r="C108">
        <v>90</v>
      </c>
    </row>
    <row r="109" spans="1:3" x14ac:dyDescent="0.2">
      <c r="A109" s="3" t="str">
        <f t="shared" si="1"/>
        <v>5B</v>
      </c>
      <c r="B109">
        <v>91</v>
      </c>
      <c r="C109">
        <v>91</v>
      </c>
    </row>
    <row r="110" spans="1:3" x14ac:dyDescent="0.2">
      <c r="A110" s="3" t="str">
        <f t="shared" si="1"/>
        <v>5C</v>
      </c>
      <c r="B110">
        <v>92</v>
      </c>
      <c r="C110">
        <v>92</v>
      </c>
    </row>
    <row r="111" spans="1:3" x14ac:dyDescent="0.2">
      <c r="A111" s="3" t="str">
        <f t="shared" si="1"/>
        <v>5D</v>
      </c>
      <c r="B111">
        <v>93</v>
      </c>
      <c r="C111">
        <v>93</v>
      </c>
    </row>
    <row r="112" spans="1:3" x14ac:dyDescent="0.2">
      <c r="A112" s="3" t="str">
        <f t="shared" si="1"/>
        <v>5E</v>
      </c>
      <c r="B112">
        <v>94</v>
      </c>
      <c r="C112">
        <v>94</v>
      </c>
    </row>
    <row r="113" spans="1:3" x14ac:dyDescent="0.2">
      <c r="A113" s="3" t="str">
        <f t="shared" si="1"/>
        <v>5F</v>
      </c>
      <c r="B113">
        <v>95</v>
      </c>
      <c r="C113">
        <v>95</v>
      </c>
    </row>
    <row r="114" spans="1:3" x14ac:dyDescent="0.2">
      <c r="A114" s="3" t="str">
        <f t="shared" si="1"/>
        <v>60</v>
      </c>
      <c r="B114">
        <v>96</v>
      </c>
      <c r="C114">
        <v>96</v>
      </c>
    </row>
    <row r="115" spans="1:3" x14ac:dyDescent="0.2">
      <c r="A115" s="3" t="str">
        <f t="shared" si="1"/>
        <v>61</v>
      </c>
      <c r="B115">
        <v>97</v>
      </c>
      <c r="C115">
        <v>97</v>
      </c>
    </row>
    <row r="116" spans="1:3" x14ac:dyDescent="0.2">
      <c r="A116" s="3" t="str">
        <f t="shared" si="1"/>
        <v>62</v>
      </c>
      <c r="B116">
        <v>98</v>
      </c>
      <c r="C116">
        <v>98</v>
      </c>
    </row>
    <row r="117" spans="1:3" x14ac:dyDescent="0.2">
      <c r="A117" s="3" t="str">
        <f t="shared" si="1"/>
        <v>63</v>
      </c>
      <c r="B117">
        <v>99</v>
      </c>
      <c r="C117">
        <v>99</v>
      </c>
    </row>
    <row r="118" spans="1:3" x14ac:dyDescent="0.2">
      <c r="A118" s="3" t="str">
        <f t="shared" si="1"/>
        <v>64</v>
      </c>
      <c r="B118">
        <v>100</v>
      </c>
      <c r="C118">
        <v>100</v>
      </c>
    </row>
    <row r="119" spans="1:3" x14ac:dyDescent="0.2">
      <c r="A119" s="3" t="str">
        <f t="shared" si="1"/>
        <v>65</v>
      </c>
      <c r="B119">
        <v>101</v>
      </c>
      <c r="C119">
        <v>101</v>
      </c>
    </row>
    <row r="120" spans="1:3" x14ac:dyDescent="0.2">
      <c r="A120" s="3" t="str">
        <f t="shared" si="1"/>
        <v>66</v>
      </c>
      <c r="B120">
        <v>102</v>
      </c>
      <c r="C120">
        <v>102</v>
      </c>
    </row>
    <row r="121" spans="1:3" x14ac:dyDescent="0.2">
      <c r="A121" s="3" t="str">
        <f t="shared" si="1"/>
        <v>67</v>
      </c>
      <c r="B121">
        <v>103</v>
      </c>
      <c r="C121">
        <v>103</v>
      </c>
    </row>
    <row r="122" spans="1:3" x14ac:dyDescent="0.2">
      <c r="A122" s="3" t="str">
        <f t="shared" si="1"/>
        <v>68</v>
      </c>
      <c r="B122">
        <v>104</v>
      </c>
      <c r="C122">
        <v>104</v>
      </c>
    </row>
    <row r="123" spans="1:3" x14ac:dyDescent="0.2">
      <c r="A123" s="3" t="str">
        <f t="shared" si="1"/>
        <v>69</v>
      </c>
      <c r="B123">
        <v>105</v>
      </c>
      <c r="C123">
        <v>105</v>
      </c>
    </row>
    <row r="124" spans="1:3" x14ac:dyDescent="0.2">
      <c r="A124" s="3" t="str">
        <f t="shared" si="1"/>
        <v>6A</v>
      </c>
      <c r="B124">
        <v>106</v>
      </c>
      <c r="C124">
        <v>106</v>
      </c>
    </row>
    <row r="125" spans="1:3" x14ac:dyDescent="0.2">
      <c r="A125" s="3" t="str">
        <f t="shared" si="1"/>
        <v>6B</v>
      </c>
      <c r="B125">
        <v>107</v>
      </c>
      <c r="C125">
        <v>107</v>
      </c>
    </row>
    <row r="126" spans="1:3" x14ac:dyDescent="0.2">
      <c r="A126" s="3" t="str">
        <f t="shared" si="1"/>
        <v>6C</v>
      </c>
      <c r="B126">
        <v>108</v>
      </c>
      <c r="C126">
        <v>108</v>
      </c>
    </row>
    <row r="127" spans="1:3" x14ac:dyDescent="0.2">
      <c r="A127" s="3" t="str">
        <f t="shared" si="1"/>
        <v>6D</v>
      </c>
      <c r="B127">
        <v>109</v>
      </c>
      <c r="C127">
        <v>109</v>
      </c>
    </row>
    <row r="128" spans="1:3" x14ac:dyDescent="0.2">
      <c r="A128" s="3" t="str">
        <f t="shared" si="1"/>
        <v>6E</v>
      </c>
      <c r="B128">
        <v>110</v>
      </c>
      <c r="C128">
        <v>110</v>
      </c>
    </row>
    <row r="129" spans="1:3" x14ac:dyDescent="0.2">
      <c r="A129" s="3" t="str">
        <f t="shared" si="1"/>
        <v>6F</v>
      </c>
      <c r="B129">
        <v>111</v>
      </c>
      <c r="C129">
        <v>111</v>
      </c>
    </row>
    <row r="130" spans="1:3" x14ac:dyDescent="0.2">
      <c r="A130" s="3" t="str">
        <f t="shared" si="1"/>
        <v>70</v>
      </c>
      <c r="B130">
        <v>112</v>
      </c>
      <c r="C130">
        <v>112</v>
      </c>
    </row>
    <row r="131" spans="1:3" x14ac:dyDescent="0.2">
      <c r="A131" s="3" t="str">
        <f t="shared" si="1"/>
        <v>71</v>
      </c>
      <c r="B131">
        <v>113</v>
      </c>
      <c r="C131">
        <v>113</v>
      </c>
    </row>
    <row r="132" spans="1:3" x14ac:dyDescent="0.2">
      <c r="A132" s="3" t="str">
        <f t="shared" si="1"/>
        <v>72</v>
      </c>
      <c r="B132">
        <v>114</v>
      </c>
      <c r="C132">
        <v>114</v>
      </c>
    </row>
    <row r="133" spans="1:3" x14ac:dyDescent="0.2">
      <c r="A133" s="3" t="str">
        <f t="shared" si="1"/>
        <v>73</v>
      </c>
      <c r="B133">
        <v>115</v>
      </c>
      <c r="C133">
        <v>115</v>
      </c>
    </row>
    <row r="134" spans="1:3" x14ac:dyDescent="0.2">
      <c r="A134" s="3" t="str">
        <f t="shared" si="1"/>
        <v>74</v>
      </c>
      <c r="B134">
        <v>116</v>
      </c>
      <c r="C134">
        <v>116</v>
      </c>
    </row>
    <row r="135" spans="1:3" x14ac:dyDescent="0.2">
      <c r="A135" s="3" t="str">
        <f t="shared" si="1"/>
        <v>75</v>
      </c>
      <c r="B135">
        <v>117</v>
      </c>
      <c r="C135">
        <v>117</v>
      </c>
    </row>
    <row r="136" spans="1:3" x14ac:dyDescent="0.2">
      <c r="A136" s="3" t="str">
        <f t="shared" si="1"/>
        <v>76</v>
      </c>
      <c r="B136">
        <v>118</v>
      </c>
      <c r="C136">
        <v>118</v>
      </c>
    </row>
    <row r="137" spans="1:3" x14ac:dyDescent="0.2">
      <c r="A137" s="3" t="str">
        <f t="shared" si="1"/>
        <v>77</v>
      </c>
      <c r="B137">
        <v>119</v>
      </c>
      <c r="C137">
        <v>119</v>
      </c>
    </row>
    <row r="138" spans="1:3" x14ac:dyDescent="0.2">
      <c r="A138" s="3" t="str">
        <f t="shared" si="1"/>
        <v>78</v>
      </c>
      <c r="B138">
        <v>120</v>
      </c>
      <c r="C138">
        <v>120</v>
      </c>
    </row>
    <row r="139" spans="1:3" x14ac:dyDescent="0.2">
      <c r="A139" s="3" t="str">
        <f t="shared" si="1"/>
        <v>79</v>
      </c>
      <c r="B139">
        <v>121</v>
      </c>
      <c r="C139">
        <v>121</v>
      </c>
    </row>
    <row r="140" spans="1:3" x14ac:dyDescent="0.2">
      <c r="A140" s="3" t="str">
        <f t="shared" si="1"/>
        <v>7A</v>
      </c>
      <c r="B140">
        <v>122</v>
      </c>
      <c r="C140">
        <v>122</v>
      </c>
    </row>
    <row r="141" spans="1:3" x14ac:dyDescent="0.2">
      <c r="A141" s="3" t="str">
        <f t="shared" si="1"/>
        <v>7B</v>
      </c>
      <c r="B141">
        <v>123</v>
      </c>
      <c r="C141">
        <v>123</v>
      </c>
    </row>
    <row r="142" spans="1:3" x14ac:dyDescent="0.2">
      <c r="A142" s="3" t="str">
        <f t="shared" si="1"/>
        <v>7C</v>
      </c>
      <c r="B142">
        <v>124</v>
      </c>
      <c r="C142">
        <v>124</v>
      </c>
    </row>
    <row r="143" spans="1:3" x14ac:dyDescent="0.2">
      <c r="A143" s="3" t="str">
        <f t="shared" si="1"/>
        <v>7D</v>
      </c>
      <c r="B143">
        <v>125</v>
      </c>
      <c r="C143">
        <v>125</v>
      </c>
    </row>
    <row r="144" spans="1:3" x14ac:dyDescent="0.2">
      <c r="A144" s="3" t="str">
        <f t="shared" si="1"/>
        <v>7E</v>
      </c>
      <c r="B144">
        <v>126</v>
      </c>
      <c r="C144">
        <v>126</v>
      </c>
    </row>
    <row r="145" spans="1:3" x14ac:dyDescent="0.2">
      <c r="A145" s="3" t="str">
        <f t="shared" si="1"/>
        <v>7F</v>
      </c>
      <c r="B145">
        <v>127</v>
      </c>
      <c r="C145">
        <v>127</v>
      </c>
    </row>
    <row r="146" spans="1:3" x14ac:dyDescent="0.2">
      <c r="A146" s="3" t="str">
        <f t="shared" ref="A146:A209" si="2">DEC2HEX(C146,2)</f>
        <v>80</v>
      </c>
      <c r="B146">
        <v>128</v>
      </c>
      <c r="C146">
        <v>128</v>
      </c>
    </row>
    <row r="147" spans="1:3" x14ac:dyDescent="0.2">
      <c r="A147" s="3" t="str">
        <f t="shared" si="2"/>
        <v>81</v>
      </c>
      <c r="B147">
        <v>129</v>
      </c>
      <c r="C147">
        <v>129</v>
      </c>
    </row>
    <row r="148" spans="1:3" x14ac:dyDescent="0.2">
      <c r="A148" s="3" t="str">
        <f t="shared" si="2"/>
        <v>82</v>
      </c>
      <c r="B148">
        <v>130</v>
      </c>
      <c r="C148">
        <v>130</v>
      </c>
    </row>
    <row r="149" spans="1:3" x14ac:dyDescent="0.2">
      <c r="A149" s="3" t="str">
        <f t="shared" si="2"/>
        <v>83</v>
      </c>
      <c r="B149">
        <v>131</v>
      </c>
      <c r="C149">
        <v>131</v>
      </c>
    </row>
    <row r="150" spans="1:3" x14ac:dyDescent="0.2">
      <c r="A150" s="3" t="str">
        <f t="shared" si="2"/>
        <v>84</v>
      </c>
      <c r="B150">
        <v>132</v>
      </c>
      <c r="C150">
        <v>132</v>
      </c>
    </row>
    <row r="151" spans="1:3" x14ac:dyDescent="0.2">
      <c r="A151" s="3" t="str">
        <f t="shared" si="2"/>
        <v>85</v>
      </c>
      <c r="B151">
        <v>133</v>
      </c>
      <c r="C151">
        <v>133</v>
      </c>
    </row>
    <row r="152" spans="1:3" x14ac:dyDescent="0.2">
      <c r="A152" s="3" t="str">
        <f t="shared" si="2"/>
        <v>86</v>
      </c>
      <c r="B152">
        <v>134</v>
      </c>
      <c r="C152">
        <v>134</v>
      </c>
    </row>
    <row r="153" spans="1:3" x14ac:dyDescent="0.2">
      <c r="A153" s="3" t="str">
        <f t="shared" si="2"/>
        <v>87</v>
      </c>
      <c r="B153">
        <v>135</v>
      </c>
      <c r="C153">
        <v>135</v>
      </c>
    </row>
    <row r="154" spans="1:3" x14ac:dyDescent="0.2">
      <c r="A154" s="3" t="str">
        <f t="shared" si="2"/>
        <v>88</v>
      </c>
      <c r="B154">
        <v>136</v>
      </c>
      <c r="C154">
        <v>136</v>
      </c>
    </row>
    <row r="155" spans="1:3" x14ac:dyDescent="0.2">
      <c r="A155" s="3" t="str">
        <f t="shared" si="2"/>
        <v>89</v>
      </c>
      <c r="B155">
        <v>137</v>
      </c>
      <c r="C155">
        <v>137</v>
      </c>
    </row>
    <row r="156" spans="1:3" x14ac:dyDescent="0.2">
      <c r="A156" s="3" t="str">
        <f t="shared" si="2"/>
        <v>8A</v>
      </c>
      <c r="B156">
        <v>138</v>
      </c>
      <c r="C156">
        <v>138</v>
      </c>
    </row>
    <row r="157" spans="1:3" x14ac:dyDescent="0.2">
      <c r="A157" s="3" t="str">
        <f t="shared" si="2"/>
        <v>8B</v>
      </c>
      <c r="B157">
        <v>139</v>
      </c>
      <c r="C157">
        <v>139</v>
      </c>
    </row>
    <row r="158" spans="1:3" x14ac:dyDescent="0.2">
      <c r="A158" s="3" t="str">
        <f t="shared" si="2"/>
        <v>8C</v>
      </c>
      <c r="B158">
        <v>140</v>
      </c>
      <c r="C158">
        <v>140</v>
      </c>
    </row>
    <row r="159" spans="1:3" x14ac:dyDescent="0.2">
      <c r="A159" s="3" t="str">
        <f t="shared" si="2"/>
        <v>8D</v>
      </c>
      <c r="B159">
        <v>141</v>
      </c>
      <c r="C159">
        <v>141</v>
      </c>
    </row>
    <row r="160" spans="1:3" x14ac:dyDescent="0.2">
      <c r="A160" s="3" t="str">
        <f t="shared" si="2"/>
        <v>8E</v>
      </c>
      <c r="B160">
        <v>142</v>
      </c>
      <c r="C160">
        <v>142</v>
      </c>
    </row>
    <row r="161" spans="1:3" x14ac:dyDescent="0.2">
      <c r="A161" s="3" t="str">
        <f t="shared" si="2"/>
        <v>8F</v>
      </c>
      <c r="B161">
        <v>143</v>
      </c>
      <c r="C161">
        <v>143</v>
      </c>
    </row>
    <row r="162" spans="1:3" x14ac:dyDescent="0.2">
      <c r="A162" s="3" t="str">
        <f t="shared" si="2"/>
        <v>90</v>
      </c>
      <c r="B162">
        <v>144</v>
      </c>
      <c r="C162">
        <v>144</v>
      </c>
    </row>
    <row r="163" spans="1:3" x14ac:dyDescent="0.2">
      <c r="A163" s="3" t="str">
        <f t="shared" si="2"/>
        <v>91</v>
      </c>
      <c r="B163">
        <v>145</v>
      </c>
      <c r="C163">
        <v>145</v>
      </c>
    </row>
    <row r="164" spans="1:3" x14ac:dyDescent="0.2">
      <c r="A164" s="3" t="str">
        <f t="shared" si="2"/>
        <v>92</v>
      </c>
      <c r="B164">
        <v>146</v>
      </c>
      <c r="C164">
        <v>146</v>
      </c>
    </row>
    <row r="165" spans="1:3" x14ac:dyDescent="0.2">
      <c r="A165" s="3" t="str">
        <f t="shared" si="2"/>
        <v>93</v>
      </c>
      <c r="B165">
        <v>147</v>
      </c>
      <c r="C165">
        <v>147</v>
      </c>
    </row>
    <row r="166" spans="1:3" x14ac:dyDescent="0.2">
      <c r="A166" s="3" t="str">
        <f t="shared" si="2"/>
        <v>94</v>
      </c>
      <c r="B166">
        <v>148</v>
      </c>
      <c r="C166">
        <v>148</v>
      </c>
    </row>
    <row r="167" spans="1:3" x14ac:dyDescent="0.2">
      <c r="A167" s="3" t="str">
        <f t="shared" si="2"/>
        <v>95</v>
      </c>
      <c r="B167">
        <v>149</v>
      </c>
      <c r="C167">
        <v>149</v>
      </c>
    </row>
    <row r="168" spans="1:3" x14ac:dyDescent="0.2">
      <c r="A168" s="3" t="str">
        <f t="shared" si="2"/>
        <v>96</v>
      </c>
      <c r="B168">
        <v>150</v>
      </c>
      <c r="C168">
        <v>150</v>
      </c>
    </row>
    <row r="169" spans="1:3" x14ac:dyDescent="0.2">
      <c r="A169" s="3" t="str">
        <f t="shared" si="2"/>
        <v>97</v>
      </c>
      <c r="B169">
        <v>151</v>
      </c>
      <c r="C169">
        <v>151</v>
      </c>
    </row>
    <row r="170" spans="1:3" x14ac:dyDescent="0.2">
      <c r="A170" s="3" t="str">
        <f t="shared" si="2"/>
        <v>98</v>
      </c>
      <c r="B170">
        <v>152</v>
      </c>
      <c r="C170">
        <v>152</v>
      </c>
    </row>
    <row r="171" spans="1:3" x14ac:dyDescent="0.2">
      <c r="A171" s="3" t="str">
        <f t="shared" si="2"/>
        <v>99</v>
      </c>
      <c r="B171">
        <v>153</v>
      </c>
      <c r="C171">
        <v>153</v>
      </c>
    </row>
    <row r="172" spans="1:3" x14ac:dyDescent="0.2">
      <c r="A172" s="3" t="str">
        <f t="shared" si="2"/>
        <v>9A</v>
      </c>
      <c r="B172">
        <v>154</v>
      </c>
      <c r="C172">
        <v>154</v>
      </c>
    </row>
    <row r="173" spans="1:3" x14ac:dyDescent="0.2">
      <c r="A173" s="3" t="str">
        <f t="shared" si="2"/>
        <v>9B</v>
      </c>
      <c r="B173">
        <v>155</v>
      </c>
      <c r="C173">
        <v>155</v>
      </c>
    </row>
    <row r="174" spans="1:3" x14ac:dyDescent="0.2">
      <c r="A174" s="3" t="str">
        <f t="shared" si="2"/>
        <v>9C</v>
      </c>
      <c r="B174">
        <v>156</v>
      </c>
      <c r="C174">
        <v>156</v>
      </c>
    </row>
    <row r="175" spans="1:3" x14ac:dyDescent="0.2">
      <c r="A175" s="3" t="str">
        <f t="shared" si="2"/>
        <v>9D</v>
      </c>
      <c r="B175">
        <v>157</v>
      </c>
      <c r="C175">
        <v>157</v>
      </c>
    </row>
    <row r="176" spans="1:3" x14ac:dyDescent="0.2">
      <c r="A176" s="3" t="str">
        <f t="shared" si="2"/>
        <v>9E</v>
      </c>
      <c r="B176">
        <v>158</v>
      </c>
      <c r="C176">
        <v>158</v>
      </c>
    </row>
    <row r="177" spans="1:3" x14ac:dyDescent="0.2">
      <c r="A177" s="3" t="str">
        <f t="shared" si="2"/>
        <v>9F</v>
      </c>
      <c r="B177">
        <v>159</v>
      </c>
      <c r="C177">
        <v>159</v>
      </c>
    </row>
    <row r="178" spans="1:3" x14ac:dyDescent="0.2">
      <c r="A178" s="3" t="str">
        <f t="shared" si="2"/>
        <v>A0</v>
      </c>
      <c r="B178">
        <v>160</v>
      </c>
      <c r="C178">
        <v>160</v>
      </c>
    </row>
    <row r="179" spans="1:3" x14ac:dyDescent="0.2">
      <c r="A179" s="3" t="str">
        <f t="shared" si="2"/>
        <v>A1</v>
      </c>
      <c r="B179">
        <v>161</v>
      </c>
      <c r="C179">
        <v>161</v>
      </c>
    </row>
    <row r="180" spans="1:3" x14ac:dyDescent="0.2">
      <c r="A180" s="3" t="str">
        <f t="shared" si="2"/>
        <v>A2</v>
      </c>
      <c r="B180">
        <v>162</v>
      </c>
      <c r="C180">
        <v>162</v>
      </c>
    </row>
    <row r="181" spans="1:3" x14ac:dyDescent="0.2">
      <c r="A181" s="3" t="str">
        <f t="shared" si="2"/>
        <v>A3</v>
      </c>
      <c r="B181">
        <v>163</v>
      </c>
      <c r="C181">
        <v>163</v>
      </c>
    </row>
    <row r="182" spans="1:3" x14ac:dyDescent="0.2">
      <c r="A182" s="3" t="str">
        <f t="shared" si="2"/>
        <v>A4</v>
      </c>
      <c r="B182">
        <v>164</v>
      </c>
      <c r="C182">
        <v>164</v>
      </c>
    </row>
    <row r="183" spans="1:3" x14ac:dyDescent="0.2">
      <c r="A183" s="3" t="str">
        <f t="shared" si="2"/>
        <v>A5</v>
      </c>
      <c r="B183">
        <v>165</v>
      </c>
      <c r="C183">
        <v>165</v>
      </c>
    </row>
    <row r="184" spans="1:3" x14ac:dyDescent="0.2">
      <c r="A184" s="3" t="str">
        <f t="shared" si="2"/>
        <v>A6</v>
      </c>
      <c r="B184">
        <v>166</v>
      </c>
      <c r="C184">
        <v>166</v>
      </c>
    </row>
    <row r="185" spans="1:3" x14ac:dyDescent="0.2">
      <c r="A185" s="3" t="str">
        <f t="shared" si="2"/>
        <v>A7</v>
      </c>
      <c r="B185">
        <v>167</v>
      </c>
      <c r="C185">
        <v>167</v>
      </c>
    </row>
    <row r="186" spans="1:3" x14ac:dyDescent="0.2">
      <c r="A186" s="3" t="str">
        <f t="shared" si="2"/>
        <v>A8</v>
      </c>
      <c r="B186">
        <v>168</v>
      </c>
      <c r="C186">
        <v>168</v>
      </c>
    </row>
    <row r="187" spans="1:3" x14ac:dyDescent="0.2">
      <c r="A187" s="3" t="str">
        <f t="shared" si="2"/>
        <v>A9</v>
      </c>
      <c r="B187">
        <v>169</v>
      </c>
      <c r="C187">
        <v>169</v>
      </c>
    </row>
    <row r="188" spans="1:3" x14ac:dyDescent="0.2">
      <c r="A188" s="3" t="str">
        <f t="shared" si="2"/>
        <v>AA</v>
      </c>
      <c r="B188">
        <v>170</v>
      </c>
      <c r="C188">
        <v>170</v>
      </c>
    </row>
    <row r="189" spans="1:3" x14ac:dyDescent="0.2">
      <c r="A189" s="3" t="str">
        <f t="shared" si="2"/>
        <v>AB</v>
      </c>
      <c r="B189">
        <v>171</v>
      </c>
      <c r="C189">
        <v>171</v>
      </c>
    </row>
    <row r="190" spans="1:3" x14ac:dyDescent="0.2">
      <c r="A190" s="3" t="str">
        <f t="shared" si="2"/>
        <v>AC</v>
      </c>
      <c r="B190">
        <v>172</v>
      </c>
      <c r="C190">
        <v>172</v>
      </c>
    </row>
    <row r="191" spans="1:3" x14ac:dyDescent="0.2">
      <c r="A191" s="3" t="str">
        <f t="shared" si="2"/>
        <v>AD</v>
      </c>
      <c r="B191">
        <v>173</v>
      </c>
      <c r="C191">
        <v>173</v>
      </c>
    </row>
    <row r="192" spans="1:3" x14ac:dyDescent="0.2">
      <c r="A192" s="3" t="str">
        <f t="shared" si="2"/>
        <v>AE</v>
      </c>
      <c r="B192">
        <v>174</v>
      </c>
      <c r="C192">
        <v>174</v>
      </c>
    </row>
    <row r="193" spans="1:3" x14ac:dyDescent="0.2">
      <c r="A193" s="3" t="str">
        <f t="shared" si="2"/>
        <v>AF</v>
      </c>
      <c r="B193">
        <v>175</v>
      </c>
      <c r="C193">
        <v>175</v>
      </c>
    </row>
    <row r="194" spans="1:3" x14ac:dyDescent="0.2">
      <c r="A194" s="3" t="str">
        <f t="shared" si="2"/>
        <v>B0</v>
      </c>
      <c r="B194">
        <v>176</v>
      </c>
      <c r="C194">
        <v>176</v>
      </c>
    </row>
    <row r="195" spans="1:3" x14ac:dyDescent="0.2">
      <c r="A195" s="3" t="str">
        <f t="shared" si="2"/>
        <v>B1</v>
      </c>
      <c r="B195">
        <v>177</v>
      </c>
      <c r="C195">
        <v>177</v>
      </c>
    </row>
    <row r="196" spans="1:3" x14ac:dyDescent="0.2">
      <c r="A196" s="3" t="str">
        <f t="shared" si="2"/>
        <v>B2</v>
      </c>
      <c r="B196">
        <v>178</v>
      </c>
      <c r="C196">
        <v>178</v>
      </c>
    </row>
    <row r="197" spans="1:3" x14ac:dyDescent="0.2">
      <c r="A197" s="3" t="str">
        <f t="shared" si="2"/>
        <v>B3</v>
      </c>
      <c r="B197">
        <v>179</v>
      </c>
      <c r="C197">
        <v>179</v>
      </c>
    </row>
    <row r="198" spans="1:3" x14ac:dyDescent="0.2">
      <c r="A198" s="3" t="str">
        <f t="shared" si="2"/>
        <v>B4</v>
      </c>
      <c r="B198">
        <v>180</v>
      </c>
      <c r="C198">
        <v>180</v>
      </c>
    </row>
    <row r="199" spans="1:3" x14ac:dyDescent="0.2">
      <c r="A199" s="3" t="str">
        <f t="shared" si="2"/>
        <v>B5</v>
      </c>
      <c r="B199">
        <v>181</v>
      </c>
      <c r="C199">
        <v>181</v>
      </c>
    </row>
    <row r="200" spans="1:3" x14ac:dyDescent="0.2">
      <c r="A200" s="3" t="str">
        <f t="shared" si="2"/>
        <v>B6</v>
      </c>
      <c r="B200">
        <v>182</v>
      </c>
      <c r="C200">
        <v>182</v>
      </c>
    </row>
    <row r="201" spans="1:3" x14ac:dyDescent="0.2">
      <c r="A201" s="3" t="str">
        <f t="shared" si="2"/>
        <v>B7</v>
      </c>
      <c r="B201">
        <v>183</v>
      </c>
      <c r="C201">
        <v>183</v>
      </c>
    </row>
    <row r="202" spans="1:3" x14ac:dyDescent="0.2">
      <c r="A202" s="3" t="str">
        <f t="shared" si="2"/>
        <v>B8</v>
      </c>
      <c r="B202">
        <v>184</v>
      </c>
      <c r="C202">
        <v>184</v>
      </c>
    </row>
    <row r="203" spans="1:3" x14ac:dyDescent="0.2">
      <c r="A203" s="3" t="str">
        <f t="shared" si="2"/>
        <v>B9</v>
      </c>
      <c r="B203">
        <v>185</v>
      </c>
      <c r="C203">
        <v>185</v>
      </c>
    </row>
    <row r="204" spans="1:3" x14ac:dyDescent="0.2">
      <c r="A204" s="3" t="str">
        <f t="shared" si="2"/>
        <v>BA</v>
      </c>
      <c r="B204">
        <v>186</v>
      </c>
      <c r="C204">
        <v>186</v>
      </c>
    </row>
    <row r="205" spans="1:3" x14ac:dyDescent="0.2">
      <c r="A205" s="3" t="str">
        <f t="shared" si="2"/>
        <v>BB</v>
      </c>
      <c r="B205">
        <v>187</v>
      </c>
      <c r="C205">
        <v>187</v>
      </c>
    </row>
    <row r="206" spans="1:3" x14ac:dyDescent="0.2">
      <c r="A206" s="3" t="str">
        <f t="shared" si="2"/>
        <v>BC</v>
      </c>
      <c r="B206">
        <v>188</v>
      </c>
      <c r="C206">
        <v>188</v>
      </c>
    </row>
    <row r="207" spans="1:3" x14ac:dyDescent="0.2">
      <c r="A207" s="3" t="str">
        <f t="shared" si="2"/>
        <v>BD</v>
      </c>
      <c r="B207">
        <v>189</v>
      </c>
      <c r="C207">
        <v>189</v>
      </c>
    </row>
    <row r="208" spans="1:3" x14ac:dyDescent="0.2">
      <c r="A208" s="3" t="str">
        <f t="shared" si="2"/>
        <v>BE</v>
      </c>
      <c r="B208">
        <v>190</v>
      </c>
      <c r="C208">
        <v>190</v>
      </c>
    </row>
    <row r="209" spans="1:3" x14ac:dyDescent="0.2">
      <c r="A209" s="3" t="str">
        <f t="shared" si="2"/>
        <v>BF</v>
      </c>
      <c r="B209">
        <v>191</v>
      </c>
      <c r="C209">
        <v>191</v>
      </c>
    </row>
    <row r="210" spans="1:3" x14ac:dyDescent="0.2">
      <c r="A210" s="3" t="str">
        <f t="shared" ref="A210:A273" si="3">DEC2HEX(C210,2)</f>
        <v>C0</v>
      </c>
      <c r="B210">
        <v>192</v>
      </c>
      <c r="C210">
        <v>192</v>
      </c>
    </row>
    <row r="211" spans="1:3" x14ac:dyDescent="0.2">
      <c r="A211" s="3" t="str">
        <f t="shared" si="3"/>
        <v>C1</v>
      </c>
      <c r="B211">
        <v>193</v>
      </c>
      <c r="C211">
        <v>193</v>
      </c>
    </row>
    <row r="212" spans="1:3" x14ac:dyDescent="0.2">
      <c r="A212" s="3" t="str">
        <f t="shared" si="3"/>
        <v>C2</v>
      </c>
      <c r="B212">
        <v>194</v>
      </c>
      <c r="C212">
        <v>194</v>
      </c>
    </row>
    <row r="213" spans="1:3" x14ac:dyDescent="0.2">
      <c r="A213" s="3" t="str">
        <f t="shared" si="3"/>
        <v>C3</v>
      </c>
      <c r="B213">
        <v>195</v>
      </c>
      <c r="C213">
        <v>195</v>
      </c>
    </row>
    <row r="214" spans="1:3" x14ac:dyDescent="0.2">
      <c r="A214" s="3" t="str">
        <f t="shared" si="3"/>
        <v>C4</v>
      </c>
      <c r="B214">
        <v>196</v>
      </c>
      <c r="C214">
        <v>196</v>
      </c>
    </row>
    <row r="215" spans="1:3" x14ac:dyDescent="0.2">
      <c r="A215" s="3" t="str">
        <f t="shared" si="3"/>
        <v>C5</v>
      </c>
      <c r="B215">
        <v>197</v>
      </c>
      <c r="C215">
        <v>197</v>
      </c>
    </row>
    <row r="216" spans="1:3" x14ac:dyDescent="0.2">
      <c r="A216" s="3" t="str">
        <f t="shared" si="3"/>
        <v>C6</v>
      </c>
      <c r="B216">
        <v>198</v>
      </c>
      <c r="C216">
        <v>198</v>
      </c>
    </row>
    <row r="217" spans="1:3" x14ac:dyDescent="0.2">
      <c r="A217" s="3" t="str">
        <f t="shared" si="3"/>
        <v>C7</v>
      </c>
      <c r="B217">
        <v>199</v>
      </c>
      <c r="C217">
        <v>199</v>
      </c>
    </row>
    <row r="218" spans="1:3" x14ac:dyDescent="0.2">
      <c r="A218" s="3" t="str">
        <f t="shared" si="3"/>
        <v>C8</v>
      </c>
      <c r="B218">
        <v>200</v>
      </c>
      <c r="C218">
        <v>200</v>
      </c>
    </row>
    <row r="219" spans="1:3" x14ac:dyDescent="0.2">
      <c r="A219" s="3" t="str">
        <f t="shared" si="3"/>
        <v>C9</v>
      </c>
      <c r="B219">
        <v>201</v>
      </c>
      <c r="C219">
        <v>201</v>
      </c>
    </row>
    <row r="220" spans="1:3" x14ac:dyDescent="0.2">
      <c r="A220" s="3" t="str">
        <f t="shared" si="3"/>
        <v>CA</v>
      </c>
      <c r="B220">
        <v>202</v>
      </c>
      <c r="C220">
        <v>202</v>
      </c>
    </row>
    <row r="221" spans="1:3" x14ac:dyDescent="0.2">
      <c r="A221" s="3" t="str">
        <f t="shared" si="3"/>
        <v>CB</v>
      </c>
      <c r="B221">
        <v>203</v>
      </c>
      <c r="C221">
        <v>203</v>
      </c>
    </row>
    <row r="222" spans="1:3" x14ac:dyDescent="0.2">
      <c r="A222" s="3" t="str">
        <f t="shared" si="3"/>
        <v>CC</v>
      </c>
      <c r="B222">
        <v>204</v>
      </c>
      <c r="C222">
        <v>204</v>
      </c>
    </row>
    <row r="223" spans="1:3" x14ac:dyDescent="0.2">
      <c r="A223" s="3" t="str">
        <f t="shared" si="3"/>
        <v>CD</v>
      </c>
      <c r="B223">
        <v>205</v>
      </c>
      <c r="C223">
        <v>205</v>
      </c>
    </row>
    <row r="224" spans="1:3" x14ac:dyDescent="0.2">
      <c r="A224" s="3" t="str">
        <f t="shared" si="3"/>
        <v>CE</v>
      </c>
      <c r="B224">
        <v>206</v>
      </c>
      <c r="C224">
        <v>206</v>
      </c>
    </row>
    <row r="225" spans="1:3" x14ac:dyDescent="0.2">
      <c r="A225" s="3" t="str">
        <f t="shared" si="3"/>
        <v>CF</v>
      </c>
      <c r="B225">
        <v>207</v>
      </c>
      <c r="C225">
        <v>207</v>
      </c>
    </row>
    <row r="226" spans="1:3" x14ac:dyDescent="0.2">
      <c r="A226" s="3" t="str">
        <f t="shared" si="3"/>
        <v>D0</v>
      </c>
      <c r="B226">
        <v>208</v>
      </c>
      <c r="C226">
        <v>208</v>
      </c>
    </row>
    <row r="227" spans="1:3" x14ac:dyDescent="0.2">
      <c r="A227" s="3" t="str">
        <f t="shared" si="3"/>
        <v>D1</v>
      </c>
      <c r="B227">
        <v>209</v>
      </c>
      <c r="C227">
        <v>209</v>
      </c>
    </row>
    <row r="228" spans="1:3" x14ac:dyDescent="0.2">
      <c r="A228" s="3" t="str">
        <f t="shared" si="3"/>
        <v>D2</v>
      </c>
      <c r="B228">
        <v>210</v>
      </c>
      <c r="C228">
        <v>210</v>
      </c>
    </row>
    <row r="229" spans="1:3" x14ac:dyDescent="0.2">
      <c r="A229" s="3" t="str">
        <f t="shared" si="3"/>
        <v>D3</v>
      </c>
      <c r="B229">
        <v>211</v>
      </c>
      <c r="C229">
        <v>211</v>
      </c>
    </row>
    <row r="230" spans="1:3" x14ac:dyDescent="0.2">
      <c r="A230" s="3" t="str">
        <f t="shared" si="3"/>
        <v>D4</v>
      </c>
      <c r="B230">
        <v>212</v>
      </c>
      <c r="C230">
        <v>212</v>
      </c>
    </row>
    <row r="231" spans="1:3" x14ac:dyDescent="0.2">
      <c r="A231" s="3" t="str">
        <f t="shared" si="3"/>
        <v>D5</v>
      </c>
      <c r="B231">
        <v>213</v>
      </c>
      <c r="C231">
        <v>213</v>
      </c>
    </row>
    <row r="232" spans="1:3" x14ac:dyDescent="0.2">
      <c r="A232" s="3" t="str">
        <f t="shared" si="3"/>
        <v>D6</v>
      </c>
      <c r="B232">
        <v>214</v>
      </c>
      <c r="C232">
        <v>214</v>
      </c>
    </row>
    <row r="233" spans="1:3" x14ac:dyDescent="0.2">
      <c r="A233" s="3" t="str">
        <f t="shared" si="3"/>
        <v>D7</v>
      </c>
      <c r="B233">
        <v>215</v>
      </c>
      <c r="C233">
        <v>215</v>
      </c>
    </row>
    <row r="234" spans="1:3" x14ac:dyDescent="0.2">
      <c r="A234" s="3" t="str">
        <f t="shared" si="3"/>
        <v>D8</v>
      </c>
      <c r="B234">
        <v>216</v>
      </c>
      <c r="C234">
        <v>216</v>
      </c>
    </row>
    <row r="235" spans="1:3" x14ac:dyDescent="0.2">
      <c r="A235" s="3" t="str">
        <f t="shared" si="3"/>
        <v>D9</v>
      </c>
      <c r="B235">
        <v>217</v>
      </c>
      <c r="C235">
        <v>217</v>
      </c>
    </row>
    <row r="236" spans="1:3" x14ac:dyDescent="0.2">
      <c r="A236" s="3" t="str">
        <f t="shared" si="3"/>
        <v>DA</v>
      </c>
      <c r="B236">
        <v>218</v>
      </c>
      <c r="C236">
        <v>218</v>
      </c>
    </row>
    <row r="237" spans="1:3" x14ac:dyDescent="0.2">
      <c r="A237" s="3" t="str">
        <f t="shared" si="3"/>
        <v>DB</v>
      </c>
      <c r="B237">
        <v>219</v>
      </c>
      <c r="C237">
        <v>219</v>
      </c>
    </row>
    <row r="238" spans="1:3" x14ac:dyDescent="0.2">
      <c r="A238" s="3" t="str">
        <f t="shared" si="3"/>
        <v>DC</v>
      </c>
      <c r="B238">
        <v>220</v>
      </c>
      <c r="C238">
        <v>220</v>
      </c>
    </row>
    <row r="239" spans="1:3" x14ac:dyDescent="0.2">
      <c r="A239" s="3" t="str">
        <f t="shared" si="3"/>
        <v>DD</v>
      </c>
      <c r="B239">
        <v>221</v>
      </c>
      <c r="C239">
        <v>221</v>
      </c>
    </row>
    <row r="240" spans="1:3" x14ac:dyDescent="0.2">
      <c r="A240" s="3" t="str">
        <f t="shared" si="3"/>
        <v>DE</v>
      </c>
      <c r="B240">
        <v>222</v>
      </c>
      <c r="C240">
        <v>222</v>
      </c>
    </row>
    <row r="241" spans="1:3" x14ac:dyDescent="0.2">
      <c r="A241" s="3" t="str">
        <f t="shared" si="3"/>
        <v>DF</v>
      </c>
      <c r="B241">
        <v>223</v>
      </c>
      <c r="C241">
        <v>223</v>
      </c>
    </row>
    <row r="242" spans="1:3" x14ac:dyDescent="0.2">
      <c r="A242" s="3" t="str">
        <f t="shared" si="3"/>
        <v>E0</v>
      </c>
      <c r="B242">
        <v>224</v>
      </c>
      <c r="C242">
        <v>224</v>
      </c>
    </row>
    <row r="243" spans="1:3" x14ac:dyDescent="0.2">
      <c r="A243" s="3" t="str">
        <f t="shared" si="3"/>
        <v>E1</v>
      </c>
      <c r="B243">
        <v>225</v>
      </c>
      <c r="C243">
        <v>225</v>
      </c>
    </row>
    <row r="244" spans="1:3" x14ac:dyDescent="0.2">
      <c r="A244" s="3" t="str">
        <f t="shared" si="3"/>
        <v>E2</v>
      </c>
      <c r="B244">
        <v>226</v>
      </c>
      <c r="C244">
        <v>226</v>
      </c>
    </row>
    <row r="245" spans="1:3" x14ac:dyDescent="0.2">
      <c r="A245" s="3" t="str">
        <f t="shared" si="3"/>
        <v>E3</v>
      </c>
      <c r="B245">
        <v>227</v>
      </c>
      <c r="C245">
        <v>227</v>
      </c>
    </row>
    <row r="246" spans="1:3" x14ac:dyDescent="0.2">
      <c r="A246" s="3" t="str">
        <f t="shared" si="3"/>
        <v>E4</v>
      </c>
      <c r="B246">
        <v>228</v>
      </c>
      <c r="C246">
        <v>228</v>
      </c>
    </row>
    <row r="247" spans="1:3" x14ac:dyDescent="0.2">
      <c r="A247" s="3" t="str">
        <f t="shared" si="3"/>
        <v>E5</v>
      </c>
      <c r="B247">
        <v>229</v>
      </c>
      <c r="C247">
        <v>229</v>
      </c>
    </row>
    <row r="248" spans="1:3" x14ac:dyDescent="0.2">
      <c r="A248" s="3" t="str">
        <f t="shared" si="3"/>
        <v>E6</v>
      </c>
      <c r="B248">
        <v>230</v>
      </c>
      <c r="C248">
        <v>230</v>
      </c>
    </row>
    <row r="249" spans="1:3" x14ac:dyDescent="0.2">
      <c r="A249" s="3" t="str">
        <f t="shared" si="3"/>
        <v>E7</v>
      </c>
      <c r="B249">
        <v>231</v>
      </c>
      <c r="C249">
        <v>231</v>
      </c>
    </row>
    <row r="250" spans="1:3" x14ac:dyDescent="0.2">
      <c r="A250" s="3" t="str">
        <f t="shared" si="3"/>
        <v>E8</v>
      </c>
      <c r="B250">
        <v>232</v>
      </c>
      <c r="C250">
        <v>232</v>
      </c>
    </row>
    <row r="251" spans="1:3" x14ac:dyDescent="0.2">
      <c r="A251" s="3" t="str">
        <f t="shared" si="3"/>
        <v>E9</v>
      </c>
      <c r="B251">
        <v>233</v>
      </c>
      <c r="C251">
        <v>233</v>
      </c>
    </row>
    <row r="252" spans="1:3" x14ac:dyDescent="0.2">
      <c r="A252" s="3" t="str">
        <f t="shared" si="3"/>
        <v>EA</v>
      </c>
      <c r="B252">
        <v>234</v>
      </c>
      <c r="C252">
        <v>234</v>
      </c>
    </row>
    <row r="253" spans="1:3" x14ac:dyDescent="0.2">
      <c r="A253" s="3" t="str">
        <f t="shared" si="3"/>
        <v>EB</v>
      </c>
      <c r="B253">
        <v>235</v>
      </c>
      <c r="C253">
        <v>235</v>
      </c>
    </row>
    <row r="254" spans="1:3" x14ac:dyDescent="0.2">
      <c r="A254" s="3" t="str">
        <f t="shared" si="3"/>
        <v>EC</v>
      </c>
      <c r="B254">
        <v>236</v>
      </c>
      <c r="C254">
        <v>236</v>
      </c>
    </row>
    <row r="255" spans="1:3" x14ac:dyDescent="0.2">
      <c r="A255" s="3" t="str">
        <f t="shared" si="3"/>
        <v>ED</v>
      </c>
      <c r="B255">
        <v>237</v>
      </c>
      <c r="C255">
        <v>237</v>
      </c>
    </row>
    <row r="256" spans="1:3" x14ac:dyDescent="0.2">
      <c r="A256" s="3" t="str">
        <f t="shared" si="3"/>
        <v>EE</v>
      </c>
      <c r="B256">
        <v>238</v>
      </c>
      <c r="C256">
        <v>238</v>
      </c>
    </row>
    <row r="257" spans="1:3" x14ac:dyDescent="0.2">
      <c r="A257" s="3" t="str">
        <f t="shared" si="3"/>
        <v>EF</v>
      </c>
      <c r="B257">
        <v>239</v>
      </c>
      <c r="C257">
        <v>239</v>
      </c>
    </row>
    <row r="258" spans="1:3" x14ac:dyDescent="0.2">
      <c r="A258" s="3" t="str">
        <f t="shared" si="3"/>
        <v>F0</v>
      </c>
      <c r="B258">
        <v>240</v>
      </c>
      <c r="C258">
        <v>240</v>
      </c>
    </row>
    <row r="259" spans="1:3" x14ac:dyDescent="0.2">
      <c r="A259" s="3" t="str">
        <f t="shared" si="3"/>
        <v>F1</v>
      </c>
      <c r="B259">
        <v>241</v>
      </c>
      <c r="C259">
        <v>241</v>
      </c>
    </row>
    <row r="260" spans="1:3" x14ac:dyDescent="0.2">
      <c r="A260" s="3" t="str">
        <f t="shared" si="3"/>
        <v>F2</v>
      </c>
      <c r="B260">
        <v>242</v>
      </c>
      <c r="C260">
        <v>242</v>
      </c>
    </row>
    <row r="261" spans="1:3" x14ac:dyDescent="0.2">
      <c r="A261" s="3" t="str">
        <f t="shared" si="3"/>
        <v>F3</v>
      </c>
      <c r="B261">
        <v>243</v>
      </c>
      <c r="C261">
        <v>243</v>
      </c>
    </row>
    <row r="262" spans="1:3" x14ac:dyDescent="0.2">
      <c r="A262" s="3" t="str">
        <f t="shared" si="3"/>
        <v>F4</v>
      </c>
      <c r="B262">
        <v>244</v>
      </c>
      <c r="C262">
        <v>244</v>
      </c>
    </row>
    <row r="263" spans="1:3" x14ac:dyDescent="0.2">
      <c r="A263" s="3" t="str">
        <f t="shared" si="3"/>
        <v>F5</v>
      </c>
      <c r="B263">
        <v>245</v>
      </c>
      <c r="C263">
        <v>245</v>
      </c>
    </row>
    <row r="264" spans="1:3" x14ac:dyDescent="0.2">
      <c r="A264" s="3" t="str">
        <f t="shared" si="3"/>
        <v>F6</v>
      </c>
      <c r="B264">
        <v>246</v>
      </c>
      <c r="C264">
        <v>246</v>
      </c>
    </row>
    <row r="265" spans="1:3" x14ac:dyDescent="0.2">
      <c r="A265" s="3" t="str">
        <f t="shared" si="3"/>
        <v>F7</v>
      </c>
      <c r="B265">
        <v>247</v>
      </c>
      <c r="C265">
        <v>247</v>
      </c>
    </row>
    <row r="266" spans="1:3" x14ac:dyDescent="0.2">
      <c r="A266" s="3" t="str">
        <f t="shared" si="3"/>
        <v>F8</v>
      </c>
      <c r="B266">
        <v>248</v>
      </c>
      <c r="C266">
        <v>248</v>
      </c>
    </row>
    <row r="267" spans="1:3" x14ac:dyDescent="0.2">
      <c r="A267" s="3" t="str">
        <f t="shared" si="3"/>
        <v>F9</v>
      </c>
      <c r="B267">
        <v>249</v>
      </c>
      <c r="C267">
        <v>249</v>
      </c>
    </row>
    <row r="268" spans="1:3" x14ac:dyDescent="0.2">
      <c r="A268" s="3" t="str">
        <f t="shared" si="3"/>
        <v>FA</v>
      </c>
      <c r="B268">
        <v>250</v>
      </c>
      <c r="C268">
        <v>250</v>
      </c>
    </row>
    <row r="269" spans="1:3" x14ac:dyDescent="0.2">
      <c r="A269" s="3" t="str">
        <f t="shared" si="3"/>
        <v>FB</v>
      </c>
      <c r="B269">
        <v>251</v>
      </c>
      <c r="C269">
        <v>251</v>
      </c>
    </row>
    <row r="270" spans="1:3" x14ac:dyDescent="0.2">
      <c r="A270" s="3" t="str">
        <f t="shared" si="3"/>
        <v>FC</v>
      </c>
      <c r="B270">
        <v>252</v>
      </c>
      <c r="C270">
        <v>252</v>
      </c>
    </row>
    <row r="271" spans="1:3" x14ac:dyDescent="0.2">
      <c r="A271" s="3" t="str">
        <f t="shared" si="3"/>
        <v>FD</v>
      </c>
      <c r="B271">
        <v>253</v>
      </c>
      <c r="C271">
        <v>253</v>
      </c>
    </row>
    <row r="272" spans="1:3" x14ac:dyDescent="0.2">
      <c r="A272" s="3" t="str">
        <f t="shared" si="3"/>
        <v>FE</v>
      </c>
      <c r="B272">
        <v>254</v>
      </c>
      <c r="C272">
        <v>254</v>
      </c>
    </row>
    <row r="273" spans="1:3" x14ac:dyDescent="0.2">
      <c r="A273" s="3" t="str">
        <f t="shared" si="3"/>
        <v>FF</v>
      </c>
      <c r="B273">
        <v>255</v>
      </c>
      <c r="C273">
        <v>255</v>
      </c>
    </row>
    <row r="274" spans="1:3" x14ac:dyDescent="0.2">
      <c r="C274">
        <v>256</v>
      </c>
    </row>
    <row r="275" spans="1:3" x14ac:dyDescent="0.2">
      <c r="C275">
        <v>257</v>
      </c>
    </row>
    <row r="276" spans="1:3" x14ac:dyDescent="0.2">
      <c r="C276">
        <v>258</v>
      </c>
    </row>
    <row r="277" spans="1:3" x14ac:dyDescent="0.2">
      <c r="C277">
        <v>259</v>
      </c>
    </row>
    <row r="278" spans="1:3" x14ac:dyDescent="0.2">
      <c r="C278">
        <v>260</v>
      </c>
    </row>
    <row r="279" spans="1:3" x14ac:dyDescent="0.2">
      <c r="C279">
        <v>261</v>
      </c>
    </row>
    <row r="280" spans="1:3" x14ac:dyDescent="0.2">
      <c r="C280">
        <v>262</v>
      </c>
    </row>
    <row r="281" spans="1:3" x14ac:dyDescent="0.2">
      <c r="C281">
        <v>263</v>
      </c>
    </row>
    <row r="282" spans="1:3" x14ac:dyDescent="0.2">
      <c r="C282">
        <v>264</v>
      </c>
    </row>
    <row r="283" spans="1:3" x14ac:dyDescent="0.2">
      <c r="C283">
        <v>265</v>
      </c>
    </row>
    <row r="284" spans="1:3" x14ac:dyDescent="0.2">
      <c r="C284">
        <v>266</v>
      </c>
    </row>
    <row r="285" spans="1:3" x14ac:dyDescent="0.2">
      <c r="C285">
        <v>267</v>
      </c>
    </row>
    <row r="286" spans="1:3" x14ac:dyDescent="0.2">
      <c r="C286">
        <v>268</v>
      </c>
    </row>
    <row r="287" spans="1:3" x14ac:dyDescent="0.2">
      <c r="C287">
        <v>269</v>
      </c>
    </row>
    <row r="288" spans="1:3" x14ac:dyDescent="0.2">
      <c r="C288">
        <v>270</v>
      </c>
    </row>
    <row r="289" spans="3:3" x14ac:dyDescent="0.2">
      <c r="C289">
        <v>271</v>
      </c>
    </row>
    <row r="290" spans="3:3" x14ac:dyDescent="0.2">
      <c r="C290">
        <v>272</v>
      </c>
    </row>
    <row r="291" spans="3:3" x14ac:dyDescent="0.2">
      <c r="C291">
        <v>273</v>
      </c>
    </row>
    <row r="292" spans="3:3" x14ac:dyDescent="0.2">
      <c r="C292">
        <v>274</v>
      </c>
    </row>
    <row r="293" spans="3:3" x14ac:dyDescent="0.2">
      <c r="C293">
        <v>275</v>
      </c>
    </row>
    <row r="294" spans="3:3" x14ac:dyDescent="0.2">
      <c r="C294">
        <v>276</v>
      </c>
    </row>
    <row r="295" spans="3:3" x14ac:dyDescent="0.2">
      <c r="C295">
        <v>277</v>
      </c>
    </row>
    <row r="296" spans="3:3" x14ac:dyDescent="0.2">
      <c r="C296">
        <v>278</v>
      </c>
    </row>
    <row r="297" spans="3:3" x14ac:dyDescent="0.2">
      <c r="C297">
        <v>279</v>
      </c>
    </row>
    <row r="298" spans="3:3" x14ac:dyDescent="0.2">
      <c r="C298">
        <v>280</v>
      </c>
    </row>
    <row r="299" spans="3:3" x14ac:dyDescent="0.2">
      <c r="C299">
        <v>281</v>
      </c>
    </row>
    <row r="300" spans="3:3" x14ac:dyDescent="0.2">
      <c r="C300">
        <v>282</v>
      </c>
    </row>
    <row r="301" spans="3:3" x14ac:dyDescent="0.2">
      <c r="C301">
        <v>283</v>
      </c>
    </row>
    <row r="302" spans="3:3" x14ac:dyDescent="0.2">
      <c r="C302">
        <v>284</v>
      </c>
    </row>
    <row r="303" spans="3:3" x14ac:dyDescent="0.2">
      <c r="C303">
        <v>285</v>
      </c>
    </row>
    <row r="304" spans="3:3" x14ac:dyDescent="0.2">
      <c r="C304">
        <v>286</v>
      </c>
    </row>
    <row r="305" spans="3:3" x14ac:dyDescent="0.2">
      <c r="C305">
        <v>287</v>
      </c>
    </row>
    <row r="306" spans="3:3" x14ac:dyDescent="0.2">
      <c r="C306">
        <v>288</v>
      </c>
    </row>
    <row r="307" spans="3:3" x14ac:dyDescent="0.2">
      <c r="C307">
        <v>289</v>
      </c>
    </row>
    <row r="308" spans="3:3" x14ac:dyDescent="0.2">
      <c r="C308">
        <v>290</v>
      </c>
    </row>
    <row r="309" spans="3:3" x14ac:dyDescent="0.2">
      <c r="C309">
        <v>291</v>
      </c>
    </row>
    <row r="310" spans="3:3" x14ac:dyDescent="0.2">
      <c r="C310">
        <v>292</v>
      </c>
    </row>
    <row r="311" spans="3:3" x14ac:dyDescent="0.2">
      <c r="C311">
        <v>293</v>
      </c>
    </row>
    <row r="312" spans="3:3" x14ac:dyDescent="0.2">
      <c r="C312">
        <v>294</v>
      </c>
    </row>
    <row r="313" spans="3:3" x14ac:dyDescent="0.2">
      <c r="C313">
        <v>295</v>
      </c>
    </row>
    <row r="314" spans="3:3" x14ac:dyDescent="0.2">
      <c r="C314">
        <v>296</v>
      </c>
    </row>
    <row r="315" spans="3:3" x14ac:dyDescent="0.2">
      <c r="C315">
        <v>297</v>
      </c>
    </row>
    <row r="316" spans="3:3" x14ac:dyDescent="0.2">
      <c r="C316">
        <v>298</v>
      </c>
    </row>
    <row r="317" spans="3:3" x14ac:dyDescent="0.2">
      <c r="C317">
        <v>299</v>
      </c>
    </row>
    <row r="318" spans="3:3" x14ac:dyDescent="0.2">
      <c r="C318">
        <v>300</v>
      </c>
    </row>
    <row r="319" spans="3:3" x14ac:dyDescent="0.2">
      <c r="C319">
        <v>301</v>
      </c>
    </row>
    <row r="320" spans="3:3" x14ac:dyDescent="0.2">
      <c r="C320">
        <v>302</v>
      </c>
    </row>
    <row r="321" spans="3:3" x14ac:dyDescent="0.2">
      <c r="C321">
        <v>303</v>
      </c>
    </row>
    <row r="322" spans="3:3" x14ac:dyDescent="0.2">
      <c r="C322">
        <v>304</v>
      </c>
    </row>
    <row r="323" spans="3:3" x14ac:dyDescent="0.2">
      <c r="C323">
        <v>305</v>
      </c>
    </row>
    <row r="324" spans="3:3" x14ac:dyDescent="0.2">
      <c r="C324">
        <v>306</v>
      </c>
    </row>
    <row r="325" spans="3:3" x14ac:dyDescent="0.2">
      <c r="C325">
        <v>307</v>
      </c>
    </row>
    <row r="326" spans="3:3" x14ac:dyDescent="0.2">
      <c r="C326">
        <v>308</v>
      </c>
    </row>
    <row r="327" spans="3:3" x14ac:dyDescent="0.2">
      <c r="C327">
        <v>309</v>
      </c>
    </row>
    <row r="328" spans="3:3" x14ac:dyDescent="0.2">
      <c r="C328">
        <v>310</v>
      </c>
    </row>
    <row r="329" spans="3:3" x14ac:dyDescent="0.2">
      <c r="C329">
        <v>311</v>
      </c>
    </row>
    <row r="330" spans="3:3" x14ac:dyDescent="0.2">
      <c r="C330">
        <v>312</v>
      </c>
    </row>
    <row r="331" spans="3:3" x14ac:dyDescent="0.2">
      <c r="C331">
        <v>313</v>
      </c>
    </row>
    <row r="332" spans="3:3" x14ac:dyDescent="0.2">
      <c r="C332">
        <v>314</v>
      </c>
    </row>
    <row r="333" spans="3:3" x14ac:dyDescent="0.2">
      <c r="C333">
        <v>315</v>
      </c>
    </row>
    <row r="334" spans="3:3" x14ac:dyDescent="0.2">
      <c r="C334">
        <v>316</v>
      </c>
    </row>
    <row r="335" spans="3:3" x14ac:dyDescent="0.2">
      <c r="C335">
        <v>317</v>
      </c>
    </row>
    <row r="336" spans="3:3" x14ac:dyDescent="0.2">
      <c r="C336">
        <v>318</v>
      </c>
    </row>
    <row r="337" spans="3:3" x14ac:dyDescent="0.2">
      <c r="C337">
        <v>319</v>
      </c>
    </row>
    <row r="338" spans="3:3" x14ac:dyDescent="0.2">
      <c r="C338">
        <v>320</v>
      </c>
    </row>
    <row r="339" spans="3:3" x14ac:dyDescent="0.2">
      <c r="C339">
        <v>321</v>
      </c>
    </row>
    <row r="340" spans="3:3" x14ac:dyDescent="0.2">
      <c r="C340">
        <v>322</v>
      </c>
    </row>
    <row r="341" spans="3:3" x14ac:dyDescent="0.2">
      <c r="C341">
        <v>323</v>
      </c>
    </row>
    <row r="342" spans="3:3" x14ac:dyDescent="0.2">
      <c r="C342">
        <v>324</v>
      </c>
    </row>
    <row r="343" spans="3:3" x14ac:dyDescent="0.2">
      <c r="C343">
        <v>325</v>
      </c>
    </row>
    <row r="344" spans="3:3" x14ac:dyDescent="0.2">
      <c r="C344">
        <v>326</v>
      </c>
    </row>
    <row r="345" spans="3:3" x14ac:dyDescent="0.2">
      <c r="C345">
        <v>327</v>
      </c>
    </row>
    <row r="346" spans="3:3" x14ac:dyDescent="0.2">
      <c r="C346">
        <v>328</v>
      </c>
    </row>
    <row r="347" spans="3:3" x14ac:dyDescent="0.2">
      <c r="C347">
        <v>329</v>
      </c>
    </row>
    <row r="348" spans="3:3" x14ac:dyDescent="0.2">
      <c r="C348">
        <v>330</v>
      </c>
    </row>
    <row r="349" spans="3:3" x14ac:dyDescent="0.2">
      <c r="C349">
        <v>331</v>
      </c>
    </row>
    <row r="350" spans="3:3" x14ac:dyDescent="0.2">
      <c r="C350">
        <v>332</v>
      </c>
    </row>
    <row r="351" spans="3:3" x14ac:dyDescent="0.2">
      <c r="C351">
        <v>333</v>
      </c>
    </row>
    <row r="352" spans="3:3" x14ac:dyDescent="0.2">
      <c r="C352">
        <v>334</v>
      </c>
    </row>
    <row r="353" spans="3:3" x14ac:dyDescent="0.2">
      <c r="C353">
        <v>335</v>
      </c>
    </row>
    <row r="354" spans="3:3" x14ac:dyDescent="0.2">
      <c r="C354">
        <v>336</v>
      </c>
    </row>
    <row r="355" spans="3:3" x14ac:dyDescent="0.2">
      <c r="C355">
        <v>337</v>
      </c>
    </row>
    <row r="356" spans="3:3" x14ac:dyDescent="0.2">
      <c r="C356">
        <v>338</v>
      </c>
    </row>
    <row r="357" spans="3:3" x14ac:dyDescent="0.2">
      <c r="C357">
        <v>339</v>
      </c>
    </row>
    <row r="358" spans="3:3" x14ac:dyDescent="0.2">
      <c r="C358">
        <v>340</v>
      </c>
    </row>
    <row r="359" spans="3:3" x14ac:dyDescent="0.2">
      <c r="C359">
        <v>341</v>
      </c>
    </row>
    <row r="360" spans="3:3" x14ac:dyDescent="0.2">
      <c r="C360">
        <v>342</v>
      </c>
    </row>
    <row r="361" spans="3:3" x14ac:dyDescent="0.2">
      <c r="C361">
        <v>343</v>
      </c>
    </row>
    <row r="362" spans="3:3" x14ac:dyDescent="0.2">
      <c r="C362">
        <v>344</v>
      </c>
    </row>
    <row r="363" spans="3:3" x14ac:dyDescent="0.2">
      <c r="C363">
        <v>345</v>
      </c>
    </row>
    <row r="364" spans="3:3" x14ac:dyDescent="0.2">
      <c r="C364">
        <v>346</v>
      </c>
    </row>
    <row r="365" spans="3:3" x14ac:dyDescent="0.2">
      <c r="C365">
        <v>347</v>
      </c>
    </row>
    <row r="366" spans="3:3" x14ac:dyDescent="0.2">
      <c r="C366">
        <v>348</v>
      </c>
    </row>
    <row r="367" spans="3:3" x14ac:dyDescent="0.2">
      <c r="C367">
        <v>349</v>
      </c>
    </row>
    <row r="368" spans="3:3" x14ac:dyDescent="0.2">
      <c r="C368">
        <v>350</v>
      </c>
    </row>
    <row r="369" spans="3:3" x14ac:dyDescent="0.2">
      <c r="C369">
        <v>351</v>
      </c>
    </row>
    <row r="370" spans="3:3" x14ac:dyDescent="0.2">
      <c r="C370">
        <v>352</v>
      </c>
    </row>
    <row r="371" spans="3:3" x14ac:dyDescent="0.2">
      <c r="C371">
        <v>353</v>
      </c>
    </row>
    <row r="372" spans="3:3" x14ac:dyDescent="0.2">
      <c r="C372">
        <v>354</v>
      </c>
    </row>
    <row r="373" spans="3:3" x14ac:dyDescent="0.2">
      <c r="C373">
        <v>355</v>
      </c>
    </row>
    <row r="374" spans="3:3" x14ac:dyDescent="0.2">
      <c r="C374">
        <v>356</v>
      </c>
    </row>
    <row r="375" spans="3:3" x14ac:dyDescent="0.2">
      <c r="C375">
        <v>357</v>
      </c>
    </row>
    <row r="376" spans="3:3" x14ac:dyDescent="0.2">
      <c r="C376">
        <v>358</v>
      </c>
    </row>
    <row r="377" spans="3:3" x14ac:dyDescent="0.2">
      <c r="C377">
        <v>359</v>
      </c>
    </row>
    <row r="378" spans="3:3" x14ac:dyDescent="0.2">
      <c r="C378">
        <v>360</v>
      </c>
    </row>
    <row r="379" spans="3:3" x14ac:dyDescent="0.2">
      <c r="C379">
        <v>361</v>
      </c>
    </row>
    <row r="380" spans="3:3" x14ac:dyDescent="0.2">
      <c r="C380">
        <v>362</v>
      </c>
    </row>
    <row r="381" spans="3:3" x14ac:dyDescent="0.2">
      <c r="C381">
        <v>363</v>
      </c>
    </row>
    <row r="382" spans="3:3" x14ac:dyDescent="0.2">
      <c r="C382">
        <v>364</v>
      </c>
    </row>
    <row r="383" spans="3:3" x14ac:dyDescent="0.2">
      <c r="C383">
        <v>365</v>
      </c>
    </row>
    <row r="384" spans="3:3" x14ac:dyDescent="0.2">
      <c r="C384">
        <v>366</v>
      </c>
    </row>
    <row r="385" spans="3:3" x14ac:dyDescent="0.2">
      <c r="C385">
        <v>367</v>
      </c>
    </row>
    <row r="386" spans="3:3" x14ac:dyDescent="0.2">
      <c r="C386">
        <v>368</v>
      </c>
    </row>
    <row r="387" spans="3:3" x14ac:dyDescent="0.2">
      <c r="C387">
        <v>369</v>
      </c>
    </row>
    <row r="388" spans="3:3" x14ac:dyDescent="0.2">
      <c r="C388">
        <v>370</v>
      </c>
    </row>
    <row r="389" spans="3:3" x14ac:dyDescent="0.2">
      <c r="C389">
        <v>371</v>
      </c>
    </row>
    <row r="390" spans="3:3" x14ac:dyDescent="0.2">
      <c r="C390">
        <v>372</v>
      </c>
    </row>
    <row r="391" spans="3:3" x14ac:dyDescent="0.2">
      <c r="C391">
        <v>373</v>
      </c>
    </row>
    <row r="392" spans="3:3" x14ac:dyDescent="0.2">
      <c r="C392">
        <v>374</v>
      </c>
    </row>
    <row r="393" spans="3:3" x14ac:dyDescent="0.2">
      <c r="C393">
        <v>375</v>
      </c>
    </row>
    <row r="394" spans="3:3" x14ac:dyDescent="0.2">
      <c r="C394">
        <v>376</v>
      </c>
    </row>
    <row r="395" spans="3:3" x14ac:dyDescent="0.2">
      <c r="C395">
        <v>377</v>
      </c>
    </row>
    <row r="396" spans="3:3" x14ac:dyDescent="0.2">
      <c r="C396">
        <v>378</v>
      </c>
    </row>
    <row r="397" spans="3:3" x14ac:dyDescent="0.2">
      <c r="C397">
        <v>379</v>
      </c>
    </row>
    <row r="398" spans="3:3" x14ac:dyDescent="0.2">
      <c r="C398">
        <v>380</v>
      </c>
    </row>
    <row r="399" spans="3:3" x14ac:dyDescent="0.2">
      <c r="C399">
        <v>381</v>
      </c>
    </row>
    <row r="400" spans="3:3" x14ac:dyDescent="0.2">
      <c r="C400">
        <v>382</v>
      </c>
    </row>
    <row r="401" spans="3:3" x14ac:dyDescent="0.2">
      <c r="C401">
        <v>383</v>
      </c>
    </row>
    <row r="402" spans="3:3" x14ac:dyDescent="0.2">
      <c r="C402">
        <v>384</v>
      </c>
    </row>
    <row r="403" spans="3:3" x14ac:dyDescent="0.2">
      <c r="C403">
        <v>385</v>
      </c>
    </row>
    <row r="404" spans="3:3" x14ac:dyDescent="0.2">
      <c r="C404">
        <v>386</v>
      </c>
    </row>
    <row r="405" spans="3:3" x14ac:dyDescent="0.2">
      <c r="C405">
        <v>387</v>
      </c>
    </row>
    <row r="406" spans="3:3" x14ac:dyDescent="0.2">
      <c r="C406">
        <v>388</v>
      </c>
    </row>
    <row r="407" spans="3:3" x14ac:dyDescent="0.2">
      <c r="C407">
        <v>389</v>
      </c>
    </row>
    <row r="408" spans="3:3" x14ac:dyDescent="0.2">
      <c r="C408">
        <v>390</v>
      </c>
    </row>
    <row r="409" spans="3:3" x14ac:dyDescent="0.2">
      <c r="C409">
        <v>391</v>
      </c>
    </row>
    <row r="410" spans="3:3" x14ac:dyDescent="0.2">
      <c r="C410">
        <v>392</v>
      </c>
    </row>
    <row r="411" spans="3:3" x14ac:dyDescent="0.2">
      <c r="C411">
        <v>393</v>
      </c>
    </row>
    <row r="412" spans="3:3" x14ac:dyDescent="0.2">
      <c r="C412">
        <v>394</v>
      </c>
    </row>
    <row r="413" spans="3:3" x14ac:dyDescent="0.2">
      <c r="C413">
        <v>395</v>
      </c>
    </row>
    <row r="414" spans="3:3" x14ac:dyDescent="0.2">
      <c r="C414">
        <v>396</v>
      </c>
    </row>
    <row r="415" spans="3:3" x14ac:dyDescent="0.2">
      <c r="C415">
        <v>397</v>
      </c>
    </row>
    <row r="416" spans="3:3" x14ac:dyDescent="0.2">
      <c r="C416">
        <v>398</v>
      </c>
    </row>
    <row r="417" spans="3:3" x14ac:dyDescent="0.2">
      <c r="C417">
        <v>399</v>
      </c>
    </row>
    <row r="418" spans="3:3" x14ac:dyDescent="0.2">
      <c r="C418">
        <v>400</v>
      </c>
    </row>
    <row r="419" spans="3:3" x14ac:dyDescent="0.2">
      <c r="C419">
        <v>401</v>
      </c>
    </row>
    <row r="420" spans="3:3" x14ac:dyDescent="0.2">
      <c r="C420">
        <v>402</v>
      </c>
    </row>
    <row r="421" spans="3:3" x14ac:dyDescent="0.2">
      <c r="C421">
        <v>403</v>
      </c>
    </row>
    <row r="422" spans="3:3" x14ac:dyDescent="0.2">
      <c r="C422">
        <v>404</v>
      </c>
    </row>
    <row r="423" spans="3:3" x14ac:dyDescent="0.2">
      <c r="C423">
        <v>405</v>
      </c>
    </row>
    <row r="424" spans="3:3" x14ac:dyDescent="0.2">
      <c r="C424">
        <v>406</v>
      </c>
    </row>
    <row r="425" spans="3:3" x14ac:dyDescent="0.2">
      <c r="C425">
        <v>407</v>
      </c>
    </row>
    <row r="426" spans="3:3" x14ac:dyDescent="0.2">
      <c r="C426">
        <v>408</v>
      </c>
    </row>
    <row r="427" spans="3:3" x14ac:dyDescent="0.2">
      <c r="C427">
        <v>409</v>
      </c>
    </row>
    <row r="428" spans="3:3" x14ac:dyDescent="0.2">
      <c r="C428">
        <v>410</v>
      </c>
    </row>
    <row r="429" spans="3:3" x14ac:dyDescent="0.2">
      <c r="C429">
        <v>411</v>
      </c>
    </row>
    <row r="430" spans="3:3" x14ac:dyDescent="0.2">
      <c r="C430">
        <v>412</v>
      </c>
    </row>
    <row r="431" spans="3:3" x14ac:dyDescent="0.2">
      <c r="C431">
        <v>413</v>
      </c>
    </row>
    <row r="432" spans="3:3" x14ac:dyDescent="0.2">
      <c r="C432">
        <v>414</v>
      </c>
    </row>
    <row r="433" spans="3:3" x14ac:dyDescent="0.2">
      <c r="C433">
        <v>415</v>
      </c>
    </row>
    <row r="434" spans="3:3" x14ac:dyDescent="0.2">
      <c r="C434">
        <v>416</v>
      </c>
    </row>
    <row r="435" spans="3:3" x14ac:dyDescent="0.2">
      <c r="C435">
        <v>417</v>
      </c>
    </row>
    <row r="436" spans="3:3" x14ac:dyDescent="0.2">
      <c r="C436">
        <v>418</v>
      </c>
    </row>
    <row r="437" spans="3:3" x14ac:dyDescent="0.2">
      <c r="C437">
        <v>419</v>
      </c>
    </row>
    <row r="438" spans="3:3" x14ac:dyDescent="0.2">
      <c r="C438">
        <v>420</v>
      </c>
    </row>
    <row r="439" spans="3:3" x14ac:dyDescent="0.2">
      <c r="C439">
        <v>421</v>
      </c>
    </row>
    <row r="440" spans="3:3" x14ac:dyDescent="0.2">
      <c r="C440">
        <v>422</v>
      </c>
    </row>
    <row r="441" spans="3:3" x14ac:dyDescent="0.2">
      <c r="C441">
        <v>423</v>
      </c>
    </row>
    <row r="442" spans="3:3" x14ac:dyDescent="0.2">
      <c r="C442">
        <v>424</v>
      </c>
    </row>
    <row r="443" spans="3:3" x14ac:dyDescent="0.2">
      <c r="C443">
        <v>425</v>
      </c>
    </row>
    <row r="444" spans="3:3" x14ac:dyDescent="0.2">
      <c r="C444">
        <v>426</v>
      </c>
    </row>
    <row r="445" spans="3:3" x14ac:dyDescent="0.2">
      <c r="C445">
        <v>427</v>
      </c>
    </row>
    <row r="446" spans="3:3" x14ac:dyDescent="0.2">
      <c r="C446">
        <v>428</v>
      </c>
    </row>
    <row r="447" spans="3:3" x14ac:dyDescent="0.2">
      <c r="C447">
        <v>429</v>
      </c>
    </row>
    <row r="448" spans="3:3" x14ac:dyDescent="0.2">
      <c r="C448">
        <v>430</v>
      </c>
    </row>
    <row r="449" spans="3:3" x14ac:dyDescent="0.2">
      <c r="C449">
        <v>431</v>
      </c>
    </row>
    <row r="450" spans="3:3" x14ac:dyDescent="0.2">
      <c r="C450">
        <v>432</v>
      </c>
    </row>
    <row r="451" spans="3:3" x14ac:dyDescent="0.2">
      <c r="C451">
        <v>433</v>
      </c>
    </row>
    <row r="452" spans="3:3" x14ac:dyDescent="0.2">
      <c r="C452">
        <v>434</v>
      </c>
    </row>
    <row r="453" spans="3:3" x14ac:dyDescent="0.2">
      <c r="C453">
        <v>435</v>
      </c>
    </row>
    <row r="454" spans="3:3" x14ac:dyDescent="0.2">
      <c r="C454">
        <v>436</v>
      </c>
    </row>
    <row r="455" spans="3:3" x14ac:dyDescent="0.2">
      <c r="C455">
        <v>437</v>
      </c>
    </row>
    <row r="456" spans="3:3" x14ac:dyDescent="0.2">
      <c r="C456">
        <v>438</v>
      </c>
    </row>
    <row r="457" spans="3:3" x14ac:dyDescent="0.2">
      <c r="C457">
        <v>439</v>
      </c>
    </row>
    <row r="458" spans="3:3" x14ac:dyDescent="0.2">
      <c r="C458">
        <v>440</v>
      </c>
    </row>
    <row r="459" spans="3:3" x14ac:dyDescent="0.2">
      <c r="C459">
        <v>441</v>
      </c>
    </row>
    <row r="460" spans="3:3" x14ac:dyDescent="0.2">
      <c r="C460">
        <v>442</v>
      </c>
    </row>
    <row r="461" spans="3:3" x14ac:dyDescent="0.2">
      <c r="C461">
        <v>443</v>
      </c>
    </row>
    <row r="462" spans="3:3" x14ac:dyDescent="0.2">
      <c r="C462">
        <v>444</v>
      </c>
    </row>
    <row r="463" spans="3:3" x14ac:dyDescent="0.2">
      <c r="C463">
        <v>445</v>
      </c>
    </row>
    <row r="464" spans="3:3" x14ac:dyDescent="0.2">
      <c r="C464">
        <v>446</v>
      </c>
    </row>
    <row r="465" spans="3:3" x14ac:dyDescent="0.2">
      <c r="C465">
        <v>447</v>
      </c>
    </row>
    <row r="466" spans="3:3" x14ac:dyDescent="0.2">
      <c r="C466">
        <v>448</v>
      </c>
    </row>
    <row r="467" spans="3:3" x14ac:dyDescent="0.2">
      <c r="C467">
        <v>449</v>
      </c>
    </row>
    <row r="468" spans="3:3" x14ac:dyDescent="0.2">
      <c r="C468">
        <v>450</v>
      </c>
    </row>
    <row r="469" spans="3:3" x14ac:dyDescent="0.2">
      <c r="C469">
        <v>451</v>
      </c>
    </row>
    <row r="470" spans="3:3" x14ac:dyDescent="0.2">
      <c r="C470">
        <v>452</v>
      </c>
    </row>
    <row r="471" spans="3:3" x14ac:dyDescent="0.2">
      <c r="C471">
        <v>453</v>
      </c>
    </row>
    <row r="472" spans="3:3" x14ac:dyDescent="0.2">
      <c r="C472">
        <v>454</v>
      </c>
    </row>
    <row r="473" spans="3:3" x14ac:dyDescent="0.2">
      <c r="C473">
        <v>455</v>
      </c>
    </row>
    <row r="474" spans="3:3" x14ac:dyDescent="0.2">
      <c r="C474">
        <v>456</v>
      </c>
    </row>
    <row r="475" spans="3:3" x14ac:dyDescent="0.2">
      <c r="C475">
        <v>457</v>
      </c>
    </row>
    <row r="476" spans="3:3" x14ac:dyDescent="0.2">
      <c r="C476">
        <v>458</v>
      </c>
    </row>
    <row r="477" spans="3:3" x14ac:dyDescent="0.2">
      <c r="C477">
        <v>459</v>
      </c>
    </row>
    <row r="478" spans="3:3" x14ac:dyDescent="0.2">
      <c r="C478">
        <v>460</v>
      </c>
    </row>
    <row r="479" spans="3:3" x14ac:dyDescent="0.2">
      <c r="C479">
        <v>461</v>
      </c>
    </row>
    <row r="480" spans="3:3" x14ac:dyDescent="0.2">
      <c r="C480">
        <v>462</v>
      </c>
    </row>
    <row r="481" spans="3:3" x14ac:dyDescent="0.2">
      <c r="C481">
        <v>463</v>
      </c>
    </row>
    <row r="482" spans="3:3" x14ac:dyDescent="0.2">
      <c r="C482">
        <v>464</v>
      </c>
    </row>
    <row r="483" spans="3:3" x14ac:dyDescent="0.2">
      <c r="C483">
        <v>465</v>
      </c>
    </row>
    <row r="484" spans="3:3" x14ac:dyDescent="0.2">
      <c r="C484">
        <v>466</v>
      </c>
    </row>
    <row r="485" spans="3:3" x14ac:dyDescent="0.2">
      <c r="C485">
        <v>467</v>
      </c>
    </row>
    <row r="486" spans="3:3" x14ac:dyDescent="0.2">
      <c r="C486">
        <v>468</v>
      </c>
    </row>
    <row r="487" spans="3:3" x14ac:dyDescent="0.2">
      <c r="C487">
        <v>469</v>
      </c>
    </row>
    <row r="488" spans="3:3" x14ac:dyDescent="0.2">
      <c r="C488">
        <v>470</v>
      </c>
    </row>
    <row r="489" spans="3:3" x14ac:dyDescent="0.2">
      <c r="C489">
        <v>471</v>
      </c>
    </row>
    <row r="490" spans="3:3" x14ac:dyDescent="0.2">
      <c r="C490">
        <v>472</v>
      </c>
    </row>
    <row r="491" spans="3:3" x14ac:dyDescent="0.2">
      <c r="C491">
        <v>473</v>
      </c>
    </row>
    <row r="492" spans="3:3" x14ac:dyDescent="0.2">
      <c r="C492">
        <v>474</v>
      </c>
    </row>
    <row r="493" spans="3:3" x14ac:dyDescent="0.2">
      <c r="C493">
        <v>475</v>
      </c>
    </row>
    <row r="494" spans="3:3" x14ac:dyDescent="0.2">
      <c r="C494">
        <v>476</v>
      </c>
    </row>
    <row r="495" spans="3:3" x14ac:dyDescent="0.2">
      <c r="C495">
        <v>477</v>
      </c>
    </row>
    <row r="496" spans="3:3" x14ac:dyDescent="0.2">
      <c r="C496">
        <v>478</v>
      </c>
    </row>
    <row r="497" spans="3:3" x14ac:dyDescent="0.2">
      <c r="C497">
        <v>479</v>
      </c>
    </row>
    <row r="498" spans="3:3" x14ac:dyDescent="0.2">
      <c r="C498">
        <v>480</v>
      </c>
    </row>
    <row r="499" spans="3:3" x14ac:dyDescent="0.2">
      <c r="C499">
        <v>481</v>
      </c>
    </row>
    <row r="500" spans="3:3" x14ac:dyDescent="0.2">
      <c r="C500">
        <v>482</v>
      </c>
    </row>
    <row r="501" spans="3:3" x14ac:dyDescent="0.2">
      <c r="C501">
        <v>483</v>
      </c>
    </row>
    <row r="502" spans="3:3" x14ac:dyDescent="0.2">
      <c r="C502">
        <v>484</v>
      </c>
    </row>
    <row r="503" spans="3:3" x14ac:dyDescent="0.2">
      <c r="C503">
        <v>485</v>
      </c>
    </row>
    <row r="504" spans="3:3" x14ac:dyDescent="0.2">
      <c r="C504">
        <v>486</v>
      </c>
    </row>
    <row r="505" spans="3:3" x14ac:dyDescent="0.2">
      <c r="C505">
        <v>487</v>
      </c>
    </row>
    <row r="506" spans="3:3" x14ac:dyDescent="0.2">
      <c r="C506">
        <v>488</v>
      </c>
    </row>
    <row r="507" spans="3:3" x14ac:dyDescent="0.2">
      <c r="C507">
        <v>489</v>
      </c>
    </row>
    <row r="508" spans="3:3" x14ac:dyDescent="0.2">
      <c r="C508">
        <v>490</v>
      </c>
    </row>
    <row r="509" spans="3:3" x14ac:dyDescent="0.2">
      <c r="C509">
        <v>491</v>
      </c>
    </row>
    <row r="510" spans="3:3" x14ac:dyDescent="0.2">
      <c r="C510">
        <v>492</v>
      </c>
    </row>
    <row r="511" spans="3:3" x14ac:dyDescent="0.2">
      <c r="C511">
        <v>493</v>
      </c>
    </row>
    <row r="512" spans="3:3" x14ac:dyDescent="0.2">
      <c r="C512">
        <v>494</v>
      </c>
    </row>
    <row r="513" spans="3:3" x14ac:dyDescent="0.2">
      <c r="C513">
        <v>495</v>
      </c>
    </row>
    <row r="514" spans="3:3" x14ac:dyDescent="0.2">
      <c r="C514">
        <v>496</v>
      </c>
    </row>
    <row r="515" spans="3:3" x14ac:dyDescent="0.2">
      <c r="C515">
        <v>497</v>
      </c>
    </row>
    <row r="516" spans="3:3" x14ac:dyDescent="0.2">
      <c r="C516">
        <v>498</v>
      </c>
    </row>
    <row r="517" spans="3:3" x14ac:dyDescent="0.2">
      <c r="C517">
        <v>499</v>
      </c>
    </row>
    <row r="518" spans="3:3" x14ac:dyDescent="0.2">
      <c r="C518">
        <v>500</v>
      </c>
    </row>
    <row r="519" spans="3:3" x14ac:dyDescent="0.2">
      <c r="C519">
        <v>501</v>
      </c>
    </row>
    <row r="520" spans="3:3" x14ac:dyDescent="0.2">
      <c r="C520">
        <v>502</v>
      </c>
    </row>
    <row r="521" spans="3:3" x14ac:dyDescent="0.2">
      <c r="C521">
        <v>503</v>
      </c>
    </row>
    <row r="522" spans="3:3" x14ac:dyDescent="0.2">
      <c r="C522">
        <v>504</v>
      </c>
    </row>
    <row r="523" spans="3:3" x14ac:dyDescent="0.2">
      <c r="C523">
        <v>505</v>
      </c>
    </row>
    <row r="524" spans="3:3" x14ac:dyDescent="0.2">
      <c r="C524">
        <v>506</v>
      </c>
    </row>
    <row r="525" spans="3:3" x14ac:dyDescent="0.2">
      <c r="C525">
        <v>507</v>
      </c>
    </row>
    <row r="526" spans="3:3" x14ac:dyDescent="0.2">
      <c r="C526">
        <v>508</v>
      </c>
    </row>
    <row r="527" spans="3:3" x14ac:dyDescent="0.2">
      <c r="C527">
        <v>509</v>
      </c>
    </row>
    <row r="528" spans="3:3" x14ac:dyDescent="0.2">
      <c r="C528">
        <v>510</v>
      </c>
    </row>
    <row r="529" spans="3:3" x14ac:dyDescent="0.2">
      <c r="C529">
        <v>511</v>
      </c>
    </row>
  </sheetData>
  <phoneticPr fontId="1"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W179"/>
  <sheetViews>
    <sheetView topLeftCell="A85" workbookViewId="0">
      <selection activeCell="F6" sqref="F6"/>
    </sheetView>
  </sheetViews>
  <sheetFormatPr defaultRowHeight="12.75" x14ac:dyDescent="0.2"/>
  <cols>
    <col min="2" max="2" width="9.7109375" bestFit="1" customWidth="1"/>
    <col min="5" max="5" width="12.42578125" customWidth="1"/>
    <col min="6" max="6" width="12.85546875" customWidth="1"/>
    <col min="7" max="7" width="0" hidden="1" customWidth="1"/>
    <col min="11" max="11" width="20.42578125" customWidth="1"/>
  </cols>
  <sheetData>
    <row r="5" spans="1:11" ht="15.75" x14ac:dyDescent="0.25">
      <c r="A5" s="27"/>
      <c r="B5" s="196"/>
      <c r="C5" s="16"/>
      <c r="D5" s="3"/>
      <c r="E5" s="3"/>
      <c r="F5" s="3"/>
    </row>
    <row r="6" spans="1:11" ht="13.5" thickBot="1" x14ac:dyDescent="0.25">
      <c r="A6" s="27"/>
      <c r="B6" t="s">
        <v>329</v>
      </c>
      <c r="C6" s="16"/>
      <c r="D6" s="3"/>
      <c r="F6" s="3"/>
    </row>
    <row r="7" spans="1:11" x14ac:dyDescent="0.2">
      <c r="B7" t="s">
        <v>204</v>
      </c>
      <c r="C7" s="3" t="s">
        <v>205</v>
      </c>
      <c r="D7" s="3" t="s">
        <v>206</v>
      </c>
      <c r="E7" s="3" t="s">
        <v>168</v>
      </c>
      <c r="F7" s="3" t="s">
        <v>327</v>
      </c>
      <c r="H7" s="3"/>
      <c r="K7" s="449"/>
    </row>
    <row r="8" spans="1:11" ht="16.5" thickBot="1" x14ac:dyDescent="0.3">
      <c r="A8" s="61">
        <v>0</v>
      </c>
      <c r="B8" s="61">
        <v>2.6</v>
      </c>
      <c r="C8" s="60">
        <v>5</v>
      </c>
      <c r="D8" s="60">
        <v>1</v>
      </c>
      <c r="E8" s="60">
        <v>0</v>
      </c>
      <c r="F8" s="229">
        <f t="shared" ref="F8:F42" si="0">ROUND(0.8*B8/2.25,0)</f>
        <v>1</v>
      </c>
      <c r="G8" s="195"/>
      <c r="H8" s="230">
        <v>1</v>
      </c>
      <c r="K8" s="450"/>
    </row>
    <row r="9" spans="1:11" ht="15.75" x14ac:dyDescent="0.25">
      <c r="A9" s="61">
        <v>2.6</v>
      </c>
      <c r="B9" s="61">
        <v>2.8</v>
      </c>
      <c r="C9" s="60">
        <v>5</v>
      </c>
      <c r="D9" s="60">
        <v>2</v>
      </c>
      <c r="E9" s="60">
        <v>0</v>
      </c>
      <c r="F9" s="229">
        <f t="shared" si="0"/>
        <v>1</v>
      </c>
      <c r="G9" s="195"/>
      <c r="H9" s="230">
        <v>1</v>
      </c>
      <c r="K9" s="226"/>
    </row>
    <row r="10" spans="1:11" ht="15.75" x14ac:dyDescent="0.25">
      <c r="A10" s="61">
        <v>2.8</v>
      </c>
      <c r="B10" s="61">
        <v>3.1</v>
      </c>
      <c r="C10" s="60">
        <v>5</v>
      </c>
      <c r="D10" s="60">
        <v>3</v>
      </c>
      <c r="E10" s="60">
        <v>0</v>
      </c>
      <c r="F10" s="229">
        <f t="shared" si="0"/>
        <v>1</v>
      </c>
      <c r="G10" s="195"/>
      <c r="H10" s="230">
        <v>1</v>
      </c>
      <c r="K10" s="226"/>
    </row>
    <row r="11" spans="1:11" ht="16.5" thickBot="1" x14ac:dyDescent="0.3">
      <c r="A11" s="61">
        <v>3.1</v>
      </c>
      <c r="B11" s="61">
        <v>3.2</v>
      </c>
      <c r="C11" s="60">
        <v>5</v>
      </c>
      <c r="D11" s="60">
        <v>4</v>
      </c>
      <c r="E11" s="60">
        <v>0</v>
      </c>
      <c r="F11" s="229">
        <f t="shared" si="0"/>
        <v>1</v>
      </c>
      <c r="G11" s="195"/>
      <c r="H11" s="230">
        <v>1</v>
      </c>
      <c r="K11" s="227"/>
    </row>
    <row r="12" spans="1:11" ht="15.75" x14ac:dyDescent="0.25">
      <c r="A12" s="61">
        <v>3.2</v>
      </c>
      <c r="B12" s="61">
        <v>3.7</v>
      </c>
      <c r="C12" s="60">
        <v>5</v>
      </c>
      <c r="D12" s="60">
        <v>5</v>
      </c>
      <c r="E12" s="60">
        <v>0</v>
      </c>
      <c r="F12" s="229">
        <f t="shared" si="0"/>
        <v>1</v>
      </c>
      <c r="G12" s="195"/>
      <c r="H12" s="230">
        <v>1</v>
      </c>
      <c r="J12" s="195"/>
    </row>
    <row r="13" spans="1:11" ht="15.75" x14ac:dyDescent="0.25">
      <c r="A13" s="61">
        <v>3.7</v>
      </c>
      <c r="B13" s="61">
        <v>4.9000000000000004</v>
      </c>
      <c r="C13" s="60">
        <v>4</v>
      </c>
      <c r="D13" s="60">
        <v>1</v>
      </c>
      <c r="E13" s="60">
        <v>0</v>
      </c>
      <c r="F13" s="229">
        <f t="shared" si="0"/>
        <v>2</v>
      </c>
      <c r="G13" s="195"/>
      <c r="H13" s="230">
        <v>1</v>
      </c>
    </row>
    <row r="14" spans="1:11" ht="15.75" x14ac:dyDescent="0.25">
      <c r="A14" s="61">
        <v>4.9000000000000004</v>
      </c>
      <c r="B14" s="61">
        <v>5.4</v>
      </c>
      <c r="C14" s="60">
        <v>4</v>
      </c>
      <c r="D14" s="60">
        <v>2</v>
      </c>
      <c r="E14" s="60">
        <v>0</v>
      </c>
      <c r="F14" s="229">
        <f t="shared" si="0"/>
        <v>2</v>
      </c>
      <c r="G14" s="195"/>
      <c r="H14" s="230">
        <v>1</v>
      </c>
    </row>
    <row r="15" spans="1:11" ht="15.75" x14ac:dyDescent="0.25">
      <c r="A15" s="61">
        <v>5.4</v>
      </c>
      <c r="B15" s="61">
        <v>5.9</v>
      </c>
      <c r="C15" s="60">
        <v>4</v>
      </c>
      <c r="D15" s="60">
        <v>3</v>
      </c>
      <c r="E15" s="60">
        <v>0</v>
      </c>
      <c r="F15" s="229">
        <f t="shared" si="0"/>
        <v>2</v>
      </c>
      <c r="G15" s="195"/>
      <c r="H15" s="230">
        <v>1</v>
      </c>
    </row>
    <row r="16" spans="1:11" ht="15.75" x14ac:dyDescent="0.25">
      <c r="A16" s="61">
        <v>5.9</v>
      </c>
      <c r="B16" s="61">
        <v>6.1</v>
      </c>
      <c r="C16" s="60">
        <v>4</v>
      </c>
      <c r="D16" s="60">
        <v>4</v>
      </c>
      <c r="E16" s="60">
        <v>0</v>
      </c>
      <c r="F16" s="229">
        <f t="shared" si="0"/>
        <v>2</v>
      </c>
      <c r="G16" s="195"/>
      <c r="H16" s="230">
        <v>1</v>
      </c>
    </row>
    <row r="17" spans="1:11" ht="15.75" x14ac:dyDescent="0.25">
      <c r="A17" s="61">
        <v>6.1</v>
      </c>
      <c r="B17" s="61">
        <v>7.2</v>
      </c>
      <c r="C17" s="60">
        <v>4</v>
      </c>
      <c r="D17" s="60">
        <v>5</v>
      </c>
      <c r="E17" s="60">
        <v>0</v>
      </c>
      <c r="F17" s="229">
        <f t="shared" si="0"/>
        <v>3</v>
      </c>
      <c r="G17" s="195"/>
      <c r="H17" s="230">
        <v>1</v>
      </c>
    </row>
    <row r="18" spans="1:11" ht="15.75" x14ac:dyDescent="0.25">
      <c r="A18" s="61">
        <v>7.2</v>
      </c>
      <c r="B18" s="61">
        <v>9.5</v>
      </c>
      <c r="C18" s="60">
        <v>3</v>
      </c>
      <c r="D18" s="60">
        <v>1</v>
      </c>
      <c r="E18" s="60">
        <v>0</v>
      </c>
      <c r="F18" s="229">
        <f t="shared" si="0"/>
        <v>3</v>
      </c>
      <c r="G18" s="195"/>
      <c r="H18" s="230">
        <v>1</v>
      </c>
    </row>
    <row r="19" spans="1:11" ht="15.75" x14ac:dyDescent="0.25">
      <c r="A19" s="61">
        <v>9.5</v>
      </c>
      <c r="B19" s="61">
        <v>10.6</v>
      </c>
      <c r="C19" s="60">
        <v>3</v>
      </c>
      <c r="D19" s="60">
        <v>2</v>
      </c>
      <c r="E19" s="60">
        <v>0</v>
      </c>
      <c r="F19" s="229">
        <f t="shared" si="0"/>
        <v>4</v>
      </c>
      <c r="G19" s="195"/>
      <c r="H19" s="230">
        <v>1</v>
      </c>
    </row>
    <row r="20" spans="1:11" ht="15.75" x14ac:dyDescent="0.25">
      <c r="A20" s="61">
        <v>10.6</v>
      </c>
      <c r="B20" s="61">
        <v>11.5</v>
      </c>
      <c r="C20" s="60">
        <v>3</v>
      </c>
      <c r="D20" s="60">
        <v>3</v>
      </c>
      <c r="E20" s="60">
        <v>0</v>
      </c>
      <c r="F20" s="229">
        <f t="shared" si="0"/>
        <v>4</v>
      </c>
      <c r="G20" s="195"/>
      <c r="H20" s="230">
        <v>1</v>
      </c>
    </row>
    <row r="21" spans="1:11" ht="15.75" x14ac:dyDescent="0.25">
      <c r="A21" s="61">
        <v>11.5</v>
      </c>
      <c r="B21" s="61">
        <v>12.1</v>
      </c>
      <c r="C21" s="60">
        <v>3</v>
      </c>
      <c r="D21" s="60">
        <v>4</v>
      </c>
      <c r="E21" s="60">
        <v>0</v>
      </c>
      <c r="F21" s="229">
        <f t="shared" si="0"/>
        <v>4</v>
      </c>
      <c r="G21" s="195"/>
      <c r="H21" s="230">
        <v>1</v>
      </c>
    </row>
    <row r="22" spans="1:11" ht="15.75" x14ac:dyDescent="0.25">
      <c r="A22" s="61">
        <v>12.1</v>
      </c>
      <c r="B22" s="61">
        <v>14.2</v>
      </c>
      <c r="C22" s="60">
        <v>3</v>
      </c>
      <c r="D22" s="60">
        <v>5</v>
      </c>
      <c r="E22" s="60">
        <v>0</v>
      </c>
      <c r="F22" s="229">
        <f t="shared" si="0"/>
        <v>5</v>
      </c>
      <c r="G22" s="195"/>
      <c r="H22" s="230">
        <v>1</v>
      </c>
    </row>
    <row r="23" spans="1:11" ht="15.75" x14ac:dyDescent="0.25">
      <c r="A23" s="61">
        <v>14.2</v>
      </c>
      <c r="B23" s="61">
        <v>16.2</v>
      </c>
      <c r="C23" s="60">
        <v>3</v>
      </c>
      <c r="D23" s="60">
        <v>6</v>
      </c>
      <c r="E23" s="60">
        <v>0</v>
      </c>
      <c r="F23" s="229">
        <f t="shared" si="0"/>
        <v>6</v>
      </c>
      <c r="G23" s="195"/>
      <c r="H23" s="230">
        <v>1</v>
      </c>
    </row>
    <row r="24" spans="1:11" ht="15.75" x14ac:dyDescent="0.25">
      <c r="A24" s="61">
        <v>16.2</v>
      </c>
      <c r="B24" s="61">
        <v>17.5</v>
      </c>
      <c r="C24" s="60">
        <v>3</v>
      </c>
      <c r="D24" s="60">
        <v>10</v>
      </c>
      <c r="E24" s="60">
        <v>0</v>
      </c>
      <c r="F24" s="229">
        <f t="shared" si="0"/>
        <v>6</v>
      </c>
      <c r="G24" s="195"/>
      <c r="H24" s="230">
        <v>1</v>
      </c>
    </row>
    <row r="25" spans="1:11" ht="15.75" x14ac:dyDescent="0.25">
      <c r="A25" s="61">
        <v>17.5</v>
      </c>
      <c r="B25" s="61">
        <v>19.399999999999999</v>
      </c>
      <c r="C25" s="60">
        <v>3</v>
      </c>
      <c r="D25" s="60">
        <v>11</v>
      </c>
      <c r="E25" s="60">
        <v>0</v>
      </c>
      <c r="F25" s="229">
        <f t="shared" si="0"/>
        <v>7</v>
      </c>
      <c r="G25" s="195"/>
      <c r="H25" s="230">
        <v>1</v>
      </c>
    </row>
    <row r="26" spans="1:11" ht="15.75" x14ac:dyDescent="0.25">
      <c r="A26" s="231">
        <v>19.399999999999999</v>
      </c>
      <c r="B26" s="231">
        <v>21.4</v>
      </c>
      <c r="C26" s="229">
        <v>3</v>
      </c>
      <c r="D26" s="229">
        <v>12</v>
      </c>
      <c r="E26" s="229">
        <v>0</v>
      </c>
      <c r="F26" s="229">
        <f t="shared" si="0"/>
        <v>8</v>
      </c>
      <c r="G26" s="232"/>
      <c r="H26" s="230">
        <v>1</v>
      </c>
      <c r="I26" s="200" t="s">
        <v>316</v>
      </c>
      <c r="J26" s="200"/>
      <c r="K26" s="200"/>
    </row>
    <row r="27" spans="1:11" ht="15.75" x14ac:dyDescent="0.25">
      <c r="A27" s="61">
        <v>21.4</v>
      </c>
      <c r="B27" s="61">
        <v>23.9</v>
      </c>
      <c r="C27" s="60">
        <v>3</v>
      </c>
      <c r="D27" s="60">
        <v>13</v>
      </c>
      <c r="E27" s="60">
        <v>0</v>
      </c>
      <c r="F27" s="229">
        <f t="shared" si="0"/>
        <v>8</v>
      </c>
      <c r="G27" s="195"/>
      <c r="H27" s="230">
        <v>1</v>
      </c>
    </row>
    <row r="28" spans="1:11" ht="15.75" x14ac:dyDescent="0.25">
      <c r="A28" s="61">
        <v>23.9</v>
      </c>
      <c r="B28" s="61">
        <v>25.7</v>
      </c>
      <c r="C28" s="60">
        <v>3</v>
      </c>
      <c r="D28" s="60">
        <v>14</v>
      </c>
      <c r="E28" s="60">
        <v>0</v>
      </c>
      <c r="F28" s="229">
        <f t="shared" si="0"/>
        <v>9</v>
      </c>
      <c r="G28" s="195"/>
      <c r="H28" s="230">
        <v>1</v>
      </c>
    </row>
    <row r="29" spans="1:11" ht="15.75" x14ac:dyDescent="0.25">
      <c r="A29" s="61">
        <v>25.7</v>
      </c>
      <c r="B29" s="61">
        <v>28.2</v>
      </c>
      <c r="C29" s="60">
        <v>2</v>
      </c>
      <c r="D29" s="60">
        <v>5</v>
      </c>
      <c r="E29" s="60">
        <v>0</v>
      </c>
      <c r="F29" s="229">
        <f t="shared" si="0"/>
        <v>10</v>
      </c>
      <c r="G29" s="195"/>
      <c r="H29" s="230">
        <v>1</v>
      </c>
    </row>
    <row r="30" spans="1:11" ht="15.75" x14ac:dyDescent="0.25">
      <c r="A30" s="61">
        <v>28.2</v>
      </c>
      <c r="B30" s="61">
        <v>32.200000000000003</v>
      </c>
      <c r="C30" s="60">
        <v>2</v>
      </c>
      <c r="D30" s="60">
        <v>6</v>
      </c>
      <c r="E30" s="60">
        <v>0</v>
      </c>
      <c r="F30" s="229">
        <f t="shared" si="0"/>
        <v>11</v>
      </c>
      <c r="G30" s="195"/>
      <c r="H30" s="230">
        <v>1</v>
      </c>
    </row>
    <row r="31" spans="1:11" ht="15.75" x14ac:dyDescent="0.25">
      <c r="A31" s="231">
        <v>32.200000000000003</v>
      </c>
      <c r="B31" s="231">
        <v>34.700000000000003</v>
      </c>
      <c r="C31" s="229">
        <v>2</v>
      </c>
      <c r="D31" s="229">
        <v>7</v>
      </c>
      <c r="E31" s="229">
        <v>0</v>
      </c>
      <c r="F31" s="229">
        <f t="shared" si="0"/>
        <v>12</v>
      </c>
      <c r="G31" s="232"/>
      <c r="H31" s="230">
        <v>1</v>
      </c>
      <c r="I31" s="200" t="s">
        <v>317</v>
      </c>
      <c r="J31" s="200"/>
      <c r="K31" s="200"/>
    </row>
    <row r="32" spans="1:11" ht="15.75" x14ac:dyDescent="0.25">
      <c r="A32" s="61">
        <v>34.700000000000003</v>
      </c>
      <c r="B32" s="61">
        <v>38.6</v>
      </c>
      <c r="C32" s="60">
        <v>2</v>
      </c>
      <c r="D32" s="60">
        <v>11</v>
      </c>
      <c r="E32" s="60">
        <v>0</v>
      </c>
      <c r="F32" s="229">
        <f t="shared" si="0"/>
        <v>14</v>
      </c>
      <c r="G32" s="195"/>
      <c r="H32" s="230">
        <v>1</v>
      </c>
    </row>
    <row r="33" spans="1:18" ht="15.75" x14ac:dyDescent="0.25">
      <c r="A33" s="231">
        <v>38.6</v>
      </c>
      <c r="B33" s="231">
        <v>42.7</v>
      </c>
      <c r="C33" s="229">
        <v>2</v>
      </c>
      <c r="D33" s="229">
        <v>12</v>
      </c>
      <c r="E33" s="229">
        <v>0</v>
      </c>
      <c r="F33" s="229">
        <f t="shared" si="0"/>
        <v>15</v>
      </c>
      <c r="G33" s="232"/>
      <c r="H33" s="230">
        <v>1</v>
      </c>
      <c r="I33" s="200" t="s">
        <v>318</v>
      </c>
      <c r="J33" s="200"/>
      <c r="K33" s="200"/>
    </row>
    <row r="34" spans="1:18" ht="15.75" x14ac:dyDescent="0.25">
      <c r="A34" s="61">
        <v>42.7</v>
      </c>
      <c r="B34" s="61">
        <v>47.7</v>
      </c>
      <c r="C34" s="60">
        <v>2</v>
      </c>
      <c r="D34" s="60">
        <v>13</v>
      </c>
      <c r="E34" s="60">
        <v>0</v>
      </c>
      <c r="F34" s="229">
        <f t="shared" si="0"/>
        <v>17</v>
      </c>
      <c r="G34" s="195"/>
      <c r="H34" s="230">
        <v>1</v>
      </c>
    </row>
    <row r="35" spans="1:18" ht="15.75" x14ac:dyDescent="0.25">
      <c r="A35" s="61">
        <v>47.7</v>
      </c>
      <c r="B35" s="61">
        <v>51.2</v>
      </c>
      <c r="C35" s="60">
        <v>2</v>
      </c>
      <c r="D35" s="60">
        <v>14</v>
      </c>
      <c r="E35" s="60">
        <v>0</v>
      </c>
      <c r="F35" s="229">
        <f t="shared" si="0"/>
        <v>18</v>
      </c>
      <c r="G35" s="195"/>
      <c r="H35" s="230">
        <v>1</v>
      </c>
    </row>
    <row r="36" spans="1:18" ht="15.75" x14ac:dyDescent="0.25">
      <c r="A36" s="61">
        <v>51.2</v>
      </c>
      <c r="B36" s="61">
        <v>56.2</v>
      </c>
      <c r="C36" s="60">
        <v>1</v>
      </c>
      <c r="D36" s="60">
        <v>5</v>
      </c>
      <c r="E36" s="60">
        <v>0</v>
      </c>
      <c r="F36" s="229">
        <f t="shared" si="0"/>
        <v>20</v>
      </c>
      <c r="G36" s="195"/>
      <c r="H36" s="230">
        <v>1</v>
      </c>
    </row>
    <row r="37" spans="1:18" ht="15.75" x14ac:dyDescent="0.25">
      <c r="A37" s="61">
        <v>56.2</v>
      </c>
      <c r="B37" s="61">
        <v>64.099999999999994</v>
      </c>
      <c r="C37" s="60">
        <v>1</v>
      </c>
      <c r="D37" s="60">
        <v>6</v>
      </c>
      <c r="E37" s="60">
        <v>0</v>
      </c>
      <c r="F37" s="229">
        <f t="shared" si="0"/>
        <v>23</v>
      </c>
      <c r="G37" s="195"/>
      <c r="H37" s="230">
        <v>1</v>
      </c>
    </row>
    <row r="38" spans="1:18" ht="15.75" x14ac:dyDescent="0.25">
      <c r="A38" s="61">
        <v>64.099999999999994</v>
      </c>
      <c r="B38" s="61">
        <v>69.2</v>
      </c>
      <c r="C38" s="60">
        <v>1</v>
      </c>
      <c r="D38" s="60">
        <v>7</v>
      </c>
      <c r="E38" s="60">
        <v>0</v>
      </c>
      <c r="F38" s="229">
        <f t="shared" si="0"/>
        <v>25</v>
      </c>
      <c r="G38" s="195"/>
      <c r="H38" s="230">
        <v>1</v>
      </c>
    </row>
    <row r="39" spans="1:18" ht="15.75" x14ac:dyDescent="0.25">
      <c r="A39" s="61">
        <v>69.2</v>
      </c>
      <c r="B39" s="61">
        <v>75.2</v>
      </c>
      <c r="C39" s="60">
        <v>0</v>
      </c>
      <c r="D39" s="60">
        <v>1</v>
      </c>
      <c r="E39" s="60">
        <v>0</v>
      </c>
      <c r="F39" s="229">
        <f t="shared" si="0"/>
        <v>27</v>
      </c>
      <c r="G39" s="195"/>
      <c r="H39" s="230">
        <v>1</v>
      </c>
    </row>
    <row r="40" spans="1:18" ht="15.75" x14ac:dyDescent="0.25">
      <c r="A40" s="231">
        <v>75.2</v>
      </c>
      <c r="B40" s="231">
        <v>83.2</v>
      </c>
      <c r="C40" s="229">
        <v>0</v>
      </c>
      <c r="D40" s="229">
        <v>2</v>
      </c>
      <c r="E40" s="229">
        <v>0</v>
      </c>
      <c r="F40" s="229">
        <f t="shared" si="0"/>
        <v>30</v>
      </c>
      <c r="G40" s="232"/>
      <c r="H40" s="230">
        <v>1</v>
      </c>
      <c r="I40" s="200" t="s">
        <v>319</v>
      </c>
      <c r="J40" s="200"/>
      <c r="K40" s="200"/>
    </row>
    <row r="41" spans="1:18" ht="15.75" x14ac:dyDescent="0.25">
      <c r="A41" s="61">
        <v>83.2</v>
      </c>
      <c r="B41" s="61">
        <v>90</v>
      </c>
      <c r="C41" s="60">
        <v>0</v>
      </c>
      <c r="D41" s="60">
        <v>3</v>
      </c>
      <c r="E41" s="60">
        <v>0</v>
      </c>
      <c r="F41" s="229">
        <f t="shared" si="0"/>
        <v>32</v>
      </c>
      <c r="G41" s="195"/>
      <c r="H41" s="230">
        <v>1</v>
      </c>
    </row>
    <row r="42" spans="1:18" ht="15.75" x14ac:dyDescent="0.25">
      <c r="A42" s="233">
        <v>90</v>
      </c>
      <c r="B42" s="233">
        <v>95.3</v>
      </c>
      <c r="C42" s="234">
        <v>0</v>
      </c>
      <c r="D42" s="234">
        <v>4</v>
      </c>
      <c r="E42" s="234">
        <v>0</v>
      </c>
      <c r="F42" s="229">
        <f t="shared" si="0"/>
        <v>34</v>
      </c>
      <c r="G42" s="235"/>
      <c r="H42" s="230">
        <v>1</v>
      </c>
      <c r="I42" s="201" t="s">
        <v>320</v>
      </c>
      <c r="J42" s="201"/>
      <c r="K42" s="201"/>
    </row>
    <row r="43" spans="1:18" ht="15.75" x14ac:dyDescent="0.25">
      <c r="A43" s="231">
        <v>95.3</v>
      </c>
      <c r="B43" s="231">
        <v>112.1</v>
      </c>
      <c r="C43" s="229">
        <v>0</v>
      </c>
      <c r="D43" s="229">
        <v>5</v>
      </c>
      <c r="E43" s="229">
        <v>0</v>
      </c>
      <c r="F43" s="229">
        <f>ROUND(0.8*B43/2.25,0)</f>
        <v>40</v>
      </c>
      <c r="G43" s="232"/>
      <c r="H43" s="230">
        <v>1</v>
      </c>
      <c r="I43" s="200" t="s">
        <v>321</v>
      </c>
      <c r="J43" s="200"/>
      <c r="K43" s="200" t="s">
        <v>322</v>
      </c>
      <c r="M43" s="229"/>
      <c r="N43" s="229"/>
      <c r="O43" s="229"/>
      <c r="P43" s="229"/>
      <c r="Q43" s="232"/>
      <c r="R43" s="230"/>
    </row>
    <row r="44" spans="1:18" ht="15.75" x14ac:dyDescent="0.25">
      <c r="A44" s="61">
        <v>112.1</v>
      </c>
      <c r="B44" s="61">
        <v>127.9</v>
      </c>
      <c r="C44" s="60">
        <v>0</v>
      </c>
      <c r="D44" s="60">
        <v>6</v>
      </c>
      <c r="E44" s="60">
        <v>0</v>
      </c>
      <c r="F44" s="229">
        <f t="shared" ref="F44:F61" si="1">ROUND(0.8*B44/2.25,0)</f>
        <v>45</v>
      </c>
      <c r="G44" s="195"/>
      <c r="H44" s="230">
        <v>1</v>
      </c>
    </row>
    <row r="45" spans="1:18" ht="15.75" x14ac:dyDescent="0.25">
      <c r="A45" s="61">
        <v>127.9</v>
      </c>
      <c r="B45" s="61">
        <v>137.9</v>
      </c>
      <c r="C45" s="60">
        <v>0</v>
      </c>
      <c r="D45" s="60">
        <v>7</v>
      </c>
      <c r="E45" s="60">
        <v>0</v>
      </c>
      <c r="F45" s="229">
        <f t="shared" si="1"/>
        <v>49</v>
      </c>
      <c r="G45" s="195"/>
      <c r="H45" s="230">
        <v>1</v>
      </c>
    </row>
    <row r="46" spans="1:18" ht="15.75" x14ac:dyDescent="0.25">
      <c r="A46" s="61">
        <v>137.9</v>
      </c>
      <c r="B46" s="61">
        <v>142.80000000000001</v>
      </c>
      <c r="C46" s="60">
        <v>1</v>
      </c>
      <c r="D46" s="60">
        <v>4</v>
      </c>
      <c r="E46" s="60">
        <v>1</v>
      </c>
      <c r="F46" s="229">
        <f t="shared" si="1"/>
        <v>51</v>
      </c>
      <c r="G46" s="195"/>
      <c r="H46" s="230">
        <v>1</v>
      </c>
    </row>
    <row r="47" spans="1:18" ht="15.75" x14ac:dyDescent="0.25">
      <c r="A47" s="61">
        <v>142.80000000000001</v>
      </c>
      <c r="B47" s="61">
        <v>167.8</v>
      </c>
      <c r="C47" s="60">
        <v>1</v>
      </c>
      <c r="D47" s="60">
        <v>5</v>
      </c>
      <c r="E47" s="60">
        <v>1</v>
      </c>
      <c r="F47" s="229">
        <f t="shared" si="1"/>
        <v>60</v>
      </c>
      <c r="G47" s="195"/>
      <c r="H47" s="230">
        <v>1</v>
      </c>
    </row>
    <row r="48" spans="1:18" ht="15.75" x14ac:dyDescent="0.25">
      <c r="A48" s="231">
        <v>167.8</v>
      </c>
      <c r="B48" s="231">
        <v>181.1</v>
      </c>
      <c r="C48" s="229">
        <v>1</v>
      </c>
      <c r="D48" s="229">
        <v>9</v>
      </c>
      <c r="E48" s="229">
        <v>1</v>
      </c>
      <c r="F48" s="229">
        <f t="shared" si="1"/>
        <v>64</v>
      </c>
      <c r="G48" s="232"/>
      <c r="H48" s="230">
        <v>1</v>
      </c>
      <c r="I48" s="200" t="s">
        <v>323</v>
      </c>
      <c r="J48" s="200"/>
      <c r="K48" s="200"/>
    </row>
    <row r="49" spans="1:11" ht="15.75" x14ac:dyDescent="0.25">
      <c r="A49" s="231">
        <v>181.1</v>
      </c>
      <c r="B49" s="231">
        <v>191.5</v>
      </c>
      <c r="C49" s="229">
        <v>1</v>
      </c>
      <c r="D49" s="229">
        <v>6</v>
      </c>
      <c r="E49" s="229">
        <v>1</v>
      </c>
      <c r="F49" s="229">
        <f t="shared" si="1"/>
        <v>68</v>
      </c>
      <c r="G49" s="232"/>
      <c r="H49" s="230">
        <v>1</v>
      </c>
      <c r="I49" s="200"/>
      <c r="J49" s="200"/>
      <c r="K49" s="200"/>
    </row>
    <row r="50" spans="1:11" ht="15.75" x14ac:dyDescent="0.25">
      <c r="A50" s="231">
        <v>191.5</v>
      </c>
      <c r="B50" s="231">
        <v>208.4</v>
      </c>
      <c r="C50" s="229">
        <v>1</v>
      </c>
      <c r="D50" s="229">
        <v>10</v>
      </c>
      <c r="E50" s="229">
        <v>1</v>
      </c>
      <c r="F50" s="229">
        <f>ROUND(0.78*B50/2.25,0)</f>
        <v>72</v>
      </c>
      <c r="G50" s="232"/>
      <c r="H50" s="230">
        <v>1</v>
      </c>
      <c r="I50" s="200" t="s">
        <v>324</v>
      </c>
      <c r="J50" s="200"/>
      <c r="K50" s="200"/>
    </row>
    <row r="51" spans="1:11" ht="15.75" x14ac:dyDescent="0.25">
      <c r="A51" s="231">
        <v>208.4</v>
      </c>
      <c r="B51" s="231">
        <v>225.1</v>
      </c>
      <c r="C51" s="229">
        <v>0</v>
      </c>
      <c r="D51" s="229">
        <v>1</v>
      </c>
      <c r="E51" s="229">
        <v>1</v>
      </c>
      <c r="F51" s="229">
        <f t="shared" si="1"/>
        <v>80</v>
      </c>
      <c r="G51" s="232"/>
      <c r="H51" s="230">
        <v>1</v>
      </c>
      <c r="I51" s="200"/>
      <c r="J51" s="200"/>
      <c r="K51" s="200"/>
    </row>
    <row r="52" spans="1:11" ht="15.75" x14ac:dyDescent="0.25">
      <c r="A52" s="231">
        <v>225.1</v>
      </c>
      <c r="B52" s="231">
        <v>248.8</v>
      </c>
      <c r="C52" s="229">
        <v>0</v>
      </c>
      <c r="D52" s="229">
        <v>2</v>
      </c>
      <c r="E52" s="229">
        <v>1</v>
      </c>
      <c r="F52" s="229">
        <f t="shared" si="1"/>
        <v>88</v>
      </c>
      <c r="G52" s="232"/>
      <c r="H52" s="230">
        <v>1</v>
      </c>
      <c r="I52" s="200" t="s">
        <v>325</v>
      </c>
      <c r="J52" s="200"/>
      <c r="K52" s="200"/>
    </row>
    <row r="53" spans="1:11" ht="15.75" x14ac:dyDescent="0.25">
      <c r="A53" s="231">
        <v>248.8</v>
      </c>
      <c r="B53" s="231">
        <v>269.3</v>
      </c>
      <c r="C53" s="229">
        <v>0</v>
      </c>
      <c r="D53" s="229">
        <v>3</v>
      </c>
      <c r="E53" s="229">
        <v>1</v>
      </c>
      <c r="F53" s="229">
        <f t="shared" si="1"/>
        <v>96</v>
      </c>
      <c r="G53" s="232"/>
      <c r="H53" s="230">
        <v>1</v>
      </c>
      <c r="I53" s="200" t="s">
        <v>326</v>
      </c>
      <c r="J53" s="200"/>
      <c r="K53" s="200"/>
    </row>
    <row r="54" spans="1:11" ht="15.75" x14ac:dyDescent="0.25">
      <c r="A54" s="61">
        <v>269.3</v>
      </c>
      <c r="B54" s="61">
        <v>284.89999999999998</v>
      </c>
      <c r="C54" s="60">
        <v>0</v>
      </c>
      <c r="D54" s="60">
        <v>4</v>
      </c>
      <c r="E54" s="60">
        <v>1</v>
      </c>
      <c r="F54" s="229">
        <f t="shared" si="1"/>
        <v>101</v>
      </c>
      <c r="G54" s="195"/>
      <c r="H54" s="230">
        <v>1</v>
      </c>
    </row>
    <row r="55" spans="1:11" ht="15.75" x14ac:dyDescent="0.25">
      <c r="A55" s="61">
        <v>284.89999999999998</v>
      </c>
      <c r="B55" s="61">
        <v>335.5</v>
      </c>
      <c r="C55" s="60">
        <v>0</v>
      </c>
      <c r="D55" s="60">
        <v>8</v>
      </c>
      <c r="E55" s="60">
        <v>1</v>
      </c>
      <c r="F55" s="229">
        <f t="shared" si="1"/>
        <v>119</v>
      </c>
      <c r="G55" s="195"/>
      <c r="H55" s="230">
        <v>1</v>
      </c>
    </row>
    <row r="56" spans="1:11" ht="15.75" x14ac:dyDescent="0.25">
      <c r="A56" s="61">
        <v>335.5</v>
      </c>
      <c r="B56" s="61">
        <v>361.8</v>
      </c>
      <c r="C56" s="60">
        <v>0</v>
      </c>
      <c r="D56" s="60">
        <v>9</v>
      </c>
      <c r="E56" s="60">
        <v>1</v>
      </c>
      <c r="F56" s="229">
        <f t="shared" si="1"/>
        <v>129</v>
      </c>
      <c r="G56" s="195"/>
      <c r="H56" s="230">
        <v>1</v>
      </c>
    </row>
    <row r="57" spans="1:11" ht="15.75" x14ac:dyDescent="0.25">
      <c r="A57" s="61">
        <v>361.8</v>
      </c>
      <c r="B57" s="61">
        <v>420.2</v>
      </c>
      <c r="C57" s="60">
        <v>0</v>
      </c>
      <c r="D57" s="60">
        <v>10</v>
      </c>
      <c r="E57" s="60">
        <v>1</v>
      </c>
      <c r="F57" s="229">
        <f t="shared" si="1"/>
        <v>149</v>
      </c>
      <c r="G57" s="195"/>
      <c r="H57" s="230">
        <v>1</v>
      </c>
    </row>
    <row r="58" spans="1:11" ht="15.75" x14ac:dyDescent="0.25">
      <c r="A58" s="61">
        <v>420.2</v>
      </c>
      <c r="B58" s="61">
        <v>468.4</v>
      </c>
      <c r="C58" s="60">
        <v>0</v>
      </c>
      <c r="D58" s="60">
        <v>11</v>
      </c>
      <c r="E58" s="60">
        <v>1</v>
      </c>
      <c r="F58" s="229">
        <f t="shared" si="1"/>
        <v>167</v>
      </c>
      <c r="G58" s="195"/>
      <c r="H58" s="230">
        <v>1</v>
      </c>
    </row>
    <row r="59" spans="1:11" ht="15.75" x14ac:dyDescent="0.25">
      <c r="A59" s="61">
        <v>468.4</v>
      </c>
      <c r="B59" s="61">
        <v>518.79999999999995</v>
      </c>
      <c r="C59" s="60">
        <v>0</v>
      </c>
      <c r="D59" s="60">
        <v>12</v>
      </c>
      <c r="E59" s="60">
        <v>1</v>
      </c>
      <c r="F59" s="229">
        <f t="shared" si="1"/>
        <v>184</v>
      </c>
      <c r="G59" s="195"/>
      <c r="H59" s="230">
        <v>1</v>
      </c>
    </row>
    <row r="60" spans="1:11" ht="15.75" x14ac:dyDescent="0.25">
      <c r="A60" s="61">
        <v>518.79999999999995</v>
      </c>
      <c r="B60" s="61">
        <v>577</v>
      </c>
      <c r="C60" s="60">
        <v>0</v>
      </c>
      <c r="D60" s="60">
        <v>13</v>
      </c>
      <c r="E60" s="60">
        <v>1</v>
      </c>
      <c r="F60" s="229">
        <f t="shared" si="1"/>
        <v>205</v>
      </c>
      <c r="G60" s="195"/>
      <c r="H60" s="230">
        <v>1</v>
      </c>
    </row>
    <row r="61" spans="1:11" ht="15.75" x14ac:dyDescent="0.25">
      <c r="A61" s="61">
        <v>577</v>
      </c>
      <c r="B61" s="61">
        <v>620.70000000000005</v>
      </c>
      <c r="C61" s="60">
        <v>0</v>
      </c>
      <c r="D61" s="60">
        <v>14</v>
      </c>
      <c r="E61" s="60">
        <v>1</v>
      </c>
      <c r="F61" s="229">
        <f t="shared" si="1"/>
        <v>221</v>
      </c>
      <c r="G61" s="195"/>
      <c r="H61" s="230">
        <v>1</v>
      </c>
    </row>
    <row r="62" spans="1:11" x14ac:dyDescent="0.2">
      <c r="C62" s="3"/>
      <c r="D62" s="3"/>
      <c r="E62" s="3"/>
      <c r="F62" s="3"/>
    </row>
    <row r="63" spans="1:11" x14ac:dyDescent="0.2">
      <c r="C63" s="3"/>
      <c r="D63" s="3"/>
      <c r="E63" s="3"/>
      <c r="F63" s="3"/>
    </row>
    <row r="64" spans="1:11" x14ac:dyDescent="0.2">
      <c r="C64" s="3"/>
      <c r="D64" s="3"/>
      <c r="E64" s="3"/>
      <c r="F64" s="3"/>
    </row>
    <row r="65" spans="1:10" x14ac:dyDescent="0.2">
      <c r="C65" s="3"/>
      <c r="D65" s="3"/>
      <c r="E65" s="3"/>
      <c r="F65" s="3"/>
    </row>
    <row r="66" spans="1:10" x14ac:dyDescent="0.2">
      <c r="B66" t="s">
        <v>335</v>
      </c>
      <c r="C66" s="3"/>
      <c r="D66" s="3"/>
      <c r="E66" s="3"/>
      <c r="F66" s="3"/>
    </row>
    <row r="67" spans="1:10" x14ac:dyDescent="0.2">
      <c r="B67" t="s">
        <v>204</v>
      </c>
      <c r="C67" s="3" t="s">
        <v>205</v>
      </c>
      <c r="D67" s="3" t="s">
        <v>206</v>
      </c>
      <c r="E67" s="3" t="s">
        <v>168</v>
      </c>
      <c r="H67" s="3"/>
    </row>
    <row r="68" spans="1:10" ht="15.75" x14ac:dyDescent="0.25">
      <c r="A68" s="61">
        <v>0</v>
      </c>
      <c r="B68" s="61">
        <v>2.6</v>
      </c>
      <c r="C68" s="60">
        <v>5</v>
      </c>
      <c r="D68" s="60">
        <v>1</v>
      </c>
      <c r="E68" s="60">
        <v>0</v>
      </c>
      <c r="F68" s="229">
        <f t="shared" ref="F68:F105" si="2">ROUND(0.7*B68/2.25,0)</f>
        <v>1</v>
      </c>
      <c r="G68" s="195"/>
      <c r="H68" s="230">
        <v>1</v>
      </c>
    </row>
    <row r="69" spans="1:10" ht="15.75" x14ac:dyDescent="0.25">
      <c r="A69" s="61">
        <v>2.6</v>
      </c>
      <c r="B69" s="61">
        <v>2.8</v>
      </c>
      <c r="C69" s="60">
        <v>5</v>
      </c>
      <c r="D69" s="60">
        <v>2</v>
      </c>
      <c r="E69" s="60">
        <v>0</v>
      </c>
      <c r="F69" s="229">
        <f t="shared" si="2"/>
        <v>1</v>
      </c>
      <c r="G69" s="195"/>
      <c r="H69" s="230">
        <v>1</v>
      </c>
    </row>
    <row r="70" spans="1:10" ht="15.75" x14ac:dyDescent="0.25">
      <c r="A70" s="61">
        <v>2.8</v>
      </c>
      <c r="B70" s="61">
        <v>3.1</v>
      </c>
      <c r="C70" s="60">
        <v>5</v>
      </c>
      <c r="D70" s="60">
        <v>3</v>
      </c>
      <c r="E70" s="60">
        <v>0</v>
      </c>
      <c r="F70" s="229">
        <f t="shared" si="2"/>
        <v>1</v>
      </c>
      <c r="G70" s="195"/>
      <c r="H70" s="230">
        <v>1</v>
      </c>
    </row>
    <row r="71" spans="1:10" ht="15.75" x14ac:dyDescent="0.25">
      <c r="A71" s="61">
        <v>3.1</v>
      </c>
      <c r="B71" s="61">
        <v>3.2</v>
      </c>
      <c r="C71" s="60">
        <v>5</v>
      </c>
      <c r="D71" s="60">
        <v>4</v>
      </c>
      <c r="E71" s="60">
        <v>0</v>
      </c>
      <c r="F71" s="229">
        <f t="shared" si="2"/>
        <v>1</v>
      </c>
      <c r="G71" s="195"/>
      <c r="H71" s="230">
        <v>1</v>
      </c>
    </row>
    <row r="72" spans="1:10" ht="15.75" x14ac:dyDescent="0.25">
      <c r="A72" s="61">
        <v>3.2</v>
      </c>
      <c r="B72" s="61">
        <v>3.7</v>
      </c>
      <c r="C72" s="60">
        <v>5</v>
      </c>
      <c r="D72" s="60">
        <v>5</v>
      </c>
      <c r="E72" s="60">
        <v>0</v>
      </c>
      <c r="F72" s="229">
        <f t="shared" si="2"/>
        <v>1</v>
      </c>
      <c r="G72" s="195"/>
      <c r="H72" s="230">
        <v>1</v>
      </c>
      <c r="J72" s="195"/>
    </row>
    <row r="73" spans="1:10" ht="15.75" x14ac:dyDescent="0.25">
      <c r="A73" s="61">
        <v>3.7</v>
      </c>
      <c r="B73" s="61">
        <v>4.9000000000000004</v>
      </c>
      <c r="C73" s="60">
        <v>4</v>
      </c>
      <c r="D73" s="60">
        <v>1</v>
      </c>
      <c r="E73" s="60">
        <v>0</v>
      </c>
      <c r="F73" s="229">
        <f t="shared" si="2"/>
        <v>2</v>
      </c>
      <c r="G73" s="195"/>
      <c r="H73" s="230">
        <v>1</v>
      </c>
    </row>
    <row r="74" spans="1:10" ht="15.75" x14ac:dyDescent="0.25">
      <c r="A74" s="61">
        <v>4.9000000000000004</v>
      </c>
      <c r="B74" s="61">
        <v>5.4</v>
      </c>
      <c r="C74" s="60">
        <v>4</v>
      </c>
      <c r="D74" s="60">
        <v>2</v>
      </c>
      <c r="E74" s="60">
        <v>0</v>
      </c>
      <c r="F74" s="229">
        <f t="shared" si="2"/>
        <v>2</v>
      </c>
      <c r="G74" s="195"/>
      <c r="H74" s="230">
        <v>1</v>
      </c>
    </row>
    <row r="75" spans="1:10" ht="15.75" x14ac:dyDescent="0.25">
      <c r="A75" s="61">
        <v>5.4</v>
      </c>
      <c r="B75" s="61">
        <v>5.9</v>
      </c>
      <c r="C75" s="60">
        <v>4</v>
      </c>
      <c r="D75" s="60">
        <v>3</v>
      </c>
      <c r="E75" s="60">
        <v>0</v>
      </c>
      <c r="F75" s="229">
        <f t="shared" si="2"/>
        <v>2</v>
      </c>
      <c r="G75" s="195"/>
      <c r="H75" s="230">
        <v>1</v>
      </c>
    </row>
    <row r="76" spans="1:10" ht="15.75" x14ac:dyDescent="0.25">
      <c r="A76" s="61">
        <v>5.9</v>
      </c>
      <c r="B76" s="61">
        <v>6.1</v>
      </c>
      <c r="C76" s="60">
        <v>4</v>
      </c>
      <c r="D76" s="60">
        <v>4</v>
      </c>
      <c r="E76" s="60">
        <v>0</v>
      </c>
      <c r="F76" s="229">
        <f t="shared" si="2"/>
        <v>2</v>
      </c>
      <c r="G76" s="195"/>
      <c r="H76" s="230">
        <v>1</v>
      </c>
    </row>
    <row r="77" spans="1:10" ht="15.75" x14ac:dyDescent="0.25">
      <c r="A77" s="61">
        <v>6.1</v>
      </c>
      <c r="B77" s="61">
        <v>7.2</v>
      </c>
      <c r="C77" s="60">
        <v>4</v>
      </c>
      <c r="D77" s="60">
        <v>5</v>
      </c>
      <c r="E77" s="60">
        <v>0</v>
      </c>
      <c r="F77" s="229">
        <f t="shared" si="2"/>
        <v>2</v>
      </c>
      <c r="G77" s="195"/>
      <c r="H77" s="230">
        <v>1</v>
      </c>
    </row>
    <row r="78" spans="1:10" ht="15.75" x14ac:dyDescent="0.25">
      <c r="A78" s="61">
        <v>7.2</v>
      </c>
      <c r="B78" s="61">
        <v>9.5</v>
      </c>
      <c r="C78" s="60">
        <v>3</v>
      </c>
      <c r="D78" s="60">
        <v>1</v>
      </c>
      <c r="E78" s="60">
        <v>0</v>
      </c>
      <c r="F78" s="229">
        <f t="shared" si="2"/>
        <v>3</v>
      </c>
      <c r="G78" s="195"/>
      <c r="H78" s="230">
        <v>1</v>
      </c>
    </row>
    <row r="79" spans="1:10" ht="15.75" x14ac:dyDescent="0.25">
      <c r="A79" s="61">
        <v>9.5</v>
      </c>
      <c r="B79" s="61">
        <v>10.6</v>
      </c>
      <c r="C79" s="60">
        <v>3</v>
      </c>
      <c r="D79" s="60">
        <v>2</v>
      </c>
      <c r="E79" s="60">
        <v>0</v>
      </c>
      <c r="F79" s="229">
        <f t="shared" si="2"/>
        <v>3</v>
      </c>
      <c r="G79" s="195"/>
      <c r="H79" s="230">
        <v>1</v>
      </c>
    </row>
    <row r="80" spans="1:10" ht="15.75" x14ac:dyDescent="0.25">
      <c r="A80" s="61">
        <v>10.6</v>
      </c>
      <c r="B80" s="61">
        <v>11.5</v>
      </c>
      <c r="C80" s="60">
        <v>3</v>
      </c>
      <c r="D80" s="60">
        <v>3</v>
      </c>
      <c r="E80" s="60">
        <v>0</v>
      </c>
      <c r="F80" s="229">
        <f t="shared" si="2"/>
        <v>4</v>
      </c>
      <c r="G80" s="195"/>
      <c r="H80" s="230">
        <v>1</v>
      </c>
    </row>
    <row r="81" spans="1:11" ht="15.75" x14ac:dyDescent="0.25">
      <c r="A81" s="61">
        <v>11.5</v>
      </c>
      <c r="B81" s="61">
        <v>12.1</v>
      </c>
      <c r="C81" s="60">
        <v>3</v>
      </c>
      <c r="D81" s="60">
        <v>4</v>
      </c>
      <c r="E81" s="60">
        <v>0</v>
      </c>
      <c r="F81" s="229">
        <f t="shared" si="2"/>
        <v>4</v>
      </c>
      <c r="G81" s="195"/>
      <c r="H81" s="230">
        <v>1</v>
      </c>
    </row>
    <row r="82" spans="1:11" ht="15.75" x14ac:dyDescent="0.25">
      <c r="A82" s="61">
        <v>12.1</v>
      </c>
      <c r="B82" s="61">
        <v>14.2</v>
      </c>
      <c r="C82" s="60">
        <v>3</v>
      </c>
      <c r="D82" s="60">
        <v>5</v>
      </c>
      <c r="E82" s="60">
        <v>0</v>
      </c>
      <c r="F82" s="229">
        <f t="shared" si="2"/>
        <v>4</v>
      </c>
      <c r="G82" s="195"/>
      <c r="H82" s="230">
        <v>1</v>
      </c>
    </row>
    <row r="83" spans="1:11" ht="15.75" x14ac:dyDescent="0.25">
      <c r="A83" s="61">
        <v>14.2</v>
      </c>
      <c r="B83" s="61">
        <v>16.2</v>
      </c>
      <c r="C83" s="60">
        <v>3</v>
      </c>
      <c r="D83" s="60">
        <v>6</v>
      </c>
      <c r="E83" s="60">
        <v>0</v>
      </c>
      <c r="F83" s="229">
        <f t="shared" si="2"/>
        <v>5</v>
      </c>
      <c r="G83" s="195"/>
      <c r="H83" s="230">
        <v>1</v>
      </c>
    </row>
    <row r="84" spans="1:11" ht="15.75" x14ac:dyDescent="0.25">
      <c r="A84" s="61">
        <v>16.2</v>
      </c>
      <c r="B84" s="61">
        <v>17.5</v>
      </c>
      <c r="C84" s="60">
        <v>3</v>
      </c>
      <c r="D84" s="60">
        <v>7</v>
      </c>
      <c r="E84" s="60">
        <v>0</v>
      </c>
      <c r="F84" s="229">
        <f t="shared" si="2"/>
        <v>5</v>
      </c>
      <c r="G84" s="195"/>
      <c r="H84" s="230">
        <v>1</v>
      </c>
    </row>
    <row r="85" spans="1:11" ht="15.75" x14ac:dyDescent="0.25">
      <c r="A85" s="61">
        <v>17.5</v>
      </c>
      <c r="B85" s="61">
        <v>18.899999999999999</v>
      </c>
      <c r="C85" s="60">
        <v>2</v>
      </c>
      <c r="D85" s="60">
        <v>1</v>
      </c>
      <c r="E85" s="60">
        <v>0</v>
      </c>
      <c r="F85" s="229">
        <f t="shared" si="2"/>
        <v>6</v>
      </c>
      <c r="G85" s="195"/>
      <c r="H85" s="230">
        <v>1</v>
      </c>
    </row>
    <row r="86" spans="1:11" ht="15.75" x14ac:dyDescent="0.25">
      <c r="A86" s="231">
        <v>18.899999999999999</v>
      </c>
      <c r="B86" s="231">
        <v>21.6</v>
      </c>
      <c r="C86" s="229">
        <v>2</v>
      </c>
      <c r="D86" s="229">
        <v>2</v>
      </c>
      <c r="E86" s="229">
        <v>0</v>
      </c>
      <c r="F86" s="229">
        <f t="shared" si="2"/>
        <v>7</v>
      </c>
      <c r="G86" s="232"/>
      <c r="H86" s="230">
        <v>1</v>
      </c>
      <c r="I86" s="200" t="s">
        <v>316</v>
      </c>
      <c r="J86" s="200"/>
      <c r="K86" s="200"/>
    </row>
    <row r="87" spans="1:11" ht="15.75" x14ac:dyDescent="0.25">
      <c r="A87" s="61">
        <v>21.6</v>
      </c>
      <c r="B87" s="61">
        <v>22.7</v>
      </c>
      <c r="C87" s="60">
        <v>2</v>
      </c>
      <c r="D87" s="60">
        <v>3</v>
      </c>
      <c r="E87" s="60">
        <v>0</v>
      </c>
      <c r="F87" s="229">
        <f t="shared" si="2"/>
        <v>7</v>
      </c>
      <c r="G87" s="195"/>
      <c r="H87" s="230">
        <v>1</v>
      </c>
    </row>
    <row r="88" spans="1:11" ht="15.75" x14ac:dyDescent="0.25">
      <c r="A88" s="61">
        <v>22.7</v>
      </c>
      <c r="B88" s="61">
        <v>24</v>
      </c>
      <c r="C88" s="60">
        <v>2</v>
      </c>
      <c r="D88" s="60">
        <v>4</v>
      </c>
      <c r="E88" s="60">
        <v>0</v>
      </c>
      <c r="F88" s="229">
        <f t="shared" si="2"/>
        <v>7</v>
      </c>
      <c r="G88" s="195"/>
      <c r="H88" s="230">
        <v>1</v>
      </c>
    </row>
    <row r="89" spans="1:11" ht="15.75" x14ac:dyDescent="0.25">
      <c r="A89" s="61">
        <v>24</v>
      </c>
      <c r="B89" s="61">
        <v>28.2</v>
      </c>
      <c r="C89" s="60">
        <v>2</v>
      </c>
      <c r="D89" s="60">
        <v>10</v>
      </c>
      <c r="E89" s="60">
        <v>0</v>
      </c>
      <c r="F89" s="229">
        <f t="shared" si="2"/>
        <v>9</v>
      </c>
      <c r="G89" s="195"/>
      <c r="H89" s="230">
        <v>1</v>
      </c>
    </row>
    <row r="90" spans="1:11" ht="15.75" x14ac:dyDescent="0.25">
      <c r="A90" s="61">
        <v>28.2</v>
      </c>
      <c r="B90" s="61">
        <v>31.9</v>
      </c>
      <c r="C90" s="60">
        <v>1</v>
      </c>
      <c r="D90" s="60">
        <v>15</v>
      </c>
      <c r="E90" s="60">
        <v>0</v>
      </c>
      <c r="F90" s="229">
        <f t="shared" si="2"/>
        <v>10</v>
      </c>
      <c r="G90" s="195"/>
      <c r="H90" s="230">
        <v>1</v>
      </c>
    </row>
    <row r="91" spans="1:11" ht="15.75" x14ac:dyDescent="0.25">
      <c r="A91" s="231">
        <v>31.9</v>
      </c>
      <c r="B91" s="231">
        <v>34.700000000000003</v>
      </c>
      <c r="C91" s="229">
        <v>2</v>
      </c>
      <c r="D91" s="229">
        <v>7</v>
      </c>
      <c r="E91" s="229">
        <v>0</v>
      </c>
      <c r="F91" s="229">
        <f t="shared" si="2"/>
        <v>11</v>
      </c>
      <c r="G91" s="232"/>
      <c r="H91" s="230">
        <v>1</v>
      </c>
      <c r="I91" s="200" t="s">
        <v>317</v>
      </c>
      <c r="J91" s="200"/>
      <c r="K91" s="200"/>
    </row>
    <row r="92" spans="1:11" ht="15.75" x14ac:dyDescent="0.25">
      <c r="A92" s="61">
        <v>34.700000000000003</v>
      </c>
      <c r="B92" s="61">
        <v>38.6</v>
      </c>
      <c r="C92" s="60">
        <v>2</v>
      </c>
      <c r="D92" s="60">
        <v>11</v>
      </c>
      <c r="E92" s="60">
        <v>0</v>
      </c>
      <c r="F92" s="229">
        <f t="shared" si="2"/>
        <v>12</v>
      </c>
      <c r="G92" s="195"/>
      <c r="H92" s="230">
        <v>1</v>
      </c>
    </row>
    <row r="93" spans="1:11" ht="15.75" x14ac:dyDescent="0.25">
      <c r="A93" s="61">
        <v>38.6</v>
      </c>
      <c r="B93" s="61">
        <v>42.7</v>
      </c>
      <c r="C93" s="60">
        <v>2</v>
      </c>
      <c r="D93" s="60">
        <v>12</v>
      </c>
      <c r="E93" s="60">
        <v>0</v>
      </c>
      <c r="F93" s="229">
        <f t="shared" si="2"/>
        <v>13</v>
      </c>
      <c r="G93" s="195"/>
      <c r="H93" s="230">
        <v>1</v>
      </c>
    </row>
    <row r="94" spans="1:11" ht="15.75" x14ac:dyDescent="0.25">
      <c r="A94" s="231">
        <v>42.7</v>
      </c>
      <c r="B94" s="231">
        <v>47.7</v>
      </c>
      <c r="C94" s="229">
        <v>2</v>
      </c>
      <c r="D94" s="229">
        <v>13</v>
      </c>
      <c r="E94" s="229">
        <v>0</v>
      </c>
      <c r="F94" s="229">
        <f t="shared" si="2"/>
        <v>15</v>
      </c>
      <c r="G94" s="232"/>
      <c r="H94" s="230">
        <v>1</v>
      </c>
      <c r="I94" s="200" t="s">
        <v>318</v>
      </c>
      <c r="J94" s="200"/>
      <c r="K94" s="200"/>
    </row>
    <row r="95" spans="1:11" ht="15.75" x14ac:dyDescent="0.25">
      <c r="A95" s="61">
        <v>47.7</v>
      </c>
      <c r="B95" s="61">
        <v>51.2</v>
      </c>
      <c r="C95" s="60">
        <v>2</v>
      </c>
      <c r="D95" s="60">
        <v>14</v>
      </c>
      <c r="E95" s="60">
        <v>0</v>
      </c>
      <c r="F95" s="229">
        <f t="shared" si="2"/>
        <v>16</v>
      </c>
      <c r="G95" s="195"/>
      <c r="H95" s="230">
        <v>1</v>
      </c>
    </row>
    <row r="96" spans="1:11" ht="15.75" x14ac:dyDescent="0.25">
      <c r="A96" s="61">
        <v>51.2</v>
      </c>
      <c r="B96" s="61">
        <v>56.2</v>
      </c>
      <c r="C96" s="60">
        <v>1</v>
      </c>
      <c r="D96" s="60">
        <v>5</v>
      </c>
      <c r="E96" s="60">
        <v>0</v>
      </c>
      <c r="F96" s="229">
        <f t="shared" si="2"/>
        <v>17</v>
      </c>
      <c r="G96" s="195"/>
      <c r="H96" s="230">
        <v>1</v>
      </c>
    </row>
    <row r="97" spans="1:11" ht="15.75" x14ac:dyDescent="0.25">
      <c r="A97" s="61">
        <v>56.2</v>
      </c>
      <c r="B97" s="61">
        <v>64.099999999999994</v>
      </c>
      <c r="C97" s="60">
        <v>1</v>
      </c>
      <c r="D97" s="60">
        <v>6</v>
      </c>
      <c r="E97" s="60">
        <v>0</v>
      </c>
      <c r="F97" s="229">
        <f t="shared" si="2"/>
        <v>20</v>
      </c>
      <c r="G97" s="195"/>
      <c r="H97" s="230">
        <v>1</v>
      </c>
    </row>
    <row r="98" spans="1:11" ht="15.75" x14ac:dyDescent="0.25">
      <c r="A98" s="61">
        <v>64.099999999999994</v>
      </c>
      <c r="B98" s="61">
        <v>69.2</v>
      </c>
      <c r="C98" s="60">
        <v>1</v>
      </c>
      <c r="D98" s="60">
        <v>7</v>
      </c>
      <c r="E98" s="60">
        <v>0</v>
      </c>
      <c r="F98" s="229">
        <f t="shared" si="2"/>
        <v>22</v>
      </c>
      <c r="G98" s="195"/>
      <c r="H98" s="230">
        <v>1</v>
      </c>
    </row>
    <row r="99" spans="1:11" ht="15.75" x14ac:dyDescent="0.25">
      <c r="A99" s="61">
        <v>69.2</v>
      </c>
      <c r="B99" s="61">
        <v>75.2</v>
      </c>
      <c r="C99" s="60">
        <v>0</v>
      </c>
      <c r="D99" s="60">
        <v>1</v>
      </c>
      <c r="E99" s="60">
        <v>0</v>
      </c>
      <c r="F99" s="229">
        <f t="shared" si="2"/>
        <v>23</v>
      </c>
      <c r="G99" s="195"/>
      <c r="H99" s="230">
        <v>1</v>
      </c>
    </row>
    <row r="100" spans="1:11" ht="15.75" x14ac:dyDescent="0.25">
      <c r="A100" s="231">
        <v>75.2</v>
      </c>
      <c r="B100" s="231">
        <v>83.2</v>
      </c>
      <c r="C100" s="229">
        <v>0</v>
      </c>
      <c r="D100" s="229">
        <v>2</v>
      </c>
      <c r="E100" s="229">
        <v>0</v>
      </c>
      <c r="F100" s="229">
        <f t="shared" si="2"/>
        <v>26</v>
      </c>
      <c r="G100" s="232"/>
      <c r="H100" s="230">
        <v>1</v>
      </c>
      <c r="I100" s="200" t="s">
        <v>319</v>
      </c>
      <c r="J100" s="200"/>
      <c r="K100" s="200"/>
    </row>
    <row r="101" spans="1:11" ht="15.75" x14ac:dyDescent="0.25">
      <c r="A101" s="61">
        <v>83.2</v>
      </c>
      <c r="B101" s="61">
        <v>90</v>
      </c>
      <c r="C101" s="60">
        <v>0</v>
      </c>
      <c r="D101" s="60">
        <v>3</v>
      </c>
      <c r="E101" s="60">
        <v>0</v>
      </c>
      <c r="F101" s="229">
        <f t="shared" si="2"/>
        <v>28</v>
      </c>
      <c r="G101" s="195"/>
      <c r="H101" s="230">
        <v>1</v>
      </c>
    </row>
    <row r="102" spans="1:11" ht="15.75" x14ac:dyDescent="0.25">
      <c r="A102" s="233">
        <v>90</v>
      </c>
      <c r="B102" s="233">
        <v>95.3</v>
      </c>
      <c r="C102" s="234">
        <v>0</v>
      </c>
      <c r="D102" s="234">
        <v>4</v>
      </c>
      <c r="E102" s="234">
        <v>0</v>
      </c>
      <c r="F102" s="229">
        <f t="shared" si="2"/>
        <v>30</v>
      </c>
      <c r="G102" s="235"/>
      <c r="H102" s="230">
        <v>1</v>
      </c>
      <c r="I102" s="201" t="s">
        <v>320</v>
      </c>
      <c r="J102" s="201"/>
      <c r="K102" s="201"/>
    </row>
    <row r="103" spans="1:11" ht="15.75" x14ac:dyDescent="0.25">
      <c r="A103" s="231">
        <v>95.3</v>
      </c>
      <c r="B103" s="231">
        <v>112.1</v>
      </c>
      <c r="C103" s="229">
        <v>0</v>
      </c>
      <c r="D103" s="229">
        <v>5</v>
      </c>
      <c r="E103" s="229">
        <v>0</v>
      </c>
      <c r="F103" s="229">
        <f t="shared" si="2"/>
        <v>35</v>
      </c>
      <c r="G103" s="232"/>
      <c r="H103" s="230">
        <v>1</v>
      </c>
      <c r="I103" s="200" t="s">
        <v>321</v>
      </c>
      <c r="J103" s="200"/>
      <c r="K103" s="200" t="s">
        <v>322</v>
      </c>
    </row>
    <row r="104" spans="1:11" ht="15.75" x14ac:dyDescent="0.25">
      <c r="A104" s="61">
        <v>112.1</v>
      </c>
      <c r="B104" s="61">
        <v>127.9</v>
      </c>
      <c r="C104" s="60">
        <v>0</v>
      </c>
      <c r="D104" s="60">
        <v>6</v>
      </c>
      <c r="E104" s="60">
        <v>0</v>
      </c>
      <c r="F104" s="229">
        <f t="shared" si="2"/>
        <v>40</v>
      </c>
      <c r="G104" s="195"/>
      <c r="H104" s="230">
        <v>1</v>
      </c>
    </row>
    <row r="105" spans="1:11" ht="15.75" x14ac:dyDescent="0.25">
      <c r="A105" s="61">
        <v>127.9</v>
      </c>
      <c r="B105" s="61">
        <v>137.9</v>
      </c>
      <c r="C105" s="60">
        <v>0</v>
      </c>
      <c r="D105" s="60">
        <v>7</v>
      </c>
      <c r="E105" s="60">
        <v>0</v>
      </c>
      <c r="F105" s="229">
        <f t="shared" si="2"/>
        <v>43</v>
      </c>
      <c r="G105" s="195"/>
      <c r="H105" s="230">
        <v>1</v>
      </c>
    </row>
    <row r="106" spans="1:11" ht="15.75" x14ac:dyDescent="0.25">
      <c r="A106" s="61">
        <v>137.9</v>
      </c>
      <c r="B106" s="61">
        <v>138.69999999999999</v>
      </c>
      <c r="C106" s="60">
        <v>0</v>
      </c>
      <c r="D106" s="60">
        <v>10</v>
      </c>
      <c r="E106" s="60">
        <v>0</v>
      </c>
      <c r="F106" s="229">
        <f>ROUND(0.7*B106/2.25,0)</f>
        <v>43</v>
      </c>
      <c r="G106" s="195"/>
      <c r="H106" s="230">
        <v>1</v>
      </c>
    </row>
    <row r="107" spans="1:11" ht="15.75" x14ac:dyDescent="0.25">
      <c r="A107" s="61">
        <v>138.69999999999999</v>
      </c>
      <c r="B107" s="61">
        <v>154.19999999999999</v>
      </c>
      <c r="C107" s="60">
        <v>0</v>
      </c>
      <c r="D107" s="60">
        <v>11</v>
      </c>
      <c r="E107" s="60">
        <v>0</v>
      </c>
      <c r="F107" s="229">
        <f t="shared" ref="F107:F121" si="3">ROUND(0.7*B107/2.25,0)</f>
        <v>48</v>
      </c>
      <c r="G107" s="195"/>
      <c r="H107" s="230">
        <v>1</v>
      </c>
    </row>
    <row r="108" spans="1:11" ht="15.75" x14ac:dyDescent="0.25">
      <c r="A108" s="231">
        <v>154.19999999999999</v>
      </c>
      <c r="B108" s="231">
        <v>168</v>
      </c>
      <c r="C108" s="229">
        <v>1</v>
      </c>
      <c r="D108" s="229">
        <v>8</v>
      </c>
      <c r="E108" s="229">
        <v>1</v>
      </c>
      <c r="F108" s="229">
        <f t="shared" si="3"/>
        <v>52</v>
      </c>
      <c r="G108" s="232"/>
      <c r="H108" s="230">
        <v>1</v>
      </c>
      <c r="I108" s="200" t="s">
        <v>323</v>
      </c>
      <c r="J108" s="200"/>
      <c r="K108" s="200"/>
    </row>
    <row r="109" spans="1:11" ht="15.75" x14ac:dyDescent="0.25">
      <c r="A109" s="231">
        <v>168</v>
      </c>
      <c r="B109" s="231">
        <v>181.1</v>
      </c>
      <c r="C109" s="229">
        <v>1</v>
      </c>
      <c r="D109" s="229">
        <v>9</v>
      </c>
      <c r="E109" s="229">
        <v>1</v>
      </c>
      <c r="F109" s="229">
        <f t="shared" si="3"/>
        <v>56</v>
      </c>
      <c r="G109" s="232"/>
      <c r="H109" s="230">
        <v>1</v>
      </c>
      <c r="I109" s="200"/>
      <c r="J109" s="200"/>
      <c r="K109" s="200"/>
    </row>
    <row r="110" spans="1:11" ht="15.75" x14ac:dyDescent="0.25">
      <c r="A110" s="231">
        <v>181.1</v>
      </c>
      <c r="B110" s="231">
        <v>208.4</v>
      </c>
      <c r="C110" s="229">
        <v>1</v>
      </c>
      <c r="D110" s="229">
        <v>10</v>
      </c>
      <c r="E110" s="229">
        <v>1</v>
      </c>
      <c r="F110" s="229">
        <f t="shared" si="3"/>
        <v>65</v>
      </c>
      <c r="G110" s="232"/>
      <c r="H110" s="230">
        <v>1</v>
      </c>
      <c r="I110" s="200" t="s">
        <v>324</v>
      </c>
      <c r="J110" s="200"/>
      <c r="K110" s="200"/>
    </row>
    <row r="111" spans="1:11" ht="15.75" x14ac:dyDescent="0.25">
      <c r="A111" s="231">
        <v>208.4</v>
      </c>
      <c r="B111" s="231">
        <v>232</v>
      </c>
      <c r="C111" s="229">
        <v>1</v>
      </c>
      <c r="D111" s="229">
        <v>11</v>
      </c>
      <c r="E111" s="229">
        <v>1</v>
      </c>
      <c r="F111" s="229">
        <f t="shared" si="3"/>
        <v>72</v>
      </c>
      <c r="G111" s="232"/>
      <c r="H111" s="230">
        <v>1</v>
      </c>
      <c r="I111" s="200"/>
      <c r="J111" s="200"/>
      <c r="K111" s="200"/>
    </row>
    <row r="112" spans="1:11" ht="15.75" x14ac:dyDescent="0.25">
      <c r="A112" s="231">
        <v>232</v>
      </c>
      <c r="B112" s="231">
        <v>256</v>
      </c>
      <c r="C112" s="229">
        <v>1</v>
      </c>
      <c r="D112" s="229">
        <v>12</v>
      </c>
      <c r="E112" s="229">
        <v>1</v>
      </c>
      <c r="F112" s="229">
        <f t="shared" si="3"/>
        <v>80</v>
      </c>
      <c r="G112" s="232"/>
      <c r="H112" s="230">
        <v>1</v>
      </c>
      <c r="I112" s="200" t="s">
        <v>325</v>
      </c>
      <c r="J112" s="200"/>
      <c r="K112" s="200"/>
    </row>
    <row r="113" spans="1:11" ht="15.75" x14ac:dyDescent="0.25">
      <c r="A113" s="231">
        <v>256</v>
      </c>
      <c r="B113" s="231">
        <v>269.3</v>
      </c>
      <c r="C113" s="229">
        <v>0</v>
      </c>
      <c r="D113" s="229">
        <v>3</v>
      </c>
      <c r="E113" s="229">
        <v>1</v>
      </c>
      <c r="F113" s="229">
        <f t="shared" si="3"/>
        <v>84</v>
      </c>
      <c r="G113" s="232"/>
      <c r="H113" s="230">
        <v>1</v>
      </c>
      <c r="I113" s="200" t="s">
        <v>326</v>
      </c>
      <c r="J113" s="200"/>
      <c r="K113" s="200"/>
    </row>
    <row r="114" spans="1:11" ht="15.75" x14ac:dyDescent="0.25">
      <c r="A114" s="61">
        <v>269.3</v>
      </c>
      <c r="B114" s="61">
        <v>284.89999999999998</v>
      </c>
      <c r="C114" s="60">
        <v>0</v>
      </c>
      <c r="D114" s="60">
        <v>4</v>
      </c>
      <c r="E114" s="60">
        <v>1</v>
      </c>
      <c r="F114" s="229">
        <f t="shared" si="3"/>
        <v>89</v>
      </c>
      <c r="G114" s="195"/>
      <c r="H114" s="230">
        <v>1</v>
      </c>
    </row>
    <row r="115" spans="1:11" ht="15.75" x14ac:dyDescent="0.25">
      <c r="A115" s="61">
        <v>284.89999999999998</v>
      </c>
      <c r="B115" s="61">
        <v>335.5</v>
      </c>
      <c r="C115" s="60">
        <v>0</v>
      </c>
      <c r="D115" s="60">
        <v>8</v>
      </c>
      <c r="E115" s="60">
        <v>1</v>
      </c>
      <c r="F115" s="229">
        <f t="shared" si="3"/>
        <v>104</v>
      </c>
      <c r="G115" s="195"/>
      <c r="H115" s="230">
        <v>1</v>
      </c>
    </row>
    <row r="116" spans="1:11" ht="15.75" x14ac:dyDescent="0.25">
      <c r="A116" s="61">
        <v>335.5</v>
      </c>
      <c r="B116" s="61">
        <v>361.8</v>
      </c>
      <c r="C116" s="60">
        <v>0</v>
      </c>
      <c r="D116" s="60">
        <v>9</v>
      </c>
      <c r="E116" s="60">
        <v>1</v>
      </c>
      <c r="F116" s="229">
        <f t="shared" si="3"/>
        <v>113</v>
      </c>
      <c r="G116" s="195"/>
      <c r="H116" s="230">
        <v>1</v>
      </c>
    </row>
    <row r="117" spans="1:11" ht="15.75" x14ac:dyDescent="0.25">
      <c r="A117" s="61">
        <v>361.8</v>
      </c>
      <c r="B117" s="61">
        <v>420.2</v>
      </c>
      <c r="C117" s="60">
        <v>0</v>
      </c>
      <c r="D117" s="60">
        <v>10</v>
      </c>
      <c r="E117" s="60">
        <v>1</v>
      </c>
      <c r="F117" s="229">
        <f t="shared" si="3"/>
        <v>131</v>
      </c>
      <c r="G117" s="195"/>
      <c r="H117" s="230">
        <v>1</v>
      </c>
    </row>
    <row r="118" spans="1:11" ht="15.75" x14ac:dyDescent="0.25">
      <c r="A118" s="61">
        <v>420.2</v>
      </c>
      <c r="B118" s="61">
        <v>468.4</v>
      </c>
      <c r="C118" s="60">
        <v>0</v>
      </c>
      <c r="D118" s="60">
        <v>11</v>
      </c>
      <c r="E118" s="60">
        <v>1</v>
      </c>
      <c r="F118" s="229">
        <f t="shared" si="3"/>
        <v>146</v>
      </c>
      <c r="G118" s="195"/>
      <c r="H118" s="230">
        <v>1</v>
      </c>
    </row>
    <row r="119" spans="1:11" ht="15.75" x14ac:dyDescent="0.25">
      <c r="A119" s="61">
        <v>468.4</v>
      </c>
      <c r="B119" s="61">
        <v>518.79999999999995</v>
      </c>
      <c r="C119" s="60">
        <v>0</v>
      </c>
      <c r="D119" s="60">
        <v>12</v>
      </c>
      <c r="E119" s="60">
        <v>1</v>
      </c>
      <c r="F119" s="229">
        <f t="shared" si="3"/>
        <v>161</v>
      </c>
      <c r="G119" s="195"/>
      <c r="H119" s="230">
        <v>1</v>
      </c>
    </row>
    <row r="120" spans="1:11" ht="15.75" x14ac:dyDescent="0.25">
      <c r="A120" s="61">
        <v>518.79999999999995</v>
      </c>
      <c r="B120" s="61">
        <v>577</v>
      </c>
      <c r="C120" s="60">
        <v>0</v>
      </c>
      <c r="D120" s="60">
        <v>13</v>
      </c>
      <c r="E120" s="60">
        <v>1</v>
      </c>
      <c r="F120" s="229">
        <f t="shared" si="3"/>
        <v>180</v>
      </c>
      <c r="G120" s="195"/>
      <c r="H120" s="230">
        <v>1</v>
      </c>
    </row>
    <row r="121" spans="1:11" ht="15.75" x14ac:dyDescent="0.25">
      <c r="A121" s="61">
        <v>577</v>
      </c>
      <c r="B121" s="61">
        <v>620.70000000000005</v>
      </c>
      <c r="C121" s="60">
        <v>0</v>
      </c>
      <c r="D121" s="60">
        <v>14</v>
      </c>
      <c r="E121" s="60">
        <v>1</v>
      </c>
      <c r="F121" s="229">
        <f t="shared" si="3"/>
        <v>193</v>
      </c>
      <c r="G121" s="195"/>
      <c r="H121" s="230">
        <v>1</v>
      </c>
    </row>
    <row r="122" spans="1:11" x14ac:dyDescent="0.2">
      <c r="C122" s="3"/>
      <c r="D122" s="3"/>
      <c r="E122" s="3"/>
      <c r="F122" s="3"/>
    </row>
    <row r="123" spans="1:11" x14ac:dyDescent="0.2">
      <c r="C123" s="3"/>
      <c r="D123" s="3"/>
      <c r="E123" s="3"/>
      <c r="F123" s="3"/>
    </row>
    <row r="124" spans="1:11" x14ac:dyDescent="0.2">
      <c r="C124" s="3"/>
      <c r="D124" s="3"/>
      <c r="E124" s="3"/>
      <c r="F124" s="3"/>
    </row>
    <row r="125" spans="1:11" x14ac:dyDescent="0.2">
      <c r="B125" t="s">
        <v>336</v>
      </c>
      <c r="C125" s="3"/>
      <c r="D125" s="3"/>
      <c r="E125" s="3"/>
      <c r="F125" s="3"/>
    </row>
    <row r="126" spans="1:11" x14ac:dyDescent="0.2">
      <c r="B126" t="s">
        <v>204</v>
      </c>
      <c r="C126" s="3" t="s">
        <v>205</v>
      </c>
      <c r="D126" s="3" t="s">
        <v>206</v>
      </c>
      <c r="E126" s="3" t="s">
        <v>168</v>
      </c>
      <c r="H126" s="3"/>
    </row>
    <row r="127" spans="1:11" ht="15.75" x14ac:dyDescent="0.25">
      <c r="A127" s="61">
        <v>0</v>
      </c>
      <c r="B127" s="61">
        <v>2.6</v>
      </c>
      <c r="C127" s="60">
        <v>5</v>
      </c>
      <c r="D127" s="60">
        <v>1</v>
      </c>
      <c r="E127" s="60">
        <v>0</v>
      </c>
      <c r="F127" s="229">
        <f t="shared" ref="F127:F165" si="4">ROUND(0.7*B127/2.25,0)</f>
        <v>1</v>
      </c>
      <c r="G127" s="195"/>
      <c r="H127" s="230">
        <v>1</v>
      </c>
    </row>
    <row r="128" spans="1:11" ht="15.75" x14ac:dyDescent="0.25">
      <c r="A128" s="61">
        <v>2.6</v>
      </c>
      <c r="B128" s="61">
        <v>2.8</v>
      </c>
      <c r="C128" s="60">
        <v>5</v>
      </c>
      <c r="D128" s="60">
        <v>2</v>
      </c>
      <c r="E128" s="60">
        <v>0</v>
      </c>
      <c r="F128" s="229">
        <f t="shared" si="4"/>
        <v>1</v>
      </c>
      <c r="G128" s="195"/>
      <c r="H128" s="230">
        <v>1</v>
      </c>
    </row>
    <row r="129" spans="1:20" ht="15.75" x14ac:dyDescent="0.25">
      <c r="A129" s="61">
        <v>2.8</v>
      </c>
      <c r="B129" s="61">
        <v>3.1</v>
      </c>
      <c r="C129" s="60">
        <v>5</v>
      </c>
      <c r="D129" s="60">
        <v>3</v>
      </c>
      <c r="E129" s="60">
        <v>0</v>
      </c>
      <c r="F129" s="229">
        <f t="shared" si="4"/>
        <v>1</v>
      </c>
      <c r="G129" s="195"/>
      <c r="H129" s="230">
        <v>1</v>
      </c>
    </row>
    <row r="130" spans="1:20" ht="15.75" x14ac:dyDescent="0.25">
      <c r="A130" s="61">
        <v>3.1</v>
      </c>
      <c r="B130" s="61">
        <v>3.2</v>
      </c>
      <c r="C130" s="60">
        <v>5</v>
      </c>
      <c r="D130" s="60">
        <v>4</v>
      </c>
      <c r="E130" s="60">
        <v>0</v>
      </c>
      <c r="F130" s="229">
        <f t="shared" si="4"/>
        <v>1</v>
      </c>
      <c r="G130" s="195"/>
      <c r="H130" s="230">
        <v>1</v>
      </c>
    </row>
    <row r="131" spans="1:20" ht="15.75" x14ac:dyDescent="0.25">
      <c r="A131" s="61">
        <v>3.2</v>
      </c>
      <c r="B131" s="61">
        <v>3.7</v>
      </c>
      <c r="C131" s="60">
        <v>5</v>
      </c>
      <c r="D131" s="60">
        <v>5</v>
      </c>
      <c r="E131" s="60">
        <v>0</v>
      </c>
      <c r="F131" s="229">
        <f t="shared" si="4"/>
        <v>1</v>
      </c>
      <c r="G131" s="195"/>
      <c r="H131" s="230">
        <v>1</v>
      </c>
      <c r="J131" s="195"/>
    </row>
    <row r="132" spans="1:20" ht="15.75" x14ac:dyDescent="0.25">
      <c r="A132" s="61">
        <v>3.7</v>
      </c>
      <c r="B132" s="61">
        <v>4.9000000000000004</v>
      </c>
      <c r="C132" s="60">
        <v>4</v>
      </c>
      <c r="D132" s="60">
        <v>1</v>
      </c>
      <c r="E132" s="60">
        <v>0</v>
      </c>
      <c r="F132" s="229">
        <f t="shared" si="4"/>
        <v>2</v>
      </c>
      <c r="G132" s="195"/>
      <c r="H132" s="230">
        <v>1</v>
      </c>
    </row>
    <row r="133" spans="1:20" ht="15.75" x14ac:dyDescent="0.25">
      <c r="A133" s="61">
        <v>4.9000000000000004</v>
      </c>
      <c r="B133" s="61">
        <v>5.4</v>
      </c>
      <c r="C133" s="60">
        <v>4</v>
      </c>
      <c r="D133" s="60">
        <v>2</v>
      </c>
      <c r="E133" s="60">
        <v>0</v>
      </c>
      <c r="F133" s="229">
        <f t="shared" si="4"/>
        <v>2</v>
      </c>
      <c r="G133" s="195"/>
      <c r="H133" s="230">
        <v>1</v>
      </c>
    </row>
    <row r="134" spans="1:20" ht="15.75" x14ac:dyDescent="0.25">
      <c r="A134" s="61">
        <v>5.4</v>
      </c>
      <c r="B134" s="61">
        <v>5.9</v>
      </c>
      <c r="C134" s="60">
        <v>4</v>
      </c>
      <c r="D134" s="60">
        <v>3</v>
      </c>
      <c r="E134" s="60">
        <v>0</v>
      </c>
      <c r="F134" s="229">
        <f t="shared" si="4"/>
        <v>2</v>
      </c>
      <c r="G134" s="195"/>
      <c r="H134" s="230">
        <v>1</v>
      </c>
    </row>
    <row r="135" spans="1:20" ht="15.75" x14ac:dyDescent="0.25">
      <c r="A135" s="61">
        <v>5.9</v>
      </c>
      <c r="B135" s="61">
        <v>6.1</v>
      </c>
      <c r="C135" s="60">
        <v>4</v>
      </c>
      <c r="D135" s="60">
        <v>4</v>
      </c>
      <c r="E135" s="60">
        <v>0</v>
      </c>
      <c r="F135" s="229">
        <f t="shared" si="4"/>
        <v>2</v>
      </c>
      <c r="G135" s="195"/>
      <c r="H135" s="230">
        <v>1</v>
      </c>
    </row>
    <row r="136" spans="1:20" ht="15.75" x14ac:dyDescent="0.25">
      <c r="A136" s="61">
        <v>6.1</v>
      </c>
      <c r="B136" s="61">
        <v>7.2</v>
      </c>
      <c r="C136" s="60">
        <v>4</v>
      </c>
      <c r="D136" s="60">
        <v>5</v>
      </c>
      <c r="E136" s="60">
        <v>0</v>
      </c>
      <c r="F136" s="229">
        <f t="shared" si="4"/>
        <v>2</v>
      </c>
      <c r="G136" s="195"/>
      <c r="H136" s="230">
        <v>1</v>
      </c>
    </row>
    <row r="137" spans="1:20" ht="15.75" x14ac:dyDescent="0.25">
      <c r="A137" s="61">
        <v>7.2</v>
      </c>
      <c r="B137" s="61">
        <v>9.5</v>
      </c>
      <c r="C137" s="60">
        <v>3</v>
      </c>
      <c r="D137" s="60">
        <v>1</v>
      </c>
      <c r="E137" s="60">
        <v>0</v>
      </c>
      <c r="F137" s="229">
        <f t="shared" ref="F137:F152" si="5">ROUND(0.8*B137/2.25,0)</f>
        <v>3</v>
      </c>
      <c r="G137" s="195"/>
      <c r="H137" s="230">
        <v>1</v>
      </c>
      <c r="M137" s="61"/>
      <c r="N137" s="61"/>
      <c r="O137" s="60"/>
      <c r="P137" s="60"/>
      <c r="Q137" s="60"/>
      <c r="R137" s="229"/>
      <c r="S137" s="195"/>
      <c r="T137" s="230"/>
    </row>
    <row r="138" spans="1:20" ht="15.75" x14ac:dyDescent="0.25">
      <c r="A138" s="61">
        <v>9.5</v>
      </c>
      <c r="B138" s="61">
        <v>10.6</v>
      </c>
      <c r="C138" s="60">
        <v>3</v>
      </c>
      <c r="D138" s="60">
        <v>2</v>
      </c>
      <c r="E138" s="60">
        <v>0</v>
      </c>
      <c r="F138" s="229">
        <f t="shared" si="5"/>
        <v>4</v>
      </c>
      <c r="G138" s="195"/>
      <c r="H138" s="230">
        <v>1</v>
      </c>
      <c r="M138" s="61"/>
      <c r="N138" s="61"/>
      <c r="O138" s="60"/>
      <c r="P138" s="60"/>
      <c r="Q138" s="60"/>
      <c r="R138" s="229"/>
      <c r="S138" s="195"/>
      <c r="T138" s="230"/>
    </row>
    <row r="139" spans="1:20" ht="15.75" x14ac:dyDescent="0.25">
      <c r="A139" s="61">
        <v>10.6</v>
      </c>
      <c r="B139" s="61">
        <v>11.5</v>
      </c>
      <c r="C139" s="60">
        <v>3</v>
      </c>
      <c r="D139" s="60">
        <v>3</v>
      </c>
      <c r="E139" s="60">
        <v>0</v>
      </c>
      <c r="F139" s="229">
        <f t="shared" si="5"/>
        <v>4</v>
      </c>
      <c r="G139" s="195"/>
      <c r="H139" s="230">
        <v>1</v>
      </c>
      <c r="M139" s="61"/>
      <c r="N139" s="61"/>
      <c r="O139" s="60"/>
      <c r="P139" s="60"/>
      <c r="Q139" s="60"/>
      <c r="R139" s="229"/>
      <c r="S139" s="195"/>
      <c r="T139" s="230"/>
    </row>
    <row r="140" spans="1:20" ht="15.75" x14ac:dyDescent="0.25">
      <c r="A140" s="61">
        <v>11.5</v>
      </c>
      <c r="B140" s="61">
        <v>12.1</v>
      </c>
      <c r="C140" s="60">
        <v>3</v>
      </c>
      <c r="D140" s="60">
        <v>4</v>
      </c>
      <c r="E140" s="60">
        <v>0</v>
      </c>
      <c r="F140" s="229">
        <f t="shared" si="5"/>
        <v>4</v>
      </c>
      <c r="G140" s="195"/>
      <c r="H140" s="230">
        <v>1</v>
      </c>
      <c r="M140" s="61"/>
      <c r="N140" s="61"/>
      <c r="O140" s="60"/>
      <c r="P140" s="60"/>
      <c r="Q140" s="60"/>
      <c r="R140" s="229"/>
      <c r="S140" s="195"/>
      <c r="T140" s="230"/>
    </row>
    <row r="141" spans="1:20" ht="15.75" x14ac:dyDescent="0.25">
      <c r="A141" s="61">
        <v>12.1</v>
      </c>
      <c r="B141" s="61">
        <v>14.2</v>
      </c>
      <c r="C141" s="60">
        <v>3</v>
      </c>
      <c r="D141" s="60">
        <v>5</v>
      </c>
      <c r="E141" s="60">
        <v>0</v>
      </c>
      <c r="F141" s="229">
        <f t="shared" si="5"/>
        <v>5</v>
      </c>
      <c r="G141" s="195"/>
      <c r="H141" s="230">
        <v>1</v>
      </c>
      <c r="M141" s="61"/>
      <c r="N141" s="61"/>
      <c r="O141" s="60"/>
      <c r="P141" s="60"/>
      <c r="Q141" s="60"/>
      <c r="R141" s="229"/>
      <c r="S141" s="195"/>
      <c r="T141" s="230"/>
    </row>
    <row r="142" spans="1:20" ht="15.75" x14ac:dyDescent="0.25">
      <c r="A142" s="61">
        <v>14.2</v>
      </c>
      <c r="B142" s="61">
        <v>16.2</v>
      </c>
      <c r="C142" s="60">
        <v>3</v>
      </c>
      <c r="D142" s="60">
        <v>6</v>
      </c>
      <c r="E142" s="60">
        <v>0</v>
      </c>
      <c r="F142" s="229">
        <f t="shared" si="5"/>
        <v>6</v>
      </c>
      <c r="G142" s="195"/>
      <c r="H142" s="230">
        <v>1</v>
      </c>
      <c r="M142" s="61"/>
      <c r="N142" s="61"/>
      <c r="O142" s="60"/>
      <c r="P142" s="60"/>
      <c r="Q142" s="60"/>
      <c r="R142" s="229"/>
      <c r="S142" s="195"/>
      <c r="T142" s="230"/>
    </row>
    <row r="143" spans="1:20" ht="15.75" x14ac:dyDescent="0.25">
      <c r="A143" s="61">
        <v>16.2</v>
      </c>
      <c r="B143" s="61">
        <v>17.5</v>
      </c>
      <c r="C143" s="60">
        <v>3</v>
      </c>
      <c r="D143" s="60">
        <v>10</v>
      </c>
      <c r="E143" s="60">
        <v>0</v>
      </c>
      <c r="F143" s="229">
        <f t="shared" si="5"/>
        <v>6</v>
      </c>
      <c r="G143" s="195"/>
      <c r="H143" s="230">
        <v>1</v>
      </c>
      <c r="M143" s="61"/>
      <c r="N143" s="61"/>
      <c r="O143" s="60"/>
      <c r="P143" s="60"/>
      <c r="Q143" s="60"/>
      <c r="R143" s="229"/>
      <c r="S143" s="195"/>
      <c r="T143" s="230"/>
    </row>
    <row r="144" spans="1:20" ht="15.75" x14ac:dyDescent="0.25">
      <c r="A144" s="61">
        <v>17.5</v>
      </c>
      <c r="B144" s="61">
        <v>19.399999999999999</v>
      </c>
      <c r="C144" s="60">
        <v>3</v>
      </c>
      <c r="D144" s="60">
        <v>11</v>
      </c>
      <c r="E144" s="60">
        <v>0</v>
      </c>
      <c r="F144" s="229">
        <f t="shared" si="5"/>
        <v>7</v>
      </c>
      <c r="G144" s="195"/>
      <c r="H144" s="230">
        <v>1</v>
      </c>
      <c r="M144" s="61"/>
      <c r="N144" s="61"/>
      <c r="O144" s="60"/>
      <c r="P144" s="60"/>
      <c r="Q144" s="60"/>
      <c r="R144" s="229"/>
      <c r="S144" s="195"/>
      <c r="T144" s="230"/>
    </row>
    <row r="145" spans="1:23" ht="15.75" x14ac:dyDescent="0.25">
      <c r="A145" s="231">
        <v>19.399999999999999</v>
      </c>
      <c r="B145" s="231">
        <v>21.4</v>
      </c>
      <c r="C145" s="229">
        <v>3</v>
      </c>
      <c r="D145" s="229">
        <v>12</v>
      </c>
      <c r="E145" s="229">
        <v>0</v>
      </c>
      <c r="F145" s="229">
        <f t="shared" si="5"/>
        <v>8</v>
      </c>
      <c r="G145" s="232"/>
      <c r="H145" s="230">
        <v>1</v>
      </c>
      <c r="I145" s="200" t="s">
        <v>316</v>
      </c>
      <c r="J145" s="200"/>
      <c r="K145" s="200"/>
      <c r="M145" s="231"/>
      <c r="N145" s="231"/>
      <c r="O145" s="229"/>
      <c r="P145" s="229"/>
      <c r="Q145" s="229"/>
      <c r="R145" s="229"/>
      <c r="S145" s="232"/>
      <c r="T145" s="230"/>
      <c r="U145" s="200"/>
      <c r="V145" s="200"/>
      <c r="W145" s="200"/>
    </row>
    <row r="146" spans="1:23" ht="15.75" x14ac:dyDescent="0.25">
      <c r="A146" s="61">
        <v>21.4</v>
      </c>
      <c r="B146" s="61">
        <v>23.9</v>
      </c>
      <c r="C146" s="60">
        <v>3</v>
      </c>
      <c r="D146" s="60">
        <v>13</v>
      </c>
      <c r="E146" s="60">
        <v>0</v>
      </c>
      <c r="F146" s="229">
        <f t="shared" si="5"/>
        <v>8</v>
      </c>
      <c r="G146" s="195"/>
      <c r="H146" s="230">
        <v>1</v>
      </c>
      <c r="M146" s="61"/>
      <c r="N146" s="61"/>
      <c r="O146" s="60"/>
      <c r="P146" s="60"/>
      <c r="Q146" s="60"/>
      <c r="R146" s="229"/>
      <c r="S146" s="195"/>
      <c r="T146" s="230"/>
    </row>
    <row r="147" spans="1:23" ht="15.75" x14ac:dyDescent="0.25">
      <c r="A147" s="61">
        <v>23.9</v>
      </c>
      <c r="B147" s="61">
        <v>25.7</v>
      </c>
      <c r="C147" s="60">
        <v>3</v>
      </c>
      <c r="D147" s="60">
        <v>14</v>
      </c>
      <c r="E147" s="60">
        <v>0</v>
      </c>
      <c r="F147" s="229">
        <f t="shared" si="5"/>
        <v>9</v>
      </c>
      <c r="G147" s="195"/>
      <c r="H147" s="230">
        <v>1</v>
      </c>
      <c r="M147" s="61"/>
      <c r="N147" s="61"/>
      <c r="O147" s="60"/>
      <c r="P147" s="60"/>
      <c r="Q147" s="60"/>
      <c r="R147" s="229"/>
      <c r="S147" s="195"/>
      <c r="T147" s="230"/>
    </row>
    <row r="148" spans="1:23" ht="15.75" x14ac:dyDescent="0.25">
      <c r="A148" s="61">
        <v>25.7</v>
      </c>
      <c r="B148" s="61">
        <v>28.2</v>
      </c>
      <c r="C148" s="60">
        <v>2</v>
      </c>
      <c r="D148" s="60">
        <v>5</v>
      </c>
      <c r="E148" s="60">
        <v>0</v>
      </c>
      <c r="F148" s="229">
        <f t="shared" si="5"/>
        <v>10</v>
      </c>
      <c r="G148" s="195"/>
      <c r="H148" s="230">
        <v>1</v>
      </c>
      <c r="M148" s="61"/>
      <c r="N148" s="61"/>
      <c r="O148" s="60"/>
      <c r="P148" s="60"/>
      <c r="Q148" s="60"/>
      <c r="R148" s="229"/>
      <c r="S148" s="195"/>
      <c r="T148" s="230"/>
    </row>
    <row r="149" spans="1:23" ht="15.75" x14ac:dyDescent="0.25">
      <c r="A149" s="61">
        <v>28.2</v>
      </c>
      <c r="B149" s="61">
        <v>32.200000000000003</v>
      </c>
      <c r="C149" s="60">
        <v>2</v>
      </c>
      <c r="D149" s="60">
        <v>6</v>
      </c>
      <c r="E149" s="60">
        <v>0</v>
      </c>
      <c r="F149" s="229">
        <f t="shared" si="5"/>
        <v>11</v>
      </c>
      <c r="G149" s="195"/>
      <c r="H149" s="230">
        <v>1</v>
      </c>
      <c r="M149" s="61"/>
      <c r="N149" s="61"/>
      <c r="O149" s="60"/>
      <c r="P149" s="60"/>
      <c r="Q149" s="60"/>
      <c r="R149" s="229"/>
      <c r="S149" s="195"/>
      <c r="T149" s="230"/>
    </row>
    <row r="150" spans="1:23" ht="15.75" x14ac:dyDescent="0.25">
      <c r="A150" s="231">
        <v>32.200000000000003</v>
      </c>
      <c r="B150" s="231">
        <v>34.700000000000003</v>
      </c>
      <c r="C150" s="229">
        <v>2</v>
      </c>
      <c r="D150" s="229">
        <v>7</v>
      </c>
      <c r="E150" s="229">
        <v>0</v>
      </c>
      <c r="F150" s="229">
        <f t="shared" si="5"/>
        <v>12</v>
      </c>
      <c r="G150" s="232"/>
      <c r="H150" s="230">
        <v>1</v>
      </c>
      <c r="I150" s="200" t="s">
        <v>317</v>
      </c>
      <c r="J150" s="200"/>
      <c r="K150" s="200"/>
      <c r="M150" s="231"/>
      <c r="N150" s="231"/>
      <c r="O150" s="229"/>
      <c r="P150" s="229"/>
      <c r="Q150" s="229"/>
      <c r="R150" s="229"/>
      <c r="S150" s="232"/>
      <c r="T150" s="230"/>
    </row>
    <row r="151" spans="1:23" ht="15.75" x14ac:dyDescent="0.25">
      <c r="A151" s="61">
        <v>34.700000000000003</v>
      </c>
      <c r="B151" s="61">
        <v>38.6</v>
      </c>
      <c r="C151" s="60">
        <v>2</v>
      </c>
      <c r="D151" s="60">
        <v>11</v>
      </c>
      <c r="E151" s="60">
        <v>0</v>
      </c>
      <c r="F151" s="229">
        <f t="shared" si="5"/>
        <v>14</v>
      </c>
      <c r="G151" s="195"/>
      <c r="H151" s="230">
        <v>1</v>
      </c>
      <c r="M151" s="61"/>
      <c r="N151" s="61"/>
      <c r="O151" s="60"/>
      <c r="P151" s="60"/>
      <c r="Q151" s="60"/>
      <c r="R151" s="229"/>
      <c r="S151" s="195"/>
      <c r="T151" s="230"/>
    </row>
    <row r="152" spans="1:23" ht="15.75" x14ac:dyDescent="0.25">
      <c r="A152" s="231">
        <v>38.6</v>
      </c>
      <c r="B152" s="231">
        <v>42.7</v>
      </c>
      <c r="C152" s="229">
        <v>2</v>
      </c>
      <c r="D152" s="229">
        <v>12</v>
      </c>
      <c r="E152" s="229">
        <v>0</v>
      </c>
      <c r="F152" s="229">
        <f t="shared" si="5"/>
        <v>15</v>
      </c>
      <c r="G152" s="232"/>
      <c r="H152" s="230">
        <v>1</v>
      </c>
      <c r="M152" s="231"/>
      <c r="N152" s="231"/>
      <c r="O152" s="229"/>
      <c r="P152" s="229"/>
      <c r="Q152" s="229"/>
      <c r="R152" s="229"/>
      <c r="S152" s="232"/>
      <c r="T152" s="230"/>
    </row>
    <row r="153" spans="1:23" ht="15.75" x14ac:dyDescent="0.25">
      <c r="A153" s="231">
        <v>42.7</v>
      </c>
      <c r="B153" s="231">
        <v>47.7</v>
      </c>
      <c r="C153" s="229">
        <v>2</v>
      </c>
      <c r="D153" s="229">
        <v>13</v>
      </c>
      <c r="E153" s="229">
        <v>0</v>
      </c>
      <c r="F153" s="229">
        <f t="shared" si="4"/>
        <v>15</v>
      </c>
      <c r="G153" s="232"/>
      <c r="H153" s="230">
        <v>1</v>
      </c>
      <c r="I153" s="200" t="s">
        <v>318</v>
      </c>
      <c r="J153" s="200"/>
      <c r="K153" s="200"/>
      <c r="M153" s="231"/>
      <c r="N153" s="231"/>
      <c r="O153" s="229"/>
      <c r="P153" s="229"/>
      <c r="Q153" s="229"/>
      <c r="R153" s="229"/>
      <c r="S153" s="232"/>
      <c r="T153" s="230"/>
    </row>
    <row r="154" spans="1:23" ht="15.75" x14ac:dyDescent="0.25">
      <c r="A154" s="61">
        <v>47.7</v>
      </c>
      <c r="B154" s="61">
        <v>51.2</v>
      </c>
      <c r="C154" s="60">
        <v>2</v>
      </c>
      <c r="D154" s="60">
        <v>14</v>
      </c>
      <c r="E154" s="60">
        <v>0</v>
      </c>
      <c r="F154" s="229">
        <f t="shared" si="4"/>
        <v>16</v>
      </c>
      <c r="G154" s="195"/>
      <c r="H154" s="230">
        <v>1</v>
      </c>
    </row>
    <row r="155" spans="1:23" ht="15.75" x14ac:dyDescent="0.25">
      <c r="A155" s="61">
        <v>51.2</v>
      </c>
      <c r="B155" s="61">
        <v>56.2</v>
      </c>
      <c r="C155" s="60">
        <v>1</v>
      </c>
      <c r="D155" s="60">
        <v>5</v>
      </c>
      <c r="E155" s="60">
        <v>0</v>
      </c>
      <c r="F155" s="229">
        <f t="shared" si="4"/>
        <v>17</v>
      </c>
      <c r="G155" s="195"/>
      <c r="H155" s="230">
        <v>1</v>
      </c>
    </row>
    <row r="156" spans="1:23" ht="15.75" x14ac:dyDescent="0.25">
      <c r="A156" s="61">
        <v>56.2</v>
      </c>
      <c r="B156" s="61">
        <v>64.099999999999994</v>
      </c>
      <c r="C156" s="60">
        <v>1</v>
      </c>
      <c r="D156" s="60">
        <v>6</v>
      </c>
      <c r="E156" s="60">
        <v>0</v>
      </c>
      <c r="F156" s="229">
        <f t="shared" si="4"/>
        <v>20</v>
      </c>
      <c r="G156" s="195"/>
      <c r="H156" s="230">
        <v>1</v>
      </c>
    </row>
    <row r="157" spans="1:23" ht="15.75" x14ac:dyDescent="0.25">
      <c r="A157" s="61">
        <v>64.099999999999994</v>
      </c>
      <c r="B157" s="61">
        <v>69.400000000000006</v>
      </c>
      <c r="C157" s="60">
        <v>1</v>
      </c>
      <c r="D157" s="60">
        <v>10</v>
      </c>
      <c r="E157" s="60">
        <v>0</v>
      </c>
      <c r="F157" s="229">
        <f t="shared" si="4"/>
        <v>22</v>
      </c>
      <c r="G157" s="195"/>
      <c r="H157" s="230">
        <v>1</v>
      </c>
    </row>
    <row r="158" spans="1:23" ht="15.75" x14ac:dyDescent="0.25">
      <c r="A158" s="61">
        <v>69.400000000000006</v>
      </c>
      <c r="B158" s="61">
        <v>77.099999999999994</v>
      </c>
      <c r="C158" s="60">
        <v>1</v>
      </c>
      <c r="D158" s="60">
        <v>11</v>
      </c>
      <c r="E158" s="60">
        <v>0</v>
      </c>
      <c r="F158" s="229">
        <f t="shared" si="4"/>
        <v>24</v>
      </c>
      <c r="G158" s="195"/>
      <c r="H158" s="230">
        <v>1</v>
      </c>
    </row>
    <row r="159" spans="1:23" ht="15.75" x14ac:dyDescent="0.25">
      <c r="A159" s="231">
        <v>77.099999999999994</v>
      </c>
      <c r="B159" s="231">
        <v>85.1</v>
      </c>
      <c r="C159" s="229">
        <v>1</v>
      </c>
      <c r="D159" s="229">
        <v>12</v>
      </c>
      <c r="E159" s="229">
        <v>0</v>
      </c>
      <c r="F159" s="229">
        <f t="shared" si="4"/>
        <v>26</v>
      </c>
      <c r="G159" s="232"/>
      <c r="H159" s="230">
        <v>1</v>
      </c>
      <c r="I159" s="200" t="s">
        <v>319</v>
      </c>
      <c r="J159" s="200"/>
      <c r="K159" s="200"/>
    </row>
    <row r="160" spans="1:23" ht="15.75" x14ac:dyDescent="0.25">
      <c r="A160" s="61">
        <v>85.1</v>
      </c>
      <c r="B160" s="61">
        <v>95.3</v>
      </c>
      <c r="C160" s="60">
        <v>1</v>
      </c>
      <c r="D160" s="60">
        <v>13</v>
      </c>
      <c r="E160" s="60">
        <v>0</v>
      </c>
      <c r="F160" s="229">
        <f t="shared" si="4"/>
        <v>30</v>
      </c>
      <c r="G160" s="195"/>
      <c r="H160" s="230">
        <v>1</v>
      </c>
    </row>
    <row r="161" spans="1:17" ht="15.75" x14ac:dyDescent="0.25">
      <c r="A161" s="233">
        <v>95.3</v>
      </c>
      <c r="B161" s="233">
        <v>102.2</v>
      </c>
      <c r="C161" s="234">
        <v>1</v>
      </c>
      <c r="D161" s="234">
        <v>14</v>
      </c>
      <c r="E161" s="234">
        <v>0</v>
      </c>
      <c r="F161" s="229">
        <f t="shared" si="4"/>
        <v>32</v>
      </c>
      <c r="G161" s="235"/>
      <c r="H161" s="230">
        <v>1</v>
      </c>
      <c r="I161" s="201" t="s">
        <v>320</v>
      </c>
      <c r="J161" s="201"/>
      <c r="K161" s="201"/>
    </row>
    <row r="162" spans="1:17" ht="15.75" x14ac:dyDescent="0.25">
      <c r="A162" s="231">
        <v>102.2</v>
      </c>
      <c r="B162" s="231">
        <v>115.6</v>
      </c>
      <c r="C162" s="229">
        <v>2</v>
      </c>
      <c r="D162" s="229">
        <v>11</v>
      </c>
      <c r="E162" s="229">
        <v>1</v>
      </c>
      <c r="F162" s="229">
        <f t="shared" si="4"/>
        <v>36</v>
      </c>
      <c r="G162" s="232"/>
      <c r="H162" s="230">
        <v>1</v>
      </c>
      <c r="I162" s="200" t="s">
        <v>321</v>
      </c>
      <c r="J162" s="200"/>
      <c r="K162" s="200" t="s">
        <v>322</v>
      </c>
    </row>
    <row r="163" spans="1:17" ht="15.75" x14ac:dyDescent="0.25">
      <c r="A163" s="61">
        <v>115.6</v>
      </c>
      <c r="B163" s="61">
        <v>127.7</v>
      </c>
      <c r="C163" s="60">
        <v>2</v>
      </c>
      <c r="D163" s="60">
        <v>12</v>
      </c>
      <c r="E163" s="60">
        <v>1</v>
      </c>
      <c r="F163" s="229">
        <f t="shared" si="4"/>
        <v>40</v>
      </c>
      <c r="G163" s="195"/>
      <c r="H163" s="230">
        <v>1</v>
      </c>
    </row>
    <row r="164" spans="1:17" ht="15.75" x14ac:dyDescent="0.25">
      <c r="A164" s="61">
        <v>127.7</v>
      </c>
      <c r="B164" s="61">
        <v>142.80000000000001</v>
      </c>
      <c r="C164" s="60">
        <v>2</v>
      </c>
      <c r="D164" s="60">
        <v>13</v>
      </c>
      <c r="E164" s="60">
        <v>1</v>
      </c>
      <c r="F164" s="229">
        <f t="shared" si="4"/>
        <v>44</v>
      </c>
      <c r="G164" s="195"/>
      <c r="H164" s="230">
        <v>1</v>
      </c>
    </row>
    <row r="165" spans="1:17" ht="15.75" x14ac:dyDescent="0.25">
      <c r="A165" s="61">
        <v>142.69999999999999</v>
      </c>
      <c r="B165" s="61">
        <v>153.30000000000001</v>
      </c>
      <c r="C165" s="60">
        <v>2</v>
      </c>
      <c r="D165" s="60">
        <v>14</v>
      </c>
      <c r="E165" s="60">
        <v>1</v>
      </c>
      <c r="F165" s="229">
        <f t="shared" si="4"/>
        <v>48</v>
      </c>
      <c r="G165" s="195"/>
      <c r="H165" s="230">
        <v>1</v>
      </c>
      <c r="L165" s="60"/>
      <c r="M165" s="60"/>
      <c r="N165" s="60"/>
      <c r="O165" s="229"/>
      <c r="P165" s="195"/>
      <c r="Q165" s="230"/>
    </row>
    <row r="166" spans="1:17" ht="15.75" x14ac:dyDescent="0.25">
      <c r="A166" s="231">
        <v>153.30000000000001</v>
      </c>
      <c r="B166" s="231">
        <v>168</v>
      </c>
      <c r="C166" s="229">
        <v>1</v>
      </c>
      <c r="D166" s="229">
        <v>8</v>
      </c>
      <c r="E166" s="229">
        <v>1</v>
      </c>
      <c r="F166" s="229">
        <f t="shared" ref="F166:F179" si="6">ROUND(0.7*B166/2.25,0)</f>
        <v>52</v>
      </c>
      <c r="G166" s="232"/>
      <c r="H166" s="230">
        <v>1</v>
      </c>
      <c r="I166" s="200" t="s">
        <v>323</v>
      </c>
      <c r="J166" s="200"/>
      <c r="K166" s="200"/>
    </row>
    <row r="167" spans="1:17" ht="15.75" x14ac:dyDescent="0.25">
      <c r="A167" s="231">
        <v>168</v>
      </c>
      <c r="B167" s="231">
        <v>181.1</v>
      </c>
      <c r="C167" s="229">
        <v>1</v>
      </c>
      <c r="D167" s="229">
        <v>9</v>
      </c>
      <c r="E167" s="229">
        <v>1</v>
      </c>
      <c r="F167" s="229">
        <f t="shared" si="6"/>
        <v>56</v>
      </c>
      <c r="G167" s="232"/>
      <c r="H167" s="230">
        <v>1</v>
      </c>
      <c r="I167" s="200"/>
      <c r="J167" s="200"/>
      <c r="K167" s="200"/>
    </row>
    <row r="168" spans="1:17" ht="15.75" x14ac:dyDescent="0.25">
      <c r="A168" s="231">
        <v>181.1</v>
      </c>
      <c r="B168" s="231">
        <v>208.4</v>
      </c>
      <c r="C168" s="229">
        <v>1</v>
      </c>
      <c r="D168" s="229">
        <v>10</v>
      </c>
      <c r="E168" s="229">
        <v>1</v>
      </c>
      <c r="F168" s="229">
        <f t="shared" si="6"/>
        <v>65</v>
      </c>
      <c r="G168" s="232"/>
      <c r="H168" s="230">
        <v>1</v>
      </c>
      <c r="I168" s="200" t="s">
        <v>324</v>
      </c>
      <c r="J168" s="200"/>
      <c r="K168" s="200"/>
    </row>
    <row r="169" spans="1:17" ht="15.75" x14ac:dyDescent="0.25">
      <c r="A169" s="231">
        <v>208.4</v>
      </c>
      <c r="B169" s="231">
        <v>232</v>
      </c>
      <c r="C169" s="229">
        <v>1</v>
      </c>
      <c r="D169" s="229">
        <v>11</v>
      </c>
      <c r="E169" s="229">
        <v>1</v>
      </c>
      <c r="F169" s="229">
        <f t="shared" si="6"/>
        <v>72</v>
      </c>
      <c r="G169" s="232"/>
      <c r="H169" s="230">
        <v>1</v>
      </c>
      <c r="I169" s="200"/>
      <c r="J169" s="200"/>
      <c r="K169" s="200"/>
    </row>
    <row r="170" spans="1:17" ht="15.75" x14ac:dyDescent="0.25">
      <c r="A170" s="231">
        <v>232</v>
      </c>
      <c r="B170" s="231">
        <v>256</v>
      </c>
      <c r="C170" s="229">
        <v>1</v>
      </c>
      <c r="D170" s="229">
        <v>12</v>
      </c>
      <c r="E170" s="229">
        <v>1</v>
      </c>
      <c r="F170" s="229">
        <f t="shared" si="6"/>
        <v>80</v>
      </c>
      <c r="G170" s="232"/>
      <c r="H170" s="230">
        <v>1</v>
      </c>
      <c r="I170" s="200" t="s">
        <v>325</v>
      </c>
      <c r="J170" s="200"/>
      <c r="K170" s="200"/>
    </row>
    <row r="171" spans="1:17" ht="15.75" x14ac:dyDescent="0.25">
      <c r="A171" s="231">
        <v>256</v>
      </c>
      <c r="B171" s="231">
        <v>269.3</v>
      </c>
      <c r="C171" s="229">
        <v>0</v>
      </c>
      <c r="D171" s="229">
        <v>3</v>
      </c>
      <c r="E171" s="229">
        <v>1</v>
      </c>
      <c r="F171" s="229">
        <f t="shared" si="6"/>
        <v>84</v>
      </c>
      <c r="G171" s="232"/>
      <c r="H171" s="230">
        <v>1</v>
      </c>
      <c r="I171" s="200" t="s">
        <v>326</v>
      </c>
      <c r="J171" s="200"/>
      <c r="K171" s="200"/>
    </row>
    <row r="172" spans="1:17" ht="15.75" x14ac:dyDescent="0.25">
      <c r="A172" s="61">
        <v>269.3</v>
      </c>
      <c r="B172" s="61">
        <v>284.89999999999998</v>
      </c>
      <c r="C172" s="60">
        <v>0</v>
      </c>
      <c r="D172" s="60">
        <v>4</v>
      </c>
      <c r="E172" s="60">
        <v>1</v>
      </c>
      <c r="F172" s="229">
        <f t="shared" si="6"/>
        <v>89</v>
      </c>
      <c r="G172" s="195"/>
      <c r="H172" s="230">
        <v>1</v>
      </c>
    </row>
    <row r="173" spans="1:17" ht="15.75" x14ac:dyDescent="0.25">
      <c r="A173" s="61">
        <v>284.89999999999998</v>
      </c>
      <c r="B173" s="61">
        <v>335.5</v>
      </c>
      <c r="C173" s="60">
        <v>0</v>
      </c>
      <c r="D173" s="60">
        <v>8</v>
      </c>
      <c r="E173" s="60">
        <v>1</v>
      </c>
      <c r="F173" s="229">
        <f t="shared" si="6"/>
        <v>104</v>
      </c>
      <c r="G173" s="195"/>
      <c r="H173" s="230">
        <v>1</v>
      </c>
    </row>
    <row r="174" spans="1:17" ht="15.75" x14ac:dyDescent="0.25">
      <c r="A174" s="61">
        <v>335.5</v>
      </c>
      <c r="B174" s="61">
        <v>361.8</v>
      </c>
      <c r="C174" s="60">
        <v>0</v>
      </c>
      <c r="D174" s="60">
        <v>9</v>
      </c>
      <c r="E174" s="60">
        <v>1</v>
      </c>
      <c r="F174" s="229">
        <f t="shared" si="6"/>
        <v>113</v>
      </c>
      <c r="G174" s="195"/>
      <c r="H174" s="230">
        <v>1</v>
      </c>
    </row>
    <row r="175" spans="1:17" ht="15.75" x14ac:dyDescent="0.25">
      <c r="A175" s="61">
        <v>361.8</v>
      </c>
      <c r="B175" s="61">
        <v>420.2</v>
      </c>
      <c r="C175" s="60">
        <v>0</v>
      </c>
      <c r="D175" s="60">
        <v>10</v>
      </c>
      <c r="E175" s="60">
        <v>1</v>
      </c>
      <c r="F175" s="229">
        <f t="shared" si="6"/>
        <v>131</v>
      </c>
      <c r="G175" s="195"/>
      <c r="H175" s="230">
        <v>1</v>
      </c>
    </row>
    <row r="176" spans="1:17" ht="15.75" x14ac:dyDescent="0.25">
      <c r="A176" s="61">
        <v>420.2</v>
      </c>
      <c r="B176" s="61">
        <v>468.4</v>
      </c>
      <c r="C176" s="60">
        <v>0</v>
      </c>
      <c r="D176" s="60">
        <v>11</v>
      </c>
      <c r="E176" s="60">
        <v>1</v>
      </c>
      <c r="F176" s="229">
        <f t="shared" si="6"/>
        <v>146</v>
      </c>
      <c r="G176" s="195"/>
      <c r="H176" s="230">
        <v>1</v>
      </c>
    </row>
    <row r="177" spans="1:8" ht="15.75" x14ac:dyDescent="0.25">
      <c r="A177" s="61">
        <v>468.4</v>
      </c>
      <c r="B177" s="61">
        <v>518.79999999999995</v>
      </c>
      <c r="C177" s="60">
        <v>0</v>
      </c>
      <c r="D177" s="60">
        <v>12</v>
      </c>
      <c r="E177" s="60">
        <v>1</v>
      </c>
      <c r="F177" s="229">
        <f t="shared" si="6"/>
        <v>161</v>
      </c>
      <c r="G177" s="195"/>
      <c r="H177" s="230">
        <v>1</v>
      </c>
    </row>
    <row r="178" spans="1:8" ht="15.75" x14ac:dyDescent="0.25">
      <c r="A178" s="61">
        <v>518.79999999999995</v>
      </c>
      <c r="B178" s="61">
        <v>577</v>
      </c>
      <c r="C178" s="60">
        <v>0</v>
      </c>
      <c r="D178" s="60">
        <v>13</v>
      </c>
      <c r="E178" s="60">
        <v>1</v>
      </c>
      <c r="F178" s="229">
        <f t="shared" si="6"/>
        <v>180</v>
      </c>
      <c r="G178" s="195"/>
      <c r="H178" s="230">
        <v>1</v>
      </c>
    </row>
    <row r="179" spans="1:8" ht="15.75" x14ac:dyDescent="0.25">
      <c r="A179" s="61">
        <v>577</v>
      </c>
      <c r="B179" s="61">
        <v>620.70000000000005</v>
      </c>
      <c r="C179" s="60">
        <v>0</v>
      </c>
      <c r="D179" s="60">
        <v>14</v>
      </c>
      <c r="E179" s="60">
        <v>1</v>
      </c>
      <c r="F179" s="229">
        <f t="shared" si="6"/>
        <v>193</v>
      </c>
      <c r="G179" s="195"/>
      <c r="H179" s="230">
        <v>1</v>
      </c>
    </row>
  </sheetData>
  <mergeCells count="1">
    <mergeCell ref="K7:K8"/>
  </mergeCells>
  <phoneticPr fontId="1"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3" workbookViewId="0">
      <selection activeCell="E30" sqref="E30"/>
    </sheetView>
  </sheetViews>
  <sheetFormatPr defaultRowHeight="12.75" x14ac:dyDescent="0.2"/>
  <cols>
    <col min="1" max="1" width="12.7109375" style="3" customWidth="1"/>
    <col min="2" max="2" width="9.140625" style="3" customWidth="1"/>
    <col min="3" max="3" width="14.140625" style="3" customWidth="1"/>
    <col min="4" max="4" width="17.42578125" style="3" customWidth="1"/>
    <col min="5" max="5" width="12.7109375" style="3" customWidth="1"/>
    <col min="6" max="6" width="16.5703125" style="3" customWidth="1"/>
    <col min="7" max="7" width="14.5703125" style="3" customWidth="1"/>
    <col min="8" max="8" width="28.5703125" style="3" customWidth="1"/>
    <col min="9" max="9" width="11.85546875" customWidth="1"/>
    <col min="10" max="10" width="18.7109375" customWidth="1"/>
    <col min="11" max="11" width="19.85546875" customWidth="1"/>
  </cols>
  <sheetData>
    <row r="1" spans="1:11" ht="13.5" thickBot="1" x14ac:dyDescent="0.25">
      <c r="A1" s="3" t="s">
        <v>393</v>
      </c>
      <c r="E1" s="3" t="s">
        <v>397</v>
      </c>
      <c r="I1" s="3"/>
      <c r="J1" s="3"/>
      <c r="K1" s="3"/>
    </row>
    <row r="2" spans="1:11" ht="21" thickBot="1" x14ac:dyDescent="0.25">
      <c r="A2" s="250">
        <f>('Modem Registers Calculations'!G9+'Modem Registers Calculations'!H9)/2</f>
        <v>40</v>
      </c>
      <c r="E2" s="3">
        <f>IF(OR(('Modem Registers Calculations'!F55&lt;=2),('Modem Registers Calculations'!F55&gt;=0.5)),0.7*A4,0.5*A4)</f>
        <v>0.7</v>
      </c>
      <c r="I2" s="3"/>
      <c r="J2" s="3"/>
      <c r="K2" s="3"/>
    </row>
    <row r="3" spans="1:11" x14ac:dyDescent="0.2">
      <c r="A3" s="3" t="s">
        <v>399</v>
      </c>
      <c r="B3" s="389" t="s">
        <v>190</v>
      </c>
      <c r="C3" s="389" t="s">
        <v>385</v>
      </c>
      <c r="G3" s="389" t="s">
        <v>209</v>
      </c>
      <c r="I3" s="3"/>
      <c r="J3" s="389" t="s">
        <v>341</v>
      </c>
      <c r="K3" s="3"/>
    </row>
    <row r="4" spans="1:11" ht="13.5" thickBot="1" x14ac:dyDescent="0.25">
      <c r="A4" s="3">
        <f>IF('Modem Registers Calculations'!D55,1,0.8)</f>
        <v>1</v>
      </c>
      <c r="B4" s="390"/>
      <c r="C4" s="390"/>
      <c r="G4" s="390"/>
      <c r="I4" s="3"/>
      <c r="J4" s="390"/>
      <c r="K4" s="3"/>
    </row>
    <row r="5" spans="1:11" x14ac:dyDescent="0.2">
      <c r="B5" s="86"/>
      <c r="C5" s="68" t="s">
        <v>211</v>
      </c>
      <c r="G5" s="86" t="s">
        <v>215</v>
      </c>
      <c r="I5" s="3"/>
      <c r="J5" s="223" t="s">
        <v>340</v>
      </c>
      <c r="K5" s="3"/>
    </row>
    <row r="6" spans="1:11" x14ac:dyDescent="0.2">
      <c r="A6" s="3" t="s">
        <v>378</v>
      </c>
      <c r="B6" s="86" t="s">
        <v>160</v>
      </c>
      <c r="C6" s="68" t="s">
        <v>160</v>
      </c>
      <c r="G6" s="86" t="s">
        <v>160</v>
      </c>
      <c r="H6" s="3" t="s">
        <v>391</v>
      </c>
      <c r="I6" s="3"/>
      <c r="J6" s="86" t="s">
        <v>339</v>
      </c>
      <c r="K6" s="3"/>
    </row>
    <row r="7" spans="1:11" ht="13.5" thickBot="1" x14ac:dyDescent="0.25">
      <c r="A7" s="3">
        <f>IF('Modem Registers Calculations'!F55&gt;=2,0.9*A4,A4)</f>
        <v>0.9</v>
      </c>
      <c r="B7" s="64">
        <f xml:space="preserve"> IF('Hidden calc'!C7&gt;'Modem Registers Calculations'!G55,('Hidden calc'!C7),'Modem Registers Calculations'!G55)</f>
        <v>69.409599999999998</v>
      </c>
      <c r="C7" s="72">
        <f xml:space="preserve"> 2*(30*'Hidden calc'!A2*2/1000)*('Modem Registers Calculations'!E22/30)</f>
        <v>69.409599999999998</v>
      </c>
      <c r="D7" s="3">
        <f>C7-'Modem Registers Calculations'!G55</f>
        <v>14.6096</v>
      </c>
      <c r="E7" s="3">
        <f>1+D7/'Modem Registers Calculations'!G55</f>
        <v>1.2665985401459854</v>
      </c>
      <c r="F7" s="3">
        <f>IF(E7&lt;E2,'Modem Registers Calculations'!G55,'Modem Registers Calculations'!G55*(1+'Hidden calc'!E7/8))</f>
        <v>63.476199999999992</v>
      </c>
      <c r="G7" s="64">
        <f>B7</f>
        <v>69.409599999999998</v>
      </c>
      <c r="H7" s="3">
        <f>IF('Modem Registers Calculations'!B14="= &lt; 1%",0,1)</f>
        <v>1</v>
      </c>
      <c r="I7" s="3"/>
      <c r="J7" s="247">
        <f>IF(-118&gt; -174+10*LOG10('Modem Registers Calculations'!H55/'Modem Registers Calculations'!G55)+8.5+11+LOG(MAX('Modem Registers Calculations'!F55,1),2)+10*LOG10('Modem Registers Calculations'!L9*1000),-118,-174+10*LOG10('Modem Registers Calculations'!H55/'Modem Registers Calculations'!G55)+8.5+11+LOG(MAX('Modem Registers Calculations'!F55,1),2)+10*LOG10('Modem Registers Calculations'!L9*1000))</f>
        <v>-115.83432760327713</v>
      </c>
      <c r="K7" s="267">
        <f>IF('Modem Registers Calculations'!F55&gt;1,'Hidden calc'!J7,'Hidden calc'!J7+10*(1-'Modem Registers Calculations'!F55))</f>
        <v>-115.83432760327713</v>
      </c>
    </row>
    <row r="8" spans="1:11" x14ac:dyDescent="0.2">
      <c r="I8" s="3"/>
      <c r="J8" s="3"/>
      <c r="K8" s="3"/>
    </row>
    <row r="9" spans="1:11" x14ac:dyDescent="0.2">
      <c r="I9" s="3"/>
      <c r="J9" s="3"/>
      <c r="K9" s="3"/>
    </row>
    <row r="10" spans="1:11" x14ac:dyDescent="0.2">
      <c r="I10" s="3"/>
      <c r="J10" s="3"/>
      <c r="K10" s="3"/>
    </row>
    <row r="11" spans="1:11" x14ac:dyDescent="0.2">
      <c r="B11" s="3" t="s">
        <v>375</v>
      </c>
      <c r="D11" s="3" t="s">
        <v>372</v>
      </c>
      <c r="E11" s="3" t="s">
        <v>373</v>
      </c>
      <c r="F11" s="3" t="s">
        <v>374</v>
      </c>
      <c r="G11" s="3" t="s">
        <v>381</v>
      </c>
      <c r="H11" s="3" t="s">
        <v>380</v>
      </c>
      <c r="I11" s="3"/>
      <c r="J11" s="3"/>
      <c r="K11" s="3"/>
    </row>
    <row r="12" spans="1:11" ht="13.5" thickBot="1" x14ac:dyDescent="0.25">
      <c r="B12" s="91">
        <f>IF('Modem Registers Calculations'!F55&lt;2,VLOOKUP('Hidden calc'!G7,BWtable!A8:F61,6),VLOOKUP('Hidden calc'!G7,BWtable!A127:F179,6))</f>
        <v>24</v>
      </c>
      <c r="D12" s="3">
        <f>IF( 'Modem Registers Calculations'!F55=1, 1,1.1)</f>
        <v>1.1000000000000001</v>
      </c>
      <c r="E12" s="3">
        <f>('Modem Registers Calculations'!B28+1)*156.25*4*B12/1000</f>
        <v>15</v>
      </c>
      <c r="F12" s="3">
        <f>2*E12/'Hidden calc'!C7</f>
        <v>0.43221686913625784</v>
      </c>
      <c r="G12" s="3">
        <f>IF(F12&lt;D12,E12+'Hidden calc'!C7*(D12-F12)/2,E12)</f>
        <v>38.175280000000001</v>
      </c>
      <c r="H12" s="3" t="str">
        <f>DEC2HEX(((1000*G12/4/('Modem Registers Calculations'!B28+1)/156.25)),2)</f>
        <v>3D</v>
      </c>
      <c r="I12" s="3"/>
      <c r="J12" s="3"/>
      <c r="K12" s="3"/>
    </row>
    <row r="13" spans="1:11" x14ac:dyDescent="0.2">
      <c r="I13" s="3" t="s">
        <v>388</v>
      </c>
      <c r="J13" s="3" t="s">
        <v>389</v>
      </c>
      <c r="K13" s="3" t="s">
        <v>382</v>
      </c>
    </row>
    <row r="14" spans="1:11" x14ac:dyDescent="0.2">
      <c r="I14" s="3" t="str">
        <f>IF('Modem Registers Calculations'!G55&gt;='Hidden calc'!C7,'Hidden calc'!H12,'Hidden calc'!H16)</f>
        <v>37</v>
      </c>
      <c r="J14" s="3">
        <f>IF(HEX2DEC(I14)&gt;80,80,HEX2DEC(I14))</f>
        <v>55</v>
      </c>
      <c r="K14" s="3">
        <f>('Modem Registers Calculations'!B28+1)*156.25*4*J14/1000</f>
        <v>34.375</v>
      </c>
    </row>
    <row r="15" spans="1:11" x14ac:dyDescent="0.2">
      <c r="A15" s="3" t="s">
        <v>377</v>
      </c>
      <c r="B15" s="3" t="s">
        <v>376</v>
      </c>
      <c r="H15" s="3" t="s">
        <v>379</v>
      </c>
    </row>
    <row r="16" spans="1:11" x14ac:dyDescent="0.2">
      <c r="A16" s="3">
        <f>IF(AND('Hidden calc'!A2&gt;25,'Modem Registers Calculations'!F55&gt;1),1,0)</f>
        <v>1</v>
      </c>
      <c r="B16" s="3">
        <f>ROUND('Hidden calc'!C7/2+0.5,0)</f>
        <v>35</v>
      </c>
      <c r="H16" s="3" t="str">
        <f>DEC2HEX(ROUND(1000*B16/4/('Modem Registers Calculations'!B28+1)/156.25,0)-A16,2)</f>
        <v>37</v>
      </c>
    </row>
    <row r="17" spans="1:8" x14ac:dyDescent="0.2">
      <c r="H17"/>
    </row>
    <row r="20" spans="1:8" x14ac:dyDescent="0.2">
      <c r="A20" s="3" t="s">
        <v>398</v>
      </c>
      <c r="D20" s="3" t="s">
        <v>422</v>
      </c>
    </row>
    <row r="21" spans="1:8" x14ac:dyDescent="0.2">
      <c r="A21" s="3">
        <f>HEX2DEC('Modem Registers Calculations'!E62)/8/'Modem Registers Calculations'!F55</f>
        <v>5.0039999999999996</v>
      </c>
      <c r="D21" s="3" t="str">
        <f>IF(H7=0,"03","00")</f>
        <v>00</v>
      </c>
    </row>
    <row r="28" spans="1:8" x14ac:dyDescent="0.2">
      <c r="A28" s="3" t="s">
        <v>433</v>
      </c>
    </row>
    <row r="29" spans="1:8" x14ac:dyDescent="0.2">
      <c r="A29" s="3" t="s">
        <v>434</v>
      </c>
      <c r="C29" s="3" t="s">
        <v>435</v>
      </c>
      <c r="D29" s="3" t="s">
        <v>165</v>
      </c>
      <c r="E29" s="3" t="s">
        <v>436</v>
      </c>
      <c r="G29" s="3" t="s">
        <v>437</v>
      </c>
    </row>
    <row r="30" spans="1:8" ht="15" x14ac:dyDescent="0.25">
      <c r="A30" s="3">
        <f>IF(OR(('Modem Registers Calculations'!J9&lt;240),('Modem Registers Calculations'!J9&gt;960)),1,0)</f>
        <v>0</v>
      </c>
      <c r="C30" s="3">
        <f>IF(OR(('Modem Registers Calculations'!L9&gt;256),('Modem Registers Calculations'!L9&lt;0.126)),1,0)</f>
        <v>0</v>
      </c>
      <c r="D30" s="3">
        <f>IF(OR(('Modem Registers Calculations'!C14&gt;320),('Modem Registers Calculations'!C14&lt;0.625)),1,0)</f>
        <v>0</v>
      </c>
      <c r="E30" s="3">
        <f>IF(OR(AND('Modem Registers Calculations'!A9&lt;&gt;"OOK",A34&gt;HEX2DEC("7FF")),AND('Modem Registers Calculations'!A9="OOK",A38&gt;HEX2DEC("7FF"))),1,0)</f>
        <v>0</v>
      </c>
      <c r="G30" s="321">
        <f>IF(AND('Modem Registers Calculations'!A9&lt;&gt;"OOK",OR(('Modem Registers Calculations'!F55&lt;0.5),('Modem Registers Calculations'!F55&gt;62))),1,0)</f>
        <v>0</v>
      </c>
    </row>
    <row r="33" spans="1:1" x14ac:dyDescent="0.2">
      <c r="A33" s="3" t="s">
        <v>438</v>
      </c>
    </row>
    <row r="34" spans="1:1" x14ac:dyDescent="0.2">
      <c r="A34" s="3">
        <f>ROUND(500*('Modem Registers Calculations'!K14/30000)*(1+2*'Modem Registers Calculations'!D62)/((1+'Modem Registers Calculations'!H62)*'Modem Registers Calculations'!L9*2^('Modem Registers Calculations'!B62-3)),0)</f>
        <v>417</v>
      </c>
    </row>
    <row r="37" spans="1:1" x14ac:dyDescent="0.2">
      <c r="A37" s="3" t="s">
        <v>439</v>
      </c>
    </row>
    <row r="38" spans="1:1" x14ac:dyDescent="0.2">
      <c r="A38" s="3">
        <f>ROUND(500*('Modem Registers Calculations'!$K$14/30000)*(1+2*'Modem Registers Calculations'!D78)/((1+'Modem Registers Calculations'!F71)*'Modem Registers Calculations'!B71*2^('Modem Registers Calculations'!B78-3)),0)</f>
        <v>625</v>
      </c>
    </row>
  </sheetData>
  <mergeCells count="4">
    <mergeCell ref="B3:B4"/>
    <mergeCell ref="G3:G4"/>
    <mergeCell ref="C3:C4"/>
    <mergeCell ref="J3:J4"/>
  </mergeCells>
  <phoneticPr fontId="1"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1"/>
  <sheetViews>
    <sheetView workbookViewId="0">
      <selection activeCell="A24" sqref="A24"/>
    </sheetView>
  </sheetViews>
  <sheetFormatPr defaultRowHeight="12.75" x14ac:dyDescent="0.2"/>
  <cols>
    <col min="2" max="2" width="15.140625" style="3" customWidth="1"/>
    <col min="3" max="3" width="16" style="3" customWidth="1"/>
    <col min="4" max="4" width="11.28515625" style="3" customWidth="1"/>
    <col min="5" max="5" width="13" style="3" customWidth="1"/>
    <col min="11" max="11" width="16" customWidth="1"/>
    <col min="12" max="12" width="12.5703125" customWidth="1"/>
    <col min="13" max="13" width="13.42578125" customWidth="1"/>
    <col min="14" max="14" width="12.85546875" customWidth="1"/>
  </cols>
  <sheetData>
    <row r="1" spans="2:6" x14ac:dyDescent="0.2">
      <c r="B1" s="469" t="s">
        <v>195</v>
      </c>
      <c r="C1" s="469"/>
      <c r="D1" s="451" t="s">
        <v>196</v>
      </c>
      <c r="E1" s="451" t="s">
        <v>197</v>
      </c>
      <c r="F1" s="451" t="s">
        <v>170</v>
      </c>
    </row>
    <row r="2" spans="2:6" x14ac:dyDescent="0.2">
      <c r="B2" s="40" t="s">
        <v>198</v>
      </c>
      <c r="C2" s="40" t="s">
        <v>199</v>
      </c>
      <c r="D2" s="452"/>
      <c r="E2" s="452"/>
      <c r="F2" s="452"/>
    </row>
    <row r="3" spans="2:6" x14ac:dyDescent="0.2">
      <c r="B3" s="60">
        <f>1*('Modem Registers Calculations'!K14/30000)</f>
        <v>1</v>
      </c>
      <c r="C3" s="60">
        <f>75.2*('Modem Registers Calculations'!K14/30000)</f>
        <v>75.2</v>
      </c>
      <c r="D3" s="60">
        <v>75.2</v>
      </c>
      <c r="E3" s="60">
        <v>0</v>
      </c>
      <c r="F3" s="60">
        <v>1</v>
      </c>
    </row>
    <row r="4" spans="2:6" ht="15.75" x14ac:dyDescent="0.25">
      <c r="B4" s="60">
        <f>75.2*('Modem Registers Calculations'!K14/30000)</f>
        <v>75.2</v>
      </c>
      <c r="C4" s="61">
        <f>83.2*('Modem Registers Calculations'!K14/30000)</f>
        <v>83.2</v>
      </c>
      <c r="D4" s="61">
        <v>83.2</v>
      </c>
      <c r="E4" s="60">
        <v>0</v>
      </c>
      <c r="F4" s="60">
        <f t="shared" ref="F4:F9" si="0">F3+1</f>
        <v>2</v>
      </c>
    </row>
    <row r="5" spans="2:6" ht="15.75" x14ac:dyDescent="0.25">
      <c r="B5" s="61">
        <f>83.2*('Modem Registers Calculations'!K14/30000)</f>
        <v>83.2</v>
      </c>
      <c r="C5" s="61">
        <f>90*('Modem Registers Calculations'!K14/30000)</f>
        <v>90</v>
      </c>
      <c r="D5" s="61">
        <v>90</v>
      </c>
      <c r="E5" s="60">
        <v>0</v>
      </c>
      <c r="F5" s="60">
        <f t="shared" si="0"/>
        <v>3</v>
      </c>
    </row>
    <row r="6" spans="2:6" ht="15.75" x14ac:dyDescent="0.25">
      <c r="B6" s="61">
        <f>90*('Modem Registers Calculations'!K14/30000)</f>
        <v>90</v>
      </c>
      <c r="C6" s="61">
        <f>95.3*('Modem Registers Calculations'!K14/30000)</f>
        <v>95.3</v>
      </c>
      <c r="D6" s="61">
        <v>95.3</v>
      </c>
      <c r="E6" s="60">
        <v>0</v>
      </c>
      <c r="F6" s="60">
        <f t="shared" si="0"/>
        <v>4</v>
      </c>
    </row>
    <row r="7" spans="2:6" ht="15.75" x14ac:dyDescent="0.25">
      <c r="B7" s="61">
        <f>95.3*('Modem Registers Calculations'!K14/30000)</f>
        <v>95.3</v>
      </c>
      <c r="C7" s="61">
        <f>112.1*('Modem Registers Calculations'!K14/30000)</f>
        <v>112.1</v>
      </c>
      <c r="D7" s="61">
        <v>112.1</v>
      </c>
      <c r="E7" s="60">
        <v>0</v>
      </c>
      <c r="F7" s="60">
        <f t="shared" si="0"/>
        <v>5</v>
      </c>
    </row>
    <row r="8" spans="2:6" ht="15.75" x14ac:dyDescent="0.25">
      <c r="B8" s="61">
        <f>112.1*('Modem Registers Calculations'!K14/30000)</f>
        <v>112.1</v>
      </c>
      <c r="C8" s="61">
        <f>127.9*('Modem Registers Calculations'!K14/30000)</f>
        <v>127.9</v>
      </c>
      <c r="D8" s="61">
        <v>127.9</v>
      </c>
      <c r="E8" s="60">
        <v>0</v>
      </c>
      <c r="F8" s="60">
        <f t="shared" si="0"/>
        <v>6</v>
      </c>
    </row>
    <row r="9" spans="2:6" ht="15.75" x14ac:dyDescent="0.25">
      <c r="B9" s="61">
        <f>127.9*('Modem Registers Calculations'!K14/30000)</f>
        <v>127.9</v>
      </c>
      <c r="C9" s="61">
        <f>137.9*('Modem Registers Calculations'!K14/30000)</f>
        <v>137.9</v>
      </c>
      <c r="D9" s="61">
        <v>137.9</v>
      </c>
      <c r="E9" s="60">
        <v>0</v>
      </c>
      <c r="F9" s="60">
        <f t="shared" si="0"/>
        <v>7</v>
      </c>
    </row>
    <row r="10" spans="2:6" ht="15.75" x14ac:dyDescent="0.25">
      <c r="B10" s="61">
        <f>137.9*('Modem Registers Calculations'!K14/30000)</f>
        <v>137.9</v>
      </c>
      <c r="C10" s="61">
        <f>191.5*('Modem Registers Calculations'!K14/30000)</f>
        <v>191.5</v>
      </c>
      <c r="D10" s="61">
        <v>191.5</v>
      </c>
      <c r="E10" s="62">
        <v>1</v>
      </c>
      <c r="F10" s="60">
        <v>15</v>
      </c>
    </row>
    <row r="11" spans="2:6" ht="15.75" x14ac:dyDescent="0.25">
      <c r="B11" s="61">
        <f>191.5*('Modem Registers Calculations'!K14/30000)</f>
        <v>191.5</v>
      </c>
      <c r="C11" s="61">
        <f>225.1*('Modem Registers Calculations'!K14/30000)</f>
        <v>225.1</v>
      </c>
      <c r="D11" s="61">
        <v>225.1</v>
      </c>
      <c r="E11" s="62">
        <v>1</v>
      </c>
      <c r="F11" s="60">
        <v>1</v>
      </c>
    </row>
    <row r="12" spans="2:6" ht="15.75" x14ac:dyDescent="0.25">
      <c r="B12" s="61">
        <f>225.1*('Modem Registers Calculations'!K14/30000)</f>
        <v>225.1</v>
      </c>
      <c r="C12" s="61">
        <f>248.8*('Modem Registers Calculations'!K14/30000)</f>
        <v>248.8</v>
      </c>
      <c r="D12" s="61">
        <v>248.8</v>
      </c>
      <c r="E12" s="62">
        <v>1</v>
      </c>
      <c r="F12" s="60">
        <f>F11+1</f>
        <v>2</v>
      </c>
    </row>
    <row r="13" spans="2:6" ht="15.75" x14ac:dyDescent="0.25">
      <c r="B13" s="61">
        <f>248.8*('Modem Registers Calculations'!K14/30000)</f>
        <v>248.8</v>
      </c>
      <c r="C13" s="61">
        <f>269.3*('Modem Registers Calculations'!K14/30000)</f>
        <v>269.3</v>
      </c>
      <c r="D13" s="61">
        <v>269.3</v>
      </c>
      <c r="E13" s="62">
        <v>1</v>
      </c>
      <c r="F13" s="60">
        <v>3</v>
      </c>
    </row>
    <row r="14" spans="2:6" ht="15.75" x14ac:dyDescent="0.25">
      <c r="B14" s="61">
        <f>269.3*('Modem Registers Calculations'!K14/30000)</f>
        <v>269.3</v>
      </c>
      <c r="C14" s="61">
        <f>284.9*('Modem Registers Calculations'!K14/30000)</f>
        <v>284.89999999999998</v>
      </c>
      <c r="D14" s="61">
        <v>284.89999999999998</v>
      </c>
      <c r="E14" s="62">
        <v>1</v>
      </c>
      <c r="F14" s="60">
        <v>4</v>
      </c>
    </row>
    <row r="15" spans="2:6" ht="15.75" x14ac:dyDescent="0.25">
      <c r="B15" s="61">
        <f>284.9*('Modem Registers Calculations'!K14/30000)</f>
        <v>284.89999999999998</v>
      </c>
      <c r="C15" s="61">
        <f>335.5*('Modem Registers Calculations'!K14/30000)</f>
        <v>335.5</v>
      </c>
      <c r="D15" s="61">
        <v>335.5</v>
      </c>
      <c r="E15" s="62">
        <v>1</v>
      </c>
      <c r="F15" s="60">
        <v>8</v>
      </c>
    </row>
    <row r="16" spans="2:6" ht="16.5" thickBot="1" x14ac:dyDescent="0.3">
      <c r="B16" s="61">
        <f>335.5*('Modem Registers Calculations'!K14/30000)</f>
        <v>335.5</v>
      </c>
      <c r="C16" s="61">
        <f>361.8*('Modem Registers Calculations'!K14/30000)</f>
        <v>361.8</v>
      </c>
      <c r="D16" s="61">
        <v>361.8</v>
      </c>
      <c r="E16" s="62">
        <v>1</v>
      </c>
      <c r="F16" s="60">
        <v>9</v>
      </c>
    </row>
    <row r="17" spans="2:16" ht="15.75" x14ac:dyDescent="0.25">
      <c r="B17" s="61">
        <f>361.8*('Modem Registers Calculations'!K14/30000)</f>
        <v>361.8</v>
      </c>
      <c r="C17" s="61">
        <f>420.2*('Modem Registers Calculations'!K14/30000)</f>
        <v>420.2</v>
      </c>
      <c r="D17" s="61">
        <v>420.2</v>
      </c>
      <c r="E17" s="62">
        <v>1</v>
      </c>
      <c r="F17" s="60">
        <v>10</v>
      </c>
      <c r="L17" s="455"/>
      <c r="M17" s="456"/>
      <c r="N17" s="456"/>
      <c r="O17" s="456"/>
      <c r="P17" s="457"/>
    </row>
    <row r="18" spans="2:16" ht="16.5" thickBot="1" x14ac:dyDescent="0.3">
      <c r="B18" s="61">
        <f>420.2*('Modem Registers Calculations'!K14/30000)</f>
        <v>420.2</v>
      </c>
      <c r="C18" s="61">
        <f>468.4*('Modem Registers Calculations'!K14/30000)</f>
        <v>468.4</v>
      </c>
      <c r="D18" s="61">
        <v>468.4</v>
      </c>
      <c r="E18" s="62">
        <v>1</v>
      </c>
      <c r="F18" s="60">
        <v>11</v>
      </c>
      <c r="L18" s="458"/>
      <c r="M18" s="459"/>
      <c r="N18" s="459"/>
      <c r="O18" s="459"/>
      <c r="P18" s="460"/>
    </row>
    <row r="19" spans="2:16" ht="16.5" thickBot="1" x14ac:dyDescent="0.3">
      <c r="B19" s="61">
        <f>468.4*('Modem Registers Calculations'!K14/30000)</f>
        <v>468.4</v>
      </c>
      <c r="C19" s="61">
        <f>518.8*('Modem Registers Calculations'!K14/30000)</f>
        <v>518.79999999999995</v>
      </c>
      <c r="D19" s="61">
        <v>518.79999999999995</v>
      </c>
      <c r="E19" s="62">
        <v>1</v>
      </c>
      <c r="F19" s="60">
        <v>12</v>
      </c>
    </row>
    <row r="20" spans="2:16" ht="15.75" x14ac:dyDescent="0.25">
      <c r="B20" s="61">
        <f>518.8*('Modem Registers Calculations'!K14/30000)</f>
        <v>518.79999999999995</v>
      </c>
      <c r="C20" s="61">
        <f>577*('Modem Registers Calculations'!K14/30000)</f>
        <v>577</v>
      </c>
      <c r="D20" s="61">
        <v>577</v>
      </c>
      <c r="E20" s="62">
        <v>1</v>
      </c>
      <c r="F20" s="60">
        <v>13</v>
      </c>
      <c r="L20" s="461"/>
      <c r="M20" s="462"/>
      <c r="N20" s="462"/>
      <c r="O20" s="463"/>
    </row>
    <row r="21" spans="2:16" ht="16.5" thickBot="1" x14ac:dyDescent="0.3">
      <c r="B21" s="61">
        <f>577*('Modem Registers Calculations'!K14/30000)</f>
        <v>577</v>
      </c>
      <c r="C21" s="61">
        <f>620.7*('Modem Registers Calculations'!K14/30000)</f>
        <v>620.70000000000005</v>
      </c>
      <c r="D21" s="61">
        <v>620.70000000000005</v>
      </c>
      <c r="E21" s="62">
        <v>1</v>
      </c>
      <c r="F21" s="60">
        <v>14</v>
      </c>
      <c r="L21" s="464"/>
      <c r="M21" s="465"/>
      <c r="N21" s="465"/>
      <c r="O21" s="466"/>
    </row>
    <row r="22" spans="2:16" ht="13.5" thickTop="1" x14ac:dyDescent="0.2"/>
    <row r="26" spans="2:16" x14ac:dyDescent="0.2">
      <c r="E26" s="467"/>
      <c r="F26" s="467"/>
    </row>
    <row r="27" spans="2:16" x14ac:dyDescent="0.2">
      <c r="B27" s="453" t="s">
        <v>200</v>
      </c>
      <c r="C27" s="454"/>
      <c r="D27" s="451" t="s">
        <v>201</v>
      </c>
      <c r="E27" s="468"/>
    </row>
    <row r="28" spans="2:16" x14ac:dyDescent="0.2">
      <c r="B28" s="40" t="s">
        <v>202</v>
      </c>
      <c r="C28" s="40" t="s">
        <v>203</v>
      </c>
      <c r="D28" s="452"/>
      <c r="E28" s="468"/>
    </row>
    <row r="29" spans="2:16" x14ac:dyDescent="0.2">
      <c r="B29" s="60">
        <v>0</v>
      </c>
      <c r="C29" s="60">
        <v>1</v>
      </c>
      <c r="D29" s="60">
        <v>5</v>
      </c>
      <c r="E29" s="16"/>
    </row>
    <row r="30" spans="2:16" x14ac:dyDescent="0.2">
      <c r="B30" s="60">
        <v>1</v>
      </c>
      <c r="C30" s="60">
        <v>2</v>
      </c>
      <c r="D30" s="60">
        <v>5</v>
      </c>
      <c r="E30" s="16"/>
    </row>
    <row r="31" spans="2:16" x14ac:dyDescent="0.2">
      <c r="B31" s="60">
        <v>2</v>
      </c>
      <c r="C31" s="60">
        <v>3</v>
      </c>
      <c r="D31" s="60">
        <v>4</v>
      </c>
      <c r="E31" s="16"/>
    </row>
    <row r="32" spans="2:16" x14ac:dyDescent="0.2">
      <c r="B32" s="60">
        <v>3</v>
      </c>
      <c r="C32" s="60">
        <v>8</v>
      </c>
      <c r="D32" s="60">
        <v>4</v>
      </c>
      <c r="E32" s="16"/>
    </row>
    <row r="33" spans="2:5" x14ac:dyDescent="0.2">
      <c r="B33" s="60">
        <v>8</v>
      </c>
      <c r="C33" s="60">
        <v>16</v>
      </c>
      <c r="D33" s="60">
        <v>3</v>
      </c>
      <c r="E33" s="16"/>
    </row>
    <row r="34" spans="2:5" x14ac:dyDescent="0.2">
      <c r="B34" s="60">
        <v>16</v>
      </c>
      <c r="C34" s="60">
        <v>32</v>
      </c>
      <c r="D34" s="60">
        <v>2</v>
      </c>
      <c r="E34" s="16"/>
    </row>
    <row r="35" spans="2:5" x14ac:dyDescent="0.2">
      <c r="B35" s="60">
        <v>32</v>
      </c>
      <c r="C35" s="60">
        <v>50</v>
      </c>
      <c r="D35" s="60">
        <v>1</v>
      </c>
      <c r="E35" s="16"/>
    </row>
    <row r="36" spans="2:5" x14ac:dyDescent="0.2">
      <c r="B36" s="60">
        <v>50</v>
      </c>
      <c r="C36" s="60">
        <v>65</v>
      </c>
      <c r="D36" s="60">
        <v>0</v>
      </c>
      <c r="E36" s="16"/>
    </row>
    <row r="39" spans="2:5" x14ac:dyDescent="0.2">
      <c r="B39" s="467" t="s">
        <v>420</v>
      </c>
      <c r="C39" s="467"/>
      <c r="E39"/>
    </row>
    <row r="40" spans="2:5" x14ac:dyDescent="0.2">
      <c r="B40" s="453" t="s">
        <v>200</v>
      </c>
      <c r="C40" s="454"/>
      <c r="D40" s="451" t="s">
        <v>201</v>
      </c>
      <c r="E40"/>
    </row>
    <row r="41" spans="2:5" x14ac:dyDescent="0.2">
      <c r="B41" s="40" t="s">
        <v>202</v>
      </c>
      <c r="C41" s="40" t="s">
        <v>203</v>
      </c>
      <c r="D41" s="452"/>
      <c r="E41"/>
    </row>
    <row r="42" spans="2:5" x14ac:dyDescent="0.2">
      <c r="B42" s="60">
        <v>0</v>
      </c>
      <c r="C42" s="60">
        <v>1</v>
      </c>
      <c r="D42" s="60">
        <v>5</v>
      </c>
      <c r="E42"/>
    </row>
    <row r="43" spans="2:5" x14ac:dyDescent="0.2">
      <c r="B43" s="60">
        <v>1</v>
      </c>
      <c r="C43" s="60">
        <v>2</v>
      </c>
      <c r="D43" s="60">
        <v>4</v>
      </c>
      <c r="E43"/>
    </row>
    <row r="44" spans="2:5" x14ac:dyDescent="0.2">
      <c r="B44" s="60">
        <v>2</v>
      </c>
      <c r="C44" s="60">
        <v>3</v>
      </c>
      <c r="D44" s="60">
        <v>3</v>
      </c>
      <c r="E44"/>
    </row>
    <row r="45" spans="2:5" x14ac:dyDescent="0.2">
      <c r="B45" s="60">
        <v>3</v>
      </c>
      <c r="C45" s="60">
        <v>8</v>
      </c>
      <c r="D45" s="60">
        <v>2</v>
      </c>
      <c r="E45"/>
    </row>
    <row r="46" spans="2:5" x14ac:dyDescent="0.2">
      <c r="B46" s="60">
        <v>8</v>
      </c>
      <c r="C46" s="60">
        <v>16</v>
      </c>
      <c r="D46" s="60">
        <v>2</v>
      </c>
      <c r="E46"/>
    </row>
    <row r="47" spans="2:5" x14ac:dyDescent="0.2">
      <c r="B47" s="60">
        <v>16</v>
      </c>
      <c r="C47" s="60">
        <v>32</v>
      </c>
      <c r="D47" s="60">
        <v>1</v>
      </c>
      <c r="E47"/>
    </row>
    <row r="48" spans="2:5" x14ac:dyDescent="0.2">
      <c r="B48" s="60">
        <v>32</v>
      </c>
      <c r="C48" s="60">
        <v>50</v>
      </c>
      <c r="D48" s="60">
        <v>1</v>
      </c>
      <c r="E48"/>
    </row>
    <row r="49" spans="2:5" x14ac:dyDescent="0.2">
      <c r="B49" s="60">
        <v>50</v>
      </c>
      <c r="C49" s="60">
        <v>65</v>
      </c>
      <c r="D49" s="60">
        <v>0</v>
      </c>
      <c r="E49"/>
    </row>
    <row r="50" spans="2:5" x14ac:dyDescent="0.2">
      <c r="E50"/>
    </row>
    <row r="51" spans="2:5" x14ac:dyDescent="0.2">
      <c r="E51"/>
    </row>
  </sheetData>
  <mergeCells count="13">
    <mergeCell ref="E1:E2"/>
    <mergeCell ref="F1:F2"/>
    <mergeCell ref="E27:E28"/>
    <mergeCell ref="B27:C27"/>
    <mergeCell ref="D27:D28"/>
    <mergeCell ref="B1:C1"/>
    <mergeCell ref="D1:D2"/>
    <mergeCell ref="D40:D41"/>
    <mergeCell ref="B40:C40"/>
    <mergeCell ref="L17:P18"/>
    <mergeCell ref="L20:O21"/>
    <mergeCell ref="E26:F26"/>
    <mergeCell ref="B39:C39"/>
  </mergeCells>
  <phoneticPr fontId="1"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W96"/>
  <sheetViews>
    <sheetView workbookViewId="0">
      <selection activeCell="A2" sqref="A2"/>
    </sheetView>
  </sheetViews>
  <sheetFormatPr defaultRowHeight="12.75" x14ac:dyDescent="0.2"/>
  <cols>
    <col min="7" max="7" width="12.7109375" customWidth="1"/>
    <col min="8" max="8" width="13.5703125" customWidth="1"/>
    <col min="12" max="12" width="11.28515625" customWidth="1"/>
  </cols>
  <sheetData>
    <row r="4" spans="2:23" x14ac:dyDescent="0.2">
      <c r="C4" s="470" t="s">
        <v>161</v>
      </c>
      <c r="D4" s="470"/>
      <c r="E4" s="470"/>
      <c r="F4" s="470"/>
      <c r="G4" s="470"/>
      <c r="H4" s="470"/>
      <c r="I4" s="470"/>
      <c r="J4" s="470"/>
      <c r="K4" s="470"/>
      <c r="L4" s="470"/>
    </row>
    <row r="5" spans="2:23" x14ac:dyDescent="0.2">
      <c r="C5" s="471" t="s">
        <v>162</v>
      </c>
      <c r="D5" s="472"/>
      <c r="E5" s="472"/>
      <c r="F5" s="472"/>
      <c r="G5" s="473" t="s">
        <v>163</v>
      </c>
      <c r="H5" s="472"/>
      <c r="I5" s="472"/>
      <c r="J5" s="472"/>
      <c r="K5" s="472"/>
      <c r="L5" s="474"/>
    </row>
    <row r="6" spans="2:23" x14ac:dyDescent="0.2">
      <c r="B6" s="11"/>
      <c r="C6" s="10" t="s">
        <v>164</v>
      </c>
      <c r="D6" s="10" t="s">
        <v>165</v>
      </c>
      <c r="E6" s="10" t="s">
        <v>166</v>
      </c>
      <c r="F6" s="12" t="s">
        <v>167</v>
      </c>
      <c r="G6" s="13" t="s">
        <v>168</v>
      </c>
      <c r="H6" s="10" t="s">
        <v>169</v>
      </c>
      <c r="I6" s="10" t="s">
        <v>170</v>
      </c>
      <c r="J6" s="10" t="s">
        <v>171</v>
      </c>
      <c r="K6" s="10" t="s">
        <v>172</v>
      </c>
      <c r="L6" s="10" t="s">
        <v>173</v>
      </c>
      <c r="M6" s="14"/>
      <c r="N6" s="15" t="s">
        <v>174</v>
      </c>
      <c r="O6" s="15"/>
      <c r="P6" s="15" t="s">
        <v>175</v>
      </c>
      <c r="Q6" s="15" t="s">
        <v>176</v>
      </c>
      <c r="R6" s="15"/>
      <c r="S6" s="15"/>
      <c r="T6" s="15"/>
      <c r="U6" s="16"/>
      <c r="V6" s="3"/>
      <c r="W6" s="3"/>
    </row>
    <row r="7" spans="2:23" ht="13.5" thickBot="1" x14ac:dyDescent="0.25">
      <c r="B7" s="11"/>
      <c r="C7" s="10" t="s">
        <v>177</v>
      </c>
      <c r="D7" s="10" t="s">
        <v>178</v>
      </c>
      <c r="E7" s="17" t="s">
        <v>179</v>
      </c>
      <c r="F7" s="18" t="s">
        <v>178</v>
      </c>
      <c r="G7" s="19" t="s">
        <v>180</v>
      </c>
      <c r="H7" s="17" t="s">
        <v>180</v>
      </c>
      <c r="I7" s="17" t="s">
        <v>180</v>
      </c>
      <c r="J7" s="17" t="s">
        <v>181</v>
      </c>
      <c r="K7" s="17" t="s">
        <v>182</v>
      </c>
      <c r="L7" s="17" t="s">
        <v>183</v>
      </c>
      <c r="M7" s="14"/>
      <c r="N7" s="15"/>
      <c r="O7" s="15"/>
      <c r="P7" s="15"/>
      <c r="Q7" s="15"/>
      <c r="R7" s="15"/>
      <c r="S7" s="15"/>
      <c r="T7" s="15"/>
      <c r="U7" s="16"/>
      <c r="V7" s="3"/>
      <c r="W7" s="3"/>
    </row>
    <row r="8" spans="2:23" ht="13.5" thickBot="1" x14ac:dyDescent="0.25">
      <c r="B8" s="11"/>
      <c r="C8" s="20">
        <v>2</v>
      </c>
      <c r="D8" s="20">
        <v>5</v>
      </c>
      <c r="E8" s="21">
        <f>2*D8/C8</f>
        <v>5</v>
      </c>
      <c r="F8" s="22" t="e">
        <f>VLOOKUP(S8,BWtable!#REF!:BWtable!#REF!,2)</f>
        <v>#REF!</v>
      </c>
      <c r="G8" s="23" t="e">
        <f>DEC2HEX(VLOOKUP(S8,BWtable!#REF!:BWtable!#REF!,5))</f>
        <v>#REF!</v>
      </c>
      <c r="H8" s="20" t="e">
        <f>DEC2HEX(VLOOKUP(S8,BWtable!#REF!:BWtable!#REF!,3))</f>
        <v>#REF!</v>
      </c>
      <c r="I8" s="20" t="e">
        <f>DEC2HEX(VLOOKUP(S8,BWtable!#REF!:BWtable!#REF!,4))</f>
        <v>#REF!</v>
      </c>
      <c r="J8" s="20" t="e">
        <f t="shared" ref="J8:J27" si="0">DEC2HEX(ROUND(500*(1+2*G8)/((1+Q8)*C8*2^(H8-3)),0),3)</f>
        <v>#REF!</v>
      </c>
      <c r="K8" s="20" t="e">
        <f t="shared" ref="K8:K27" si="1">DEC2HEX(ROUND((C8*2^(20+H8))/(500*(1+2*G8)),0),5)</f>
        <v>#REF!</v>
      </c>
      <c r="L8" s="20" t="e">
        <f t="shared" ref="L8:L27" si="2">IF(2+2*32768*C8*(1+Q8)/(D8*HEX2DEC(J8))&gt;2047,DEC2HEX(2047),DEC2HEX(ROUND(2+2*32768*C8*(1+Q8)/(D8*HEX2DEC(J8)),0),3))</f>
        <v>#REF!</v>
      </c>
      <c r="M8" s="24"/>
      <c r="N8" s="25" t="e">
        <f t="shared" ref="N8:N27" si="3">HEX2DEC(J8)/8</f>
        <v>#REF!</v>
      </c>
      <c r="O8" s="15">
        <v>1</v>
      </c>
      <c r="P8" s="15">
        <v>0</v>
      </c>
      <c r="Q8" s="15">
        <v>0</v>
      </c>
      <c r="R8" s="15">
        <f>((C8/2)*(1+Q8)+2*D8)*O8</f>
        <v>11</v>
      </c>
      <c r="S8" s="15">
        <f>IF(P8&gt;R8/2,2*P8,R8)</f>
        <v>11</v>
      </c>
      <c r="T8" s="26"/>
      <c r="U8" s="27"/>
    </row>
    <row r="9" spans="2:23" ht="13.5" thickBot="1" x14ac:dyDescent="0.25">
      <c r="B9" s="11"/>
      <c r="C9" s="28">
        <v>2.4</v>
      </c>
      <c r="D9" s="28">
        <v>4.8</v>
      </c>
      <c r="E9" s="21">
        <f>2*D9/C9</f>
        <v>4</v>
      </c>
      <c r="F9" s="22" t="e">
        <f>VLOOKUP(S9,BWtable!#REF!:BWtable!#REF!,2)</f>
        <v>#REF!</v>
      </c>
      <c r="G9" s="23" t="e">
        <f>DEC2HEX(VLOOKUP(S9,BWtable!#REF!:BWtable!#REF!,5))</f>
        <v>#REF!</v>
      </c>
      <c r="H9" s="20" t="e">
        <f>DEC2HEX(VLOOKUP(S9,BWtable!#REF!:BWtable!#REF!,3))</f>
        <v>#REF!</v>
      </c>
      <c r="I9" s="20" t="e">
        <f>DEC2HEX(VLOOKUP(S9,BWtable!#REF!:BWtable!#REF!,4))</f>
        <v>#REF!</v>
      </c>
      <c r="J9" s="28" t="e">
        <f t="shared" si="0"/>
        <v>#REF!</v>
      </c>
      <c r="K9" s="28" t="e">
        <f t="shared" si="1"/>
        <v>#REF!</v>
      </c>
      <c r="L9" s="28" t="e">
        <f t="shared" si="2"/>
        <v>#REF!</v>
      </c>
      <c r="M9" s="24"/>
      <c r="N9" s="25" t="e">
        <f t="shared" si="3"/>
        <v>#REF!</v>
      </c>
      <c r="O9" s="15">
        <v>1</v>
      </c>
      <c r="P9" s="15">
        <v>0</v>
      </c>
      <c r="Q9" s="15">
        <v>0</v>
      </c>
      <c r="R9" s="15">
        <f t="shared" ref="R9:R27" si="4">((C9/2)*(1+Q9)+2*D9)*O9</f>
        <v>10.799999999999999</v>
      </c>
      <c r="S9" s="15">
        <f>IF(P9&gt;R9/2,2*P9,R9)</f>
        <v>10.799999999999999</v>
      </c>
      <c r="T9" s="26"/>
      <c r="U9" s="27"/>
    </row>
    <row r="10" spans="2:23" ht="13.5" thickBot="1" x14ac:dyDescent="0.25">
      <c r="B10" s="11"/>
      <c r="C10" s="28">
        <v>2.4</v>
      </c>
      <c r="D10" s="28">
        <v>36</v>
      </c>
      <c r="E10" s="21">
        <f>2*D10/C10</f>
        <v>30</v>
      </c>
      <c r="F10" s="22" t="e">
        <f>VLOOKUP(S10,BWtable!#REF!:BWtable!#REF!,2)</f>
        <v>#REF!</v>
      </c>
      <c r="G10" s="23" t="e">
        <f>DEC2HEX(VLOOKUP(S10,BWtable!#REF!:BWtable!#REF!,5))</f>
        <v>#REF!</v>
      </c>
      <c r="H10" s="20" t="e">
        <f>DEC2HEX(VLOOKUP(S10,BWtable!#REF!:BWtable!#REF!,3))</f>
        <v>#REF!</v>
      </c>
      <c r="I10" s="20" t="e">
        <f>DEC2HEX(VLOOKUP(S10,BWtable!#REF!:BWtable!#REF!,4))</f>
        <v>#REF!</v>
      </c>
      <c r="J10" s="28" t="e">
        <f t="shared" si="0"/>
        <v>#REF!</v>
      </c>
      <c r="K10" s="28" t="e">
        <f t="shared" si="1"/>
        <v>#REF!</v>
      </c>
      <c r="L10" s="28" t="e">
        <f t="shared" si="2"/>
        <v>#REF!</v>
      </c>
      <c r="M10" s="24"/>
      <c r="N10" s="25" t="e">
        <f t="shared" si="3"/>
        <v>#REF!</v>
      </c>
      <c r="O10" s="15">
        <v>1</v>
      </c>
      <c r="P10" s="15">
        <v>0</v>
      </c>
      <c r="Q10" s="15">
        <v>0</v>
      </c>
      <c r="R10" s="15">
        <f t="shared" si="4"/>
        <v>73.2</v>
      </c>
      <c r="S10" s="15">
        <f>IF(P10&gt;R10/2,2*P10,R10)</f>
        <v>73.2</v>
      </c>
      <c r="T10" s="26"/>
      <c r="U10" s="27"/>
    </row>
    <row r="11" spans="2:23" ht="13.5" thickBot="1" x14ac:dyDescent="0.25">
      <c r="B11" s="11"/>
      <c r="C11" s="28">
        <v>4.8</v>
      </c>
      <c r="D11" s="28">
        <v>4.8</v>
      </c>
      <c r="E11" s="21">
        <f>2*D11/C11</f>
        <v>2</v>
      </c>
      <c r="F11" s="22" t="e">
        <f>VLOOKUP(S11,BWtable!#REF!:BWtable!#REF!,2)</f>
        <v>#REF!</v>
      </c>
      <c r="G11" s="23" t="e">
        <f>DEC2HEX(VLOOKUP(S11,BWtable!#REF!:BWtable!#REF!,5))</f>
        <v>#REF!</v>
      </c>
      <c r="H11" s="20" t="e">
        <f>DEC2HEX(VLOOKUP(S11,BWtable!#REF!:BWtable!#REF!,3))</f>
        <v>#REF!</v>
      </c>
      <c r="I11" s="20" t="e">
        <f>DEC2HEX(VLOOKUP(S11,BWtable!#REF!:BWtable!#REF!,4))</f>
        <v>#REF!</v>
      </c>
      <c r="J11" s="28" t="e">
        <f t="shared" si="0"/>
        <v>#REF!</v>
      </c>
      <c r="K11" s="28" t="e">
        <f t="shared" si="1"/>
        <v>#REF!</v>
      </c>
      <c r="L11" s="28" t="e">
        <f t="shared" si="2"/>
        <v>#REF!</v>
      </c>
      <c r="M11" s="24"/>
      <c r="N11" s="25" t="e">
        <f t="shared" si="3"/>
        <v>#REF!</v>
      </c>
      <c r="O11" s="15">
        <v>1</v>
      </c>
      <c r="P11" s="15">
        <v>0</v>
      </c>
      <c r="Q11" s="15">
        <v>0</v>
      </c>
      <c r="R11" s="15">
        <f t="shared" si="4"/>
        <v>12</v>
      </c>
      <c r="S11" s="15">
        <f>IF(P11&gt;R11/2,2*P11,R11)</f>
        <v>12</v>
      </c>
      <c r="T11" s="26"/>
      <c r="U11" s="27"/>
    </row>
    <row r="12" spans="2:23" ht="13.5" thickBot="1" x14ac:dyDescent="0.25">
      <c r="B12" s="11"/>
      <c r="C12" s="29">
        <v>4.8</v>
      </c>
      <c r="D12" s="29">
        <v>45</v>
      </c>
      <c r="E12" s="30">
        <f t="shared" ref="E12:E27" si="5">2*D12/C12</f>
        <v>18.75</v>
      </c>
      <c r="F12" s="22" t="e">
        <f>VLOOKUP(S12,BWtable!#REF!:BWtable!#REF!,2)</f>
        <v>#REF!</v>
      </c>
      <c r="G12" s="23" t="e">
        <f>DEC2HEX(VLOOKUP(S12,BWtable!#REF!:BWtable!#REF!,5))</f>
        <v>#REF!</v>
      </c>
      <c r="H12" s="20" t="e">
        <f>DEC2HEX(VLOOKUP(S12,BWtable!#REF!:BWtable!#REF!,3))</f>
        <v>#REF!</v>
      </c>
      <c r="I12" s="20" t="e">
        <f>DEC2HEX(VLOOKUP(S12,BWtable!#REF!:BWtable!#REF!,4))</f>
        <v>#REF!</v>
      </c>
      <c r="J12" s="29" t="e">
        <f t="shared" si="0"/>
        <v>#REF!</v>
      </c>
      <c r="K12" s="29" t="e">
        <f t="shared" si="1"/>
        <v>#REF!</v>
      </c>
      <c r="L12" s="29" t="e">
        <f t="shared" si="2"/>
        <v>#REF!</v>
      </c>
      <c r="M12" s="24"/>
      <c r="N12" s="25" t="e">
        <f t="shared" si="3"/>
        <v>#REF!</v>
      </c>
      <c r="O12" s="15">
        <v>1</v>
      </c>
      <c r="P12" s="15">
        <v>0</v>
      </c>
      <c r="Q12" s="15">
        <v>0</v>
      </c>
      <c r="R12" s="15">
        <f t="shared" si="4"/>
        <v>92.4</v>
      </c>
      <c r="S12" s="15">
        <f t="shared" ref="S12:S27" si="6">IF(P12&gt;R12/2,2*P12,R12)</f>
        <v>92.4</v>
      </c>
      <c r="T12" s="26"/>
      <c r="U12" s="27"/>
    </row>
    <row r="13" spans="2:23" ht="13.5" thickBot="1" x14ac:dyDescent="0.25">
      <c r="B13" s="11"/>
      <c r="C13" s="28">
        <v>9.6</v>
      </c>
      <c r="D13" s="28">
        <v>4.8</v>
      </c>
      <c r="E13" s="21">
        <f t="shared" si="5"/>
        <v>1</v>
      </c>
      <c r="F13" s="22" t="e">
        <f>VLOOKUP(S13,BWtable!#REF!:BWtable!#REF!,2)</f>
        <v>#REF!</v>
      </c>
      <c r="G13" s="23" t="e">
        <f>DEC2HEX(VLOOKUP(S13,BWtable!#REF!:BWtable!#REF!,5))</f>
        <v>#REF!</v>
      </c>
      <c r="H13" s="20" t="e">
        <f>DEC2HEX(VLOOKUP(S13,BWtable!#REF!:BWtable!#REF!,3))</f>
        <v>#REF!</v>
      </c>
      <c r="I13" s="20" t="e">
        <f>DEC2HEX(VLOOKUP(S13,BWtable!#REF!:BWtable!#REF!,4))</f>
        <v>#REF!</v>
      </c>
      <c r="J13" s="28" t="e">
        <f t="shared" si="0"/>
        <v>#REF!</v>
      </c>
      <c r="K13" s="28" t="e">
        <f t="shared" si="1"/>
        <v>#REF!</v>
      </c>
      <c r="L13" s="28" t="e">
        <f t="shared" si="2"/>
        <v>#REF!</v>
      </c>
      <c r="M13" s="24"/>
      <c r="N13" s="25" t="e">
        <f t="shared" si="3"/>
        <v>#REF!</v>
      </c>
      <c r="O13" s="15">
        <v>1</v>
      </c>
      <c r="P13" s="15">
        <v>0</v>
      </c>
      <c r="Q13" s="15">
        <v>0</v>
      </c>
      <c r="R13" s="15">
        <f t="shared" si="4"/>
        <v>14.399999999999999</v>
      </c>
      <c r="S13" s="15">
        <v>18</v>
      </c>
      <c r="T13" s="26" t="s">
        <v>184</v>
      </c>
      <c r="U13" s="27"/>
    </row>
    <row r="14" spans="2:23" ht="13.5" thickBot="1" x14ac:dyDescent="0.25">
      <c r="B14" s="11"/>
      <c r="C14" s="28">
        <v>9.6</v>
      </c>
      <c r="D14" s="28">
        <v>45</v>
      </c>
      <c r="E14" s="21">
        <f t="shared" si="5"/>
        <v>9.375</v>
      </c>
      <c r="F14" s="22" t="e">
        <f>VLOOKUP(S14,BWtable!#REF!:BWtable!#REF!,2)</f>
        <v>#REF!</v>
      </c>
      <c r="G14" s="23" t="e">
        <f>DEC2HEX(VLOOKUP(S14,BWtable!#REF!:BWtable!#REF!,5))</f>
        <v>#REF!</v>
      </c>
      <c r="H14" s="20" t="e">
        <f>DEC2HEX(VLOOKUP(S14,BWtable!#REF!:BWtable!#REF!,3))</f>
        <v>#REF!</v>
      </c>
      <c r="I14" s="20" t="e">
        <f>DEC2HEX(VLOOKUP(S14,BWtable!#REF!:BWtable!#REF!,4))</f>
        <v>#REF!</v>
      </c>
      <c r="J14" s="28" t="e">
        <f t="shared" si="0"/>
        <v>#REF!</v>
      </c>
      <c r="K14" s="28" t="e">
        <f t="shared" si="1"/>
        <v>#REF!</v>
      </c>
      <c r="L14" s="28" t="e">
        <f t="shared" si="2"/>
        <v>#REF!</v>
      </c>
      <c r="M14" s="24"/>
      <c r="N14" s="25" t="e">
        <f t="shared" si="3"/>
        <v>#REF!</v>
      </c>
      <c r="O14" s="15">
        <v>1</v>
      </c>
      <c r="P14" s="15">
        <v>0</v>
      </c>
      <c r="Q14" s="15">
        <v>0</v>
      </c>
      <c r="R14" s="15">
        <f t="shared" si="4"/>
        <v>94.8</v>
      </c>
      <c r="S14" s="15">
        <f t="shared" si="6"/>
        <v>94.8</v>
      </c>
      <c r="T14" s="26"/>
      <c r="U14" s="27"/>
    </row>
    <row r="15" spans="2:23" ht="13.5" thickBot="1" x14ac:dyDescent="0.25">
      <c r="B15" s="11"/>
      <c r="C15" s="28">
        <v>10</v>
      </c>
      <c r="D15" s="28">
        <v>5</v>
      </c>
      <c r="E15" s="21">
        <f t="shared" si="5"/>
        <v>1</v>
      </c>
      <c r="F15" s="22" t="e">
        <f>VLOOKUP(S15,BWtable!#REF!:BWtable!#REF!,2)</f>
        <v>#REF!</v>
      </c>
      <c r="G15" s="23" t="e">
        <f>DEC2HEX(VLOOKUP(S15,BWtable!#REF!:BWtable!#REF!,5))</f>
        <v>#REF!</v>
      </c>
      <c r="H15" s="20" t="e">
        <f>DEC2HEX(VLOOKUP(S15,BWtable!#REF!:BWtable!#REF!,3))</f>
        <v>#REF!</v>
      </c>
      <c r="I15" s="20" t="e">
        <f>DEC2HEX(VLOOKUP(S15,BWtable!#REF!:BWtable!#REF!,4))</f>
        <v>#REF!</v>
      </c>
      <c r="J15" s="28" t="e">
        <f t="shared" si="0"/>
        <v>#REF!</v>
      </c>
      <c r="K15" s="28" t="e">
        <f t="shared" si="1"/>
        <v>#REF!</v>
      </c>
      <c r="L15" s="28" t="e">
        <f t="shared" si="2"/>
        <v>#REF!</v>
      </c>
      <c r="M15" s="24"/>
      <c r="N15" s="25" t="e">
        <f t="shared" si="3"/>
        <v>#REF!</v>
      </c>
      <c r="O15" s="15">
        <v>1</v>
      </c>
      <c r="P15" s="15">
        <v>0</v>
      </c>
      <c r="Q15" s="15">
        <v>0</v>
      </c>
      <c r="R15" s="15">
        <f t="shared" si="4"/>
        <v>15</v>
      </c>
      <c r="S15" s="15">
        <v>18</v>
      </c>
      <c r="T15" s="26" t="s">
        <v>184</v>
      </c>
      <c r="U15" s="27"/>
    </row>
    <row r="16" spans="2:23" ht="13.5" thickBot="1" x14ac:dyDescent="0.25">
      <c r="B16" s="11"/>
      <c r="C16" s="28">
        <v>10</v>
      </c>
      <c r="D16" s="28">
        <v>40</v>
      </c>
      <c r="E16" s="21">
        <f t="shared" si="5"/>
        <v>8</v>
      </c>
      <c r="F16" s="22" t="e">
        <f>VLOOKUP(S16,BWtable!#REF!:BWtable!#REF!,2)</f>
        <v>#REF!</v>
      </c>
      <c r="G16" s="23" t="e">
        <f>DEC2HEX(VLOOKUP(S16,BWtable!#REF!:BWtable!#REF!,5))</f>
        <v>#REF!</v>
      </c>
      <c r="H16" s="20" t="e">
        <f>DEC2HEX(VLOOKUP(S16,BWtable!#REF!:BWtable!#REF!,3))</f>
        <v>#REF!</v>
      </c>
      <c r="I16" s="20" t="e">
        <f>DEC2HEX(VLOOKUP(S16,BWtable!#REF!:BWtable!#REF!,4))</f>
        <v>#REF!</v>
      </c>
      <c r="J16" s="28" t="e">
        <f t="shared" si="0"/>
        <v>#REF!</v>
      </c>
      <c r="K16" s="28" t="e">
        <f t="shared" si="1"/>
        <v>#REF!</v>
      </c>
      <c r="L16" s="28" t="e">
        <f t="shared" si="2"/>
        <v>#REF!</v>
      </c>
      <c r="M16" s="24"/>
      <c r="N16" s="25" t="e">
        <f t="shared" si="3"/>
        <v>#REF!</v>
      </c>
      <c r="O16" s="15">
        <v>1</v>
      </c>
      <c r="P16" s="15">
        <v>0</v>
      </c>
      <c r="Q16" s="15">
        <v>0</v>
      </c>
      <c r="R16" s="15">
        <f t="shared" si="4"/>
        <v>85</v>
      </c>
      <c r="S16" s="15">
        <f t="shared" si="6"/>
        <v>85</v>
      </c>
      <c r="T16" s="26"/>
      <c r="U16" s="27"/>
    </row>
    <row r="17" spans="2:21" ht="13.5" thickBot="1" x14ac:dyDescent="0.25">
      <c r="B17" s="11"/>
      <c r="C17" s="31">
        <v>19.2</v>
      </c>
      <c r="D17" s="31">
        <v>9.6</v>
      </c>
      <c r="E17" s="32">
        <f t="shared" si="5"/>
        <v>1</v>
      </c>
      <c r="F17" s="22" t="e">
        <f>VLOOKUP(S17,BWtable!#REF!:BWtable!#REF!,2)</f>
        <v>#REF!</v>
      </c>
      <c r="G17" s="23" t="e">
        <f>DEC2HEX(VLOOKUP(S17,BWtable!#REF!:BWtable!#REF!,5))</f>
        <v>#REF!</v>
      </c>
      <c r="H17" s="20" t="e">
        <f>DEC2HEX(VLOOKUP(S17,BWtable!#REF!:BWtable!#REF!,3))</f>
        <v>#REF!</v>
      </c>
      <c r="I17" s="20" t="e">
        <f>DEC2HEX(VLOOKUP(S17,BWtable!#REF!:BWtable!#REF!,4))</f>
        <v>#REF!</v>
      </c>
      <c r="J17" s="31" t="e">
        <f t="shared" si="0"/>
        <v>#REF!</v>
      </c>
      <c r="K17" s="31" t="e">
        <f t="shared" si="1"/>
        <v>#REF!</v>
      </c>
      <c r="L17" s="31" t="e">
        <f t="shared" si="2"/>
        <v>#REF!</v>
      </c>
      <c r="M17" s="24"/>
      <c r="N17" s="25" t="e">
        <f t="shared" si="3"/>
        <v>#REF!</v>
      </c>
      <c r="O17" s="15">
        <v>1</v>
      </c>
      <c r="P17" s="15">
        <v>0</v>
      </c>
      <c r="Q17" s="15">
        <v>0</v>
      </c>
      <c r="R17" s="15">
        <f t="shared" si="4"/>
        <v>28.799999999999997</v>
      </c>
      <c r="S17" s="15">
        <v>35</v>
      </c>
      <c r="T17" s="26" t="s">
        <v>184</v>
      </c>
      <c r="U17" s="27"/>
    </row>
    <row r="18" spans="2:21" ht="13.5" thickBot="1" x14ac:dyDescent="0.25">
      <c r="B18" s="11"/>
      <c r="C18" s="28">
        <v>20</v>
      </c>
      <c r="D18" s="28">
        <v>10</v>
      </c>
      <c r="E18" s="21">
        <f t="shared" si="5"/>
        <v>1</v>
      </c>
      <c r="F18" s="22" t="e">
        <f>VLOOKUP(S18,BWtable!#REF!:BWtable!#REF!,2)</f>
        <v>#REF!</v>
      </c>
      <c r="G18" s="23" t="e">
        <f>DEC2HEX(VLOOKUP(S18,BWtable!#REF!:BWtable!#REF!,5))</f>
        <v>#REF!</v>
      </c>
      <c r="H18" s="20" t="e">
        <f>DEC2HEX(VLOOKUP(S18,BWtable!#REF!:BWtable!#REF!,3))</f>
        <v>#REF!</v>
      </c>
      <c r="I18" s="20" t="e">
        <f>DEC2HEX(VLOOKUP(S18,BWtable!#REF!:BWtable!#REF!,4))</f>
        <v>#REF!</v>
      </c>
      <c r="J18" s="28" t="e">
        <f t="shared" si="0"/>
        <v>#REF!</v>
      </c>
      <c r="K18" s="28" t="e">
        <f t="shared" si="1"/>
        <v>#REF!</v>
      </c>
      <c r="L18" s="28" t="e">
        <f t="shared" si="2"/>
        <v>#REF!</v>
      </c>
      <c r="M18" s="24"/>
      <c r="N18" s="25" t="e">
        <f t="shared" si="3"/>
        <v>#REF!</v>
      </c>
      <c r="O18" s="15">
        <v>1</v>
      </c>
      <c r="P18" s="15">
        <v>0</v>
      </c>
      <c r="Q18" s="15">
        <v>0</v>
      </c>
      <c r="R18" s="15">
        <f t="shared" si="4"/>
        <v>30</v>
      </c>
      <c r="S18" s="15">
        <v>35</v>
      </c>
      <c r="T18" s="26" t="s">
        <v>184</v>
      </c>
      <c r="U18" s="27"/>
    </row>
    <row r="19" spans="2:21" ht="13.5" thickBot="1" x14ac:dyDescent="0.25">
      <c r="B19" s="11"/>
      <c r="C19" s="28">
        <v>20</v>
      </c>
      <c r="D19" s="28">
        <v>40</v>
      </c>
      <c r="E19" s="21">
        <f t="shared" si="5"/>
        <v>4</v>
      </c>
      <c r="F19" s="22" t="e">
        <f>VLOOKUP(S19,BWtable!#REF!:BWtable!#REF!,2)</f>
        <v>#REF!</v>
      </c>
      <c r="G19" s="23" t="e">
        <f>DEC2HEX(VLOOKUP(S19,BWtable!#REF!:BWtable!#REF!,5))</f>
        <v>#REF!</v>
      </c>
      <c r="H19" s="20" t="e">
        <f>DEC2HEX(VLOOKUP(S19,BWtable!#REF!:BWtable!#REF!,3))</f>
        <v>#REF!</v>
      </c>
      <c r="I19" s="20" t="e">
        <f>DEC2HEX(VLOOKUP(S19,BWtable!#REF!:BWtable!#REF!,4))</f>
        <v>#REF!</v>
      </c>
      <c r="J19" s="28" t="e">
        <f t="shared" si="0"/>
        <v>#REF!</v>
      </c>
      <c r="K19" s="28" t="e">
        <f t="shared" si="1"/>
        <v>#REF!</v>
      </c>
      <c r="L19" s="28" t="e">
        <f t="shared" si="2"/>
        <v>#REF!</v>
      </c>
      <c r="M19" s="24"/>
      <c r="N19" s="25" t="e">
        <f t="shared" si="3"/>
        <v>#REF!</v>
      </c>
      <c r="O19" s="15">
        <v>1</v>
      </c>
      <c r="P19" s="15">
        <v>0</v>
      </c>
      <c r="Q19" s="15">
        <v>0</v>
      </c>
      <c r="R19" s="15">
        <f t="shared" si="4"/>
        <v>90</v>
      </c>
      <c r="S19" s="15">
        <f t="shared" si="6"/>
        <v>90</v>
      </c>
      <c r="T19" s="26"/>
      <c r="U19" s="27"/>
    </row>
    <row r="20" spans="2:21" ht="13.5" thickBot="1" x14ac:dyDescent="0.25">
      <c r="B20" s="11"/>
      <c r="C20" s="28">
        <v>38.4</v>
      </c>
      <c r="D20" s="28">
        <v>19.600000000000001</v>
      </c>
      <c r="E20" s="21">
        <f t="shared" si="5"/>
        <v>1.0208333333333335</v>
      </c>
      <c r="F20" s="22" t="e">
        <f>VLOOKUP(S20,BWtable!#REF!:BWtable!#REF!,2)</f>
        <v>#REF!</v>
      </c>
      <c r="G20" s="23" t="e">
        <f>DEC2HEX(VLOOKUP(S20,BWtable!#REF!:BWtable!#REF!,5))</f>
        <v>#REF!</v>
      </c>
      <c r="H20" s="20" t="e">
        <f>DEC2HEX(VLOOKUP(S20,BWtable!#REF!:BWtable!#REF!,3))</f>
        <v>#REF!</v>
      </c>
      <c r="I20" s="20" t="e">
        <f>DEC2HEX(VLOOKUP(S20,BWtable!#REF!:BWtable!#REF!,4))</f>
        <v>#REF!</v>
      </c>
      <c r="J20" s="28" t="e">
        <f t="shared" si="0"/>
        <v>#REF!</v>
      </c>
      <c r="K20" s="28" t="e">
        <f t="shared" si="1"/>
        <v>#REF!</v>
      </c>
      <c r="L20" s="28" t="e">
        <f t="shared" si="2"/>
        <v>#REF!</v>
      </c>
      <c r="M20" s="24"/>
      <c r="N20" s="25" t="e">
        <f t="shared" si="3"/>
        <v>#REF!</v>
      </c>
      <c r="O20" s="15">
        <v>1</v>
      </c>
      <c r="P20" s="15">
        <v>0</v>
      </c>
      <c r="Q20" s="15">
        <v>0</v>
      </c>
      <c r="R20" s="15">
        <f t="shared" si="4"/>
        <v>58.400000000000006</v>
      </c>
      <c r="S20" s="15">
        <v>70</v>
      </c>
      <c r="T20" s="26" t="s">
        <v>184</v>
      </c>
      <c r="U20" s="27"/>
    </row>
    <row r="21" spans="2:21" ht="13.5" thickBot="1" x14ac:dyDescent="0.25">
      <c r="B21" s="11"/>
      <c r="C21" s="28">
        <v>40</v>
      </c>
      <c r="D21" s="28">
        <v>20</v>
      </c>
      <c r="E21" s="21">
        <f t="shared" si="5"/>
        <v>1</v>
      </c>
      <c r="F21" s="22" t="e">
        <f>VLOOKUP(S21,BWtable!#REF!:BWtable!#REF!,2)</f>
        <v>#REF!</v>
      </c>
      <c r="G21" s="23" t="e">
        <f>DEC2HEX(VLOOKUP(S21,BWtable!#REF!:BWtable!#REF!,5))</f>
        <v>#REF!</v>
      </c>
      <c r="H21" s="20" t="e">
        <f>DEC2HEX(VLOOKUP(S21,BWtable!#REF!:BWtable!#REF!,3))</f>
        <v>#REF!</v>
      </c>
      <c r="I21" s="20" t="e">
        <f>DEC2HEX(VLOOKUP(S21,BWtable!#REF!:BWtable!#REF!,4))</f>
        <v>#REF!</v>
      </c>
      <c r="J21" s="28" t="e">
        <f t="shared" si="0"/>
        <v>#REF!</v>
      </c>
      <c r="K21" s="28" t="e">
        <f t="shared" si="1"/>
        <v>#REF!</v>
      </c>
      <c r="L21" s="28" t="e">
        <f t="shared" si="2"/>
        <v>#REF!</v>
      </c>
      <c r="M21" s="24"/>
      <c r="N21" s="25" t="e">
        <f t="shared" si="3"/>
        <v>#REF!</v>
      </c>
      <c r="O21" s="15">
        <v>1</v>
      </c>
      <c r="P21" s="15">
        <v>0</v>
      </c>
      <c r="Q21" s="15">
        <v>0</v>
      </c>
      <c r="R21" s="15">
        <f t="shared" si="4"/>
        <v>60</v>
      </c>
      <c r="S21" s="15">
        <v>70</v>
      </c>
      <c r="T21" s="26" t="s">
        <v>184</v>
      </c>
      <c r="U21" s="27"/>
    </row>
    <row r="22" spans="2:21" ht="13.5" thickBot="1" x14ac:dyDescent="0.25">
      <c r="B22" s="11"/>
      <c r="C22" s="31">
        <v>40</v>
      </c>
      <c r="D22" s="31">
        <v>40</v>
      </c>
      <c r="E22" s="32">
        <f t="shared" si="5"/>
        <v>2</v>
      </c>
      <c r="F22" s="22" t="e">
        <f>VLOOKUP(S22,BWtable!#REF!:BWtable!#REF!,2)</f>
        <v>#REF!</v>
      </c>
      <c r="G22" s="23" t="e">
        <f>DEC2HEX(VLOOKUP(S22,BWtable!#REF!:BWtable!#REF!,5))</f>
        <v>#REF!</v>
      </c>
      <c r="H22" s="20" t="e">
        <f>DEC2HEX(VLOOKUP(S22,BWtable!#REF!:BWtable!#REF!,3))</f>
        <v>#REF!</v>
      </c>
      <c r="I22" s="20" t="e">
        <f>DEC2HEX(VLOOKUP(S22,BWtable!#REF!:BWtable!#REF!,4))</f>
        <v>#REF!</v>
      </c>
      <c r="J22" s="31" t="e">
        <f t="shared" si="0"/>
        <v>#REF!</v>
      </c>
      <c r="K22" s="31" t="e">
        <f t="shared" si="1"/>
        <v>#REF!</v>
      </c>
      <c r="L22" s="31" t="e">
        <f t="shared" si="2"/>
        <v>#REF!</v>
      </c>
      <c r="M22" s="24"/>
      <c r="N22" s="25" t="e">
        <f t="shared" si="3"/>
        <v>#REF!</v>
      </c>
      <c r="O22" s="15">
        <v>1</v>
      </c>
      <c r="P22" s="15">
        <v>0</v>
      </c>
      <c r="Q22" s="15">
        <v>0</v>
      </c>
      <c r="R22" s="15">
        <f t="shared" si="4"/>
        <v>100</v>
      </c>
      <c r="S22" s="15">
        <f t="shared" si="6"/>
        <v>100</v>
      </c>
      <c r="T22" s="26"/>
      <c r="U22" s="27"/>
    </row>
    <row r="23" spans="2:21" ht="13.5" thickBot="1" x14ac:dyDescent="0.25">
      <c r="B23" s="11"/>
      <c r="C23" s="28">
        <v>50</v>
      </c>
      <c r="D23" s="28">
        <v>25</v>
      </c>
      <c r="E23" s="21">
        <f t="shared" si="5"/>
        <v>1</v>
      </c>
      <c r="F23" s="22" t="e">
        <f>VLOOKUP(S23,BWtable!#REF!:BWtable!#REF!,2)</f>
        <v>#REF!</v>
      </c>
      <c r="G23" s="23" t="e">
        <f>DEC2HEX(VLOOKUP(S23,BWtable!#REF!:BWtable!#REF!,5))</f>
        <v>#REF!</v>
      </c>
      <c r="H23" s="20" t="e">
        <f>DEC2HEX(VLOOKUP(S23,BWtable!#REF!:BWtable!#REF!,3))</f>
        <v>#REF!</v>
      </c>
      <c r="I23" s="20" t="e">
        <f>DEC2HEX(VLOOKUP(S23,BWtable!#REF!:BWtable!#REF!,4))</f>
        <v>#REF!</v>
      </c>
      <c r="J23" s="28" t="e">
        <f t="shared" si="0"/>
        <v>#REF!</v>
      </c>
      <c r="K23" s="28" t="e">
        <f t="shared" si="1"/>
        <v>#REF!</v>
      </c>
      <c r="L23" s="28" t="e">
        <f t="shared" si="2"/>
        <v>#REF!</v>
      </c>
      <c r="M23" s="24"/>
      <c r="N23" s="25" t="e">
        <f t="shared" si="3"/>
        <v>#REF!</v>
      </c>
      <c r="O23" s="15">
        <v>1</v>
      </c>
      <c r="P23" s="15">
        <v>0</v>
      </c>
      <c r="Q23" s="15">
        <v>0</v>
      </c>
      <c r="R23" s="15">
        <f t="shared" si="4"/>
        <v>75</v>
      </c>
      <c r="S23" s="15">
        <f t="shared" si="6"/>
        <v>75</v>
      </c>
      <c r="T23" s="26"/>
      <c r="U23" s="27"/>
    </row>
    <row r="24" spans="2:21" ht="13.5" thickBot="1" x14ac:dyDescent="0.25">
      <c r="B24" s="11"/>
      <c r="C24" s="28">
        <v>57.6</v>
      </c>
      <c r="D24" s="28">
        <v>28.8</v>
      </c>
      <c r="E24" s="21">
        <f t="shared" si="5"/>
        <v>1</v>
      </c>
      <c r="F24" s="22" t="e">
        <f>VLOOKUP(S24,BWtable!#REF!:BWtable!#REF!,2)</f>
        <v>#REF!</v>
      </c>
      <c r="G24" s="23" t="e">
        <f>DEC2HEX(VLOOKUP(S24,BWtable!#REF!:BWtable!#REF!,5))</f>
        <v>#REF!</v>
      </c>
      <c r="H24" s="20" t="e">
        <f>DEC2HEX(VLOOKUP(S24,BWtable!#REF!:BWtable!#REF!,3))</f>
        <v>#REF!</v>
      </c>
      <c r="I24" s="20" t="e">
        <f>DEC2HEX(VLOOKUP(S24,BWtable!#REF!:BWtable!#REF!,4))</f>
        <v>#REF!</v>
      </c>
      <c r="J24" s="28" t="e">
        <f t="shared" si="0"/>
        <v>#REF!</v>
      </c>
      <c r="K24" s="28" t="e">
        <f t="shared" si="1"/>
        <v>#REF!</v>
      </c>
      <c r="L24" s="28" t="e">
        <f t="shared" si="2"/>
        <v>#REF!</v>
      </c>
      <c r="M24" s="24"/>
      <c r="N24" s="25" t="e">
        <f t="shared" si="3"/>
        <v>#REF!</v>
      </c>
      <c r="O24" s="15">
        <v>1</v>
      </c>
      <c r="P24" s="15">
        <v>0</v>
      </c>
      <c r="Q24" s="15">
        <v>0</v>
      </c>
      <c r="R24" s="15">
        <f t="shared" si="4"/>
        <v>86.4</v>
      </c>
      <c r="S24" s="15">
        <f t="shared" si="6"/>
        <v>86.4</v>
      </c>
      <c r="T24" s="26"/>
      <c r="U24" s="27"/>
    </row>
    <row r="25" spans="2:21" ht="13.5" thickBot="1" x14ac:dyDescent="0.25">
      <c r="B25" s="11"/>
      <c r="C25" s="28">
        <v>100</v>
      </c>
      <c r="D25" s="28">
        <v>50</v>
      </c>
      <c r="E25" s="21">
        <f t="shared" si="5"/>
        <v>1</v>
      </c>
      <c r="F25" s="22" t="e">
        <f>VLOOKUP(S25,BWtable!#REF!:BWtable!#REF!,2)</f>
        <v>#REF!</v>
      </c>
      <c r="G25" s="23" t="e">
        <f>DEC2HEX(VLOOKUP(S25,BWtable!#REF!:BWtable!#REF!,5))</f>
        <v>#REF!</v>
      </c>
      <c r="H25" s="20" t="e">
        <f>DEC2HEX(VLOOKUP(S25,BWtable!#REF!:BWtable!#REF!,3))</f>
        <v>#REF!</v>
      </c>
      <c r="I25" s="20" t="e">
        <f>DEC2HEX(VLOOKUP(S25,BWtable!#REF!:BWtable!#REF!,4))</f>
        <v>#REF!</v>
      </c>
      <c r="J25" s="28" t="e">
        <f t="shared" si="0"/>
        <v>#REF!</v>
      </c>
      <c r="K25" s="28" t="e">
        <f t="shared" si="1"/>
        <v>#REF!</v>
      </c>
      <c r="L25" s="28" t="e">
        <f t="shared" si="2"/>
        <v>#REF!</v>
      </c>
      <c r="M25" s="24"/>
      <c r="N25" s="25" t="e">
        <f t="shared" si="3"/>
        <v>#REF!</v>
      </c>
      <c r="O25" s="15">
        <v>1</v>
      </c>
      <c r="P25" s="15">
        <v>0</v>
      </c>
      <c r="Q25" s="15">
        <v>0</v>
      </c>
      <c r="R25" s="15">
        <f t="shared" si="4"/>
        <v>150</v>
      </c>
      <c r="S25" s="15">
        <v>190</v>
      </c>
      <c r="T25" s="26" t="s">
        <v>184</v>
      </c>
      <c r="U25" s="27"/>
    </row>
    <row r="26" spans="2:21" ht="13.5" thickBot="1" x14ac:dyDescent="0.25">
      <c r="B26" s="11"/>
      <c r="C26" s="28">
        <v>100</v>
      </c>
      <c r="D26" s="28">
        <v>300</v>
      </c>
      <c r="E26" s="21">
        <f>2*D26/C26</f>
        <v>6</v>
      </c>
      <c r="F26" s="22" t="e">
        <f>VLOOKUP(S26,BWtable!#REF!:BWtable!#REF!,2)</f>
        <v>#REF!</v>
      </c>
      <c r="G26" s="23" t="e">
        <f>DEC2HEX(VLOOKUP(S26,BWtable!#REF!:BWtable!#REF!,5))</f>
        <v>#REF!</v>
      </c>
      <c r="H26" s="20" t="e">
        <f>DEC2HEX(VLOOKUP(S26,BWtable!#REF!:BWtable!#REF!,3))</f>
        <v>#REF!</v>
      </c>
      <c r="I26" s="20" t="e">
        <f>DEC2HEX(VLOOKUP(S26,BWtable!#REF!:BWtable!#REF!,4))</f>
        <v>#REF!</v>
      </c>
      <c r="J26" s="28" t="e">
        <f t="shared" si="0"/>
        <v>#REF!</v>
      </c>
      <c r="K26" s="28" t="e">
        <f t="shared" si="1"/>
        <v>#REF!</v>
      </c>
      <c r="L26" s="28" t="e">
        <f t="shared" si="2"/>
        <v>#REF!</v>
      </c>
      <c r="M26" s="24"/>
      <c r="N26" s="25" t="e">
        <f t="shared" si="3"/>
        <v>#REF!</v>
      </c>
      <c r="O26" s="15">
        <v>1</v>
      </c>
      <c r="P26" s="15">
        <v>0</v>
      </c>
      <c r="Q26" s="15">
        <v>0</v>
      </c>
      <c r="R26" s="15">
        <f t="shared" si="4"/>
        <v>650</v>
      </c>
      <c r="S26" s="15">
        <f>IF(P26&gt;R26/2,2*P26,R26)</f>
        <v>650</v>
      </c>
      <c r="T26" s="26"/>
      <c r="U26" s="27"/>
    </row>
    <row r="27" spans="2:21" x14ac:dyDescent="0.2">
      <c r="B27" s="11"/>
      <c r="C27" s="28">
        <v>125</v>
      </c>
      <c r="D27" s="28">
        <v>125</v>
      </c>
      <c r="E27" s="21">
        <f t="shared" si="5"/>
        <v>2</v>
      </c>
      <c r="F27" s="22" t="e">
        <f>VLOOKUP(S27,BWtable!#REF!:BWtable!#REF!,2)</f>
        <v>#REF!</v>
      </c>
      <c r="G27" s="23" t="e">
        <f>DEC2HEX(VLOOKUP(S27,BWtable!#REF!:BWtable!#REF!,5))</f>
        <v>#REF!</v>
      </c>
      <c r="H27" s="20" t="e">
        <f>DEC2HEX(VLOOKUP(S27,BWtable!#REF!:BWtable!#REF!,3))</f>
        <v>#REF!</v>
      </c>
      <c r="I27" s="20" t="e">
        <f>DEC2HEX(VLOOKUP(S27,BWtable!#REF!:BWtable!#REF!,4))</f>
        <v>#REF!</v>
      </c>
      <c r="J27" s="28" t="e">
        <f t="shared" si="0"/>
        <v>#REF!</v>
      </c>
      <c r="K27" s="28" t="e">
        <f t="shared" si="1"/>
        <v>#REF!</v>
      </c>
      <c r="L27" s="28" t="e">
        <f t="shared" si="2"/>
        <v>#REF!</v>
      </c>
      <c r="M27" s="24"/>
      <c r="N27" s="25" t="e">
        <f t="shared" si="3"/>
        <v>#REF!</v>
      </c>
      <c r="O27" s="15">
        <v>1</v>
      </c>
      <c r="P27" s="15">
        <v>0</v>
      </c>
      <c r="Q27" s="15">
        <v>0</v>
      </c>
      <c r="R27" s="15">
        <f t="shared" si="4"/>
        <v>312.5</v>
      </c>
      <c r="S27" s="15">
        <f t="shared" si="6"/>
        <v>312.5</v>
      </c>
      <c r="T27" s="26"/>
      <c r="U27" s="27"/>
    </row>
    <row r="28" spans="2:21" x14ac:dyDescent="0.2">
      <c r="B28" s="26"/>
      <c r="C28" s="33"/>
      <c r="D28" s="33"/>
      <c r="E28" s="33"/>
      <c r="F28" s="33"/>
      <c r="G28" s="33"/>
      <c r="H28" s="33"/>
      <c r="I28" s="33"/>
      <c r="J28" s="33"/>
      <c r="K28" s="33"/>
      <c r="L28" s="33"/>
      <c r="M28" s="26"/>
      <c r="N28" s="26"/>
      <c r="O28" s="26"/>
      <c r="P28" s="26"/>
      <c r="Q28" s="26"/>
      <c r="R28" s="26"/>
      <c r="S28" s="26"/>
      <c r="T28" s="26"/>
      <c r="U28" s="27"/>
    </row>
    <row r="29" spans="2:21" x14ac:dyDescent="0.2">
      <c r="B29" s="26"/>
      <c r="C29" s="34"/>
      <c r="D29" s="34"/>
      <c r="E29" s="34"/>
      <c r="F29" s="34"/>
      <c r="G29" s="34"/>
      <c r="H29" s="34"/>
      <c r="I29" s="34"/>
      <c r="J29" s="34"/>
      <c r="K29" s="34"/>
      <c r="L29" s="34"/>
      <c r="M29" s="26"/>
      <c r="N29" s="26"/>
      <c r="O29" s="26"/>
      <c r="P29" s="26"/>
      <c r="Q29" s="26"/>
      <c r="R29" s="26"/>
      <c r="S29" s="26"/>
      <c r="T29" s="26"/>
      <c r="U29" s="27"/>
    </row>
    <row r="30" spans="2:21" ht="13.5" thickBot="1" x14ac:dyDescent="0.25">
      <c r="C30" s="475" t="s">
        <v>185</v>
      </c>
      <c r="D30" s="476"/>
      <c r="E30" s="476"/>
      <c r="F30" s="476"/>
      <c r="G30" s="476"/>
      <c r="H30" s="476"/>
      <c r="I30" s="476"/>
      <c r="J30" s="476"/>
      <c r="K30" s="476"/>
      <c r="L30" s="477"/>
      <c r="U30" s="27"/>
    </row>
    <row r="31" spans="2:21" x14ac:dyDescent="0.2">
      <c r="C31" s="481" t="s">
        <v>162</v>
      </c>
      <c r="D31" s="482"/>
      <c r="E31" s="482"/>
      <c r="F31" s="482"/>
      <c r="G31" s="483" t="s">
        <v>163</v>
      </c>
      <c r="H31" s="482"/>
      <c r="I31" s="482"/>
      <c r="J31" s="482"/>
      <c r="K31" s="482"/>
      <c r="L31" s="484"/>
      <c r="U31" s="27"/>
    </row>
    <row r="32" spans="2:21" x14ac:dyDescent="0.2">
      <c r="B32" s="11"/>
      <c r="C32" s="10" t="s">
        <v>164</v>
      </c>
      <c r="D32" s="10" t="s">
        <v>165</v>
      </c>
      <c r="E32" s="10" t="s">
        <v>166</v>
      </c>
      <c r="F32" s="12" t="s">
        <v>167</v>
      </c>
      <c r="G32" s="13" t="s">
        <v>168</v>
      </c>
      <c r="H32" s="10" t="s">
        <v>169</v>
      </c>
      <c r="I32" s="10" t="s">
        <v>170</v>
      </c>
      <c r="J32" s="10" t="s">
        <v>171</v>
      </c>
      <c r="K32" s="10" t="s">
        <v>172</v>
      </c>
      <c r="L32" s="10" t="s">
        <v>173</v>
      </c>
      <c r="M32" s="14"/>
      <c r="N32" s="15"/>
      <c r="O32" s="15"/>
      <c r="P32" s="15"/>
      <c r="Q32" s="15"/>
      <c r="R32" s="15"/>
      <c r="S32" s="15"/>
      <c r="T32" s="15"/>
      <c r="U32" s="27"/>
    </row>
    <row r="33" spans="2:21" ht="13.5" thickBot="1" x14ac:dyDescent="0.25">
      <c r="B33" s="11"/>
      <c r="C33" s="10" t="s">
        <v>186</v>
      </c>
      <c r="D33" s="10" t="s">
        <v>160</v>
      </c>
      <c r="E33" s="10" t="s">
        <v>179</v>
      </c>
      <c r="F33" s="18" t="s">
        <v>160</v>
      </c>
      <c r="G33" s="19" t="s">
        <v>180</v>
      </c>
      <c r="H33" s="17" t="s">
        <v>180</v>
      </c>
      <c r="I33" s="17" t="s">
        <v>180</v>
      </c>
      <c r="J33" s="17" t="s">
        <v>181</v>
      </c>
      <c r="K33" s="17" t="s">
        <v>182</v>
      </c>
      <c r="L33" s="17" t="s">
        <v>183</v>
      </c>
      <c r="M33" s="14"/>
      <c r="N33" s="15"/>
      <c r="O33" s="15"/>
      <c r="P33" s="15"/>
      <c r="Q33" s="15"/>
      <c r="R33" s="15"/>
      <c r="S33" s="15"/>
      <c r="T33" s="15"/>
      <c r="U33" s="27"/>
    </row>
    <row r="34" spans="2:21" ht="13.5" thickBot="1" x14ac:dyDescent="0.25">
      <c r="B34" s="11"/>
      <c r="C34" s="20">
        <v>2</v>
      </c>
      <c r="D34" s="20">
        <v>5</v>
      </c>
      <c r="E34" s="35">
        <f>2*D34/C34</f>
        <v>5</v>
      </c>
      <c r="F34" s="22" t="e">
        <f>VLOOKUP(S34,BWtable!#REF!:BWtable!#REF!,2)</f>
        <v>#REF!</v>
      </c>
      <c r="G34" s="23" t="e">
        <f>DEC2HEX(VLOOKUP(S34,BWtable!#REF!:BWtable!#REF!,5))</f>
        <v>#REF!</v>
      </c>
      <c r="H34" s="20" t="e">
        <f>DEC2HEX(VLOOKUP(S34,BWtable!#REF!:BWtable!#REF!,3))</f>
        <v>#REF!</v>
      </c>
      <c r="I34" s="20" t="e">
        <f>DEC2HEX(VLOOKUP(S34,BWtable!#REF!:BWtable!#REF!,4))</f>
        <v>#REF!</v>
      </c>
      <c r="J34" s="20" t="e">
        <f t="shared" ref="J34:J53" si="7">DEC2HEX(ROUND(500*(1+2*G34)/((1+Q34)*C34*2^(H34-3)),0),3)</f>
        <v>#REF!</v>
      </c>
      <c r="K34" s="20" t="e">
        <f t="shared" ref="K34:K53" si="8">DEC2HEX(ROUND((C34*2^(20+H34))/(500*(1+2*G34)),0),5)</f>
        <v>#REF!</v>
      </c>
      <c r="L34" s="20" t="e">
        <f t="shared" ref="L34:L53" si="9">IF(2+2*32768*C34*(1+Q34)/(D34*HEX2DEC(J34))&gt;2047,DEC2HEX(2047),DEC2HEX(ROUND(2+2*32768*C34*(1+Q34)/(D34*HEX2DEC(J34)),0),3))</f>
        <v>#REF!</v>
      </c>
      <c r="M34" s="24"/>
      <c r="N34" s="25" t="e">
        <f t="shared" ref="N34:N53" si="10">HEX2DEC(J34)/8</f>
        <v>#REF!</v>
      </c>
      <c r="O34" s="15">
        <v>1</v>
      </c>
      <c r="P34" s="15">
        <v>0</v>
      </c>
      <c r="Q34" s="15">
        <v>0</v>
      </c>
      <c r="R34" s="15">
        <f t="shared" ref="R34:R53" si="11">((C34/2)*(1+Q34)+2*D34)*O34</f>
        <v>11</v>
      </c>
      <c r="S34" s="15">
        <f>IF(P34&gt;R34/2,2*P34,R34)</f>
        <v>11</v>
      </c>
      <c r="T34" s="26"/>
      <c r="U34" s="27"/>
    </row>
    <row r="35" spans="2:21" ht="13.5" thickBot="1" x14ac:dyDescent="0.25">
      <c r="B35" s="11"/>
      <c r="C35" s="28">
        <v>2.4</v>
      </c>
      <c r="D35" s="28">
        <v>4.8</v>
      </c>
      <c r="E35" s="21">
        <f>2*D35/C35</f>
        <v>4</v>
      </c>
      <c r="F35" s="22" t="e">
        <f>VLOOKUP(S35,BWtable!#REF!:BWtable!#REF!,2)</f>
        <v>#REF!</v>
      </c>
      <c r="G35" s="23" t="e">
        <f>DEC2HEX(VLOOKUP(S35,BWtable!#REF!:BWtable!#REF!,5))</f>
        <v>#REF!</v>
      </c>
      <c r="H35" s="20" t="e">
        <f>DEC2HEX(VLOOKUP(S35,BWtable!#REF!:BWtable!#REF!,3))</f>
        <v>#REF!</v>
      </c>
      <c r="I35" s="20" t="e">
        <f>DEC2HEX(VLOOKUP(S35,BWtable!#REF!:BWtable!#REF!,4))</f>
        <v>#REF!</v>
      </c>
      <c r="J35" s="28" t="e">
        <f t="shared" si="7"/>
        <v>#REF!</v>
      </c>
      <c r="K35" s="28" t="e">
        <f t="shared" si="8"/>
        <v>#REF!</v>
      </c>
      <c r="L35" s="28" t="e">
        <f t="shared" si="9"/>
        <v>#REF!</v>
      </c>
      <c r="M35" s="24"/>
      <c r="N35" s="25" t="e">
        <f t="shared" si="10"/>
        <v>#REF!</v>
      </c>
      <c r="O35" s="15">
        <v>1</v>
      </c>
      <c r="P35" s="15">
        <v>0</v>
      </c>
      <c r="Q35" s="15">
        <v>0</v>
      </c>
      <c r="R35" s="15">
        <f t="shared" si="11"/>
        <v>10.799999999999999</v>
      </c>
      <c r="S35" s="15">
        <f>IF(P35&gt;R35/2,2*P35,R35)</f>
        <v>10.799999999999999</v>
      </c>
      <c r="T35" s="26"/>
      <c r="U35" s="27"/>
    </row>
    <row r="36" spans="2:21" ht="13.5" thickBot="1" x14ac:dyDescent="0.25">
      <c r="B36" s="11"/>
      <c r="C36" s="28">
        <v>2.4</v>
      </c>
      <c r="D36" s="28">
        <v>36</v>
      </c>
      <c r="E36" s="21">
        <f>2*D36/C36</f>
        <v>30</v>
      </c>
      <c r="F36" s="22" t="e">
        <f>VLOOKUP(S36,BWtable!#REF!:BWtable!#REF!,2)</f>
        <v>#REF!</v>
      </c>
      <c r="G36" s="23" t="e">
        <f>DEC2HEX(VLOOKUP(S36,BWtable!#REF!:BWtable!#REF!,5))</f>
        <v>#REF!</v>
      </c>
      <c r="H36" s="20" t="e">
        <f>DEC2HEX(VLOOKUP(S36,BWtable!#REF!:BWtable!#REF!,3))</f>
        <v>#REF!</v>
      </c>
      <c r="I36" s="20" t="e">
        <f>DEC2HEX(VLOOKUP(S36,BWtable!#REF!:BWtable!#REF!,4))</f>
        <v>#REF!</v>
      </c>
      <c r="J36" s="28" t="e">
        <f t="shared" si="7"/>
        <v>#REF!</v>
      </c>
      <c r="K36" s="28" t="e">
        <f t="shared" si="8"/>
        <v>#REF!</v>
      </c>
      <c r="L36" s="28" t="e">
        <f t="shared" si="9"/>
        <v>#REF!</v>
      </c>
      <c r="M36" s="24"/>
      <c r="N36" s="25" t="e">
        <f t="shared" si="10"/>
        <v>#REF!</v>
      </c>
      <c r="O36" s="15">
        <v>1</v>
      </c>
      <c r="P36" s="15">
        <v>0</v>
      </c>
      <c r="Q36" s="15">
        <v>0</v>
      </c>
      <c r="R36" s="15">
        <f t="shared" si="11"/>
        <v>73.2</v>
      </c>
      <c r="S36" s="15">
        <f>IF(P36&gt;R36/2,2*P36,R36)</f>
        <v>73.2</v>
      </c>
      <c r="T36" s="26"/>
      <c r="U36" s="27"/>
    </row>
    <row r="37" spans="2:21" ht="13.5" thickBot="1" x14ac:dyDescent="0.25">
      <c r="B37" s="11"/>
      <c r="C37" s="28">
        <v>4.8</v>
      </c>
      <c r="D37" s="28">
        <v>4.8</v>
      </c>
      <c r="E37" s="21">
        <f>2*D37/C37</f>
        <v>2</v>
      </c>
      <c r="F37" s="22" t="e">
        <f>VLOOKUP(S37,BWtable!#REF!:BWtable!#REF!,2)</f>
        <v>#REF!</v>
      </c>
      <c r="G37" s="23" t="e">
        <f>DEC2HEX(VLOOKUP(S37,BWtable!#REF!:BWtable!#REF!,5))</f>
        <v>#REF!</v>
      </c>
      <c r="H37" s="20" t="e">
        <f>DEC2HEX(VLOOKUP(S37,BWtable!#REF!:BWtable!#REF!,3))</f>
        <v>#REF!</v>
      </c>
      <c r="I37" s="20" t="e">
        <f>DEC2HEX(VLOOKUP(S37,BWtable!#REF!:BWtable!#REF!,4))</f>
        <v>#REF!</v>
      </c>
      <c r="J37" s="28" t="e">
        <f t="shared" si="7"/>
        <v>#REF!</v>
      </c>
      <c r="K37" s="28" t="e">
        <f t="shared" si="8"/>
        <v>#REF!</v>
      </c>
      <c r="L37" s="28" t="e">
        <f t="shared" si="9"/>
        <v>#REF!</v>
      </c>
      <c r="M37" s="24"/>
      <c r="N37" s="25" t="e">
        <f t="shared" si="10"/>
        <v>#REF!</v>
      </c>
      <c r="O37" s="15">
        <v>1</v>
      </c>
      <c r="P37" s="15">
        <v>0</v>
      </c>
      <c r="Q37" s="15">
        <v>0</v>
      </c>
      <c r="R37" s="15">
        <f t="shared" si="11"/>
        <v>12</v>
      </c>
      <c r="S37" s="15">
        <f>IF(P37&gt;R37/2,2*P37,R37)</f>
        <v>12</v>
      </c>
      <c r="T37" s="26"/>
      <c r="U37" s="27"/>
    </row>
    <row r="38" spans="2:21" ht="13.5" thickBot="1" x14ac:dyDescent="0.25">
      <c r="B38" s="11"/>
      <c r="C38" s="29">
        <v>4.8</v>
      </c>
      <c r="D38" s="29">
        <v>45</v>
      </c>
      <c r="E38" s="30">
        <f t="shared" ref="E38:E53" si="12">2*D38/C38</f>
        <v>18.75</v>
      </c>
      <c r="F38" s="22" t="e">
        <f>VLOOKUP(S38,BWtable!#REF!:BWtable!#REF!,2)</f>
        <v>#REF!</v>
      </c>
      <c r="G38" s="23" t="e">
        <f>DEC2HEX(VLOOKUP(S38,BWtable!#REF!:BWtable!#REF!,5))</f>
        <v>#REF!</v>
      </c>
      <c r="H38" s="20" t="e">
        <f>DEC2HEX(VLOOKUP(S38,BWtable!#REF!:BWtable!#REF!,3))</f>
        <v>#REF!</v>
      </c>
      <c r="I38" s="20" t="e">
        <f>DEC2HEX(VLOOKUP(S38,BWtable!#REF!:BWtable!#REF!,4))</f>
        <v>#REF!</v>
      </c>
      <c r="J38" s="29" t="e">
        <f t="shared" si="7"/>
        <v>#REF!</v>
      </c>
      <c r="K38" s="29" t="e">
        <f t="shared" si="8"/>
        <v>#REF!</v>
      </c>
      <c r="L38" s="29" t="e">
        <f t="shared" si="9"/>
        <v>#REF!</v>
      </c>
      <c r="M38" s="24"/>
      <c r="N38" s="25" t="e">
        <f t="shared" si="10"/>
        <v>#REF!</v>
      </c>
      <c r="O38" s="15">
        <v>1</v>
      </c>
      <c r="P38" s="15">
        <v>0</v>
      </c>
      <c r="Q38" s="15">
        <v>0</v>
      </c>
      <c r="R38" s="15">
        <f t="shared" si="11"/>
        <v>92.4</v>
      </c>
      <c r="S38" s="15">
        <f t="shared" ref="S38:S53" si="13">IF(P38&gt;R38/2,2*P38,R38)</f>
        <v>92.4</v>
      </c>
      <c r="T38" s="26"/>
      <c r="U38" s="27"/>
    </row>
    <row r="39" spans="2:21" ht="13.5" thickBot="1" x14ac:dyDescent="0.25">
      <c r="B39" s="11"/>
      <c r="C39" s="28">
        <v>9.6</v>
      </c>
      <c r="D39" s="28">
        <v>4.8</v>
      </c>
      <c r="E39" s="21">
        <f t="shared" si="12"/>
        <v>1</v>
      </c>
      <c r="F39" s="22" t="e">
        <f>VLOOKUP(S39,BWtable!#REF!:BWtable!#REF!,2)</f>
        <v>#REF!</v>
      </c>
      <c r="G39" s="23" t="e">
        <f>DEC2HEX(VLOOKUP(S39,BWtable!#REF!:BWtable!#REF!,5))</f>
        <v>#REF!</v>
      </c>
      <c r="H39" s="20" t="e">
        <f>DEC2HEX(VLOOKUP(S39,BWtable!#REF!:BWtable!#REF!,3))</f>
        <v>#REF!</v>
      </c>
      <c r="I39" s="20" t="e">
        <f>DEC2HEX(VLOOKUP(S39,BWtable!#REF!:BWtable!#REF!,4))</f>
        <v>#REF!</v>
      </c>
      <c r="J39" s="28" t="e">
        <f t="shared" si="7"/>
        <v>#REF!</v>
      </c>
      <c r="K39" s="28" t="e">
        <f t="shared" si="8"/>
        <v>#REF!</v>
      </c>
      <c r="L39" s="28" t="e">
        <f t="shared" si="9"/>
        <v>#REF!</v>
      </c>
      <c r="M39" s="24"/>
      <c r="N39" s="25" t="e">
        <f t="shared" si="10"/>
        <v>#REF!</v>
      </c>
      <c r="O39" s="15">
        <v>1</v>
      </c>
      <c r="P39" s="15">
        <v>0</v>
      </c>
      <c r="Q39" s="15">
        <v>0</v>
      </c>
      <c r="R39" s="15">
        <f t="shared" si="11"/>
        <v>14.399999999999999</v>
      </c>
      <c r="S39" s="15">
        <f t="shared" si="13"/>
        <v>14.399999999999999</v>
      </c>
      <c r="T39" s="26"/>
      <c r="U39" s="27"/>
    </row>
    <row r="40" spans="2:21" ht="13.5" thickBot="1" x14ac:dyDescent="0.25">
      <c r="B40" s="11"/>
      <c r="C40" s="28">
        <v>9.6</v>
      </c>
      <c r="D40" s="28">
        <v>45</v>
      </c>
      <c r="E40" s="21">
        <f t="shared" si="12"/>
        <v>9.375</v>
      </c>
      <c r="F40" s="22" t="e">
        <f>VLOOKUP(S40,BWtable!#REF!:BWtable!#REF!,2)</f>
        <v>#REF!</v>
      </c>
      <c r="G40" s="23" t="e">
        <f>DEC2HEX(VLOOKUP(S40,BWtable!#REF!:BWtable!#REF!,5))</f>
        <v>#REF!</v>
      </c>
      <c r="H40" s="20" t="e">
        <f>DEC2HEX(VLOOKUP(S40,BWtable!#REF!:BWtable!#REF!,3))</f>
        <v>#REF!</v>
      </c>
      <c r="I40" s="20" t="e">
        <f>DEC2HEX(VLOOKUP(S40,BWtable!#REF!:BWtable!#REF!,4))</f>
        <v>#REF!</v>
      </c>
      <c r="J40" s="28" t="e">
        <f t="shared" si="7"/>
        <v>#REF!</v>
      </c>
      <c r="K40" s="28" t="e">
        <f t="shared" si="8"/>
        <v>#REF!</v>
      </c>
      <c r="L40" s="28" t="e">
        <f t="shared" si="9"/>
        <v>#REF!</v>
      </c>
      <c r="M40" s="24"/>
      <c r="N40" s="25" t="e">
        <f t="shared" si="10"/>
        <v>#REF!</v>
      </c>
      <c r="O40" s="15">
        <v>1</v>
      </c>
      <c r="P40" s="15">
        <v>0</v>
      </c>
      <c r="Q40" s="15">
        <v>0</v>
      </c>
      <c r="R40" s="15">
        <f t="shared" si="11"/>
        <v>94.8</v>
      </c>
      <c r="S40" s="15">
        <f t="shared" si="13"/>
        <v>94.8</v>
      </c>
      <c r="T40" s="26"/>
      <c r="U40" s="27"/>
    </row>
    <row r="41" spans="2:21" ht="13.5" thickBot="1" x14ac:dyDescent="0.25">
      <c r="B41" s="11"/>
      <c r="C41" s="28">
        <v>10</v>
      </c>
      <c r="D41" s="28">
        <v>5</v>
      </c>
      <c r="E41" s="21">
        <f t="shared" si="12"/>
        <v>1</v>
      </c>
      <c r="F41" s="22" t="e">
        <f>VLOOKUP(S41,BWtable!#REF!:BWtable!#REF!,2)</f>
        <v>#REF!</v>
      </c>
      <c r="G41" s="23" t="e">
        <f>DEC2HEX(VLOOKUP(S41,BWtable!#REF!:BWtable!#REF!,5))</f>
        <v>#REF!</v>
      </c>
      <c r="H41" s="20" t="e">
        <f>DEC2HEX(VLOOKUP(S41,BWtable!#REF!:BWtable!#REF!,3))</f>
        <v>#REF!</v>
      </c>
      <c r="I41" s="20" t="e">
        <f>DEC2HEX(VLOOKUP(S41,BWtable!#REF!:BWtable!#REF!,4))</f>
        <v>#REF!</v>
      </c>
      <c r="J41" s="28" t="e">
        <f t="shared" si="7"/>
        <v>#REF!</v>
      </c>
      <c r="K41" s="28" t="e">
        <f t="shared" si="8"/>
        <v>#REF!</v>
      </c>
      <c r="L41" s="28" t="e">
        <f t="shared" si="9"/>
        <v>#REF!</v>
      </c>
      <c r="M41" s="24"/>
      <c r="N41" s="25" t="e">
        <f t="shared" si="10"/>
        <v>#REF!</v>
      </c>
      <c r="O41" s="15">
        <v>1</v>
      </c>
      <c r="P41" s="15">
        <v>0</v>
      </c>
      <c r="Q41" s="15">
        <v>0</v>
      </c>
      <c r="R41" s="15">
        <f t="shared" si="11"/>
        <v>15</v>
      </c>
      <c r="S41" s="15">
        <f t="shared" si="13"/>
        <v>15</v>
      </c>
      <c r="T41" s="26"/>
      <c r="U41" s="27"/>
    </row>
    <row r="42" spans="2:21" ht="13.5" thickBot="1" x14ac:dyDescent="0.25">
      <c r="B42" s="11"/>
      <c r="C42" s="28">
        <v>10</v>
      </c>
      <c r="D42" s="28">
        <v>40</v>
      </c>
      <c r="E42" s="21">
        <f t="shared" si="12"/>
        <v>8</v>
      </c>
      <c r="F42" s="22" t="e">
        <f>VLOOKUP(S42,BWtable!#REF!:BWtable!#REF!,2)</f>
        <v>#REF!</v>
      </c>
      <c r="G42" s="23" t="e">
        <f>DEC2HEX(VLOOKUP(S42,BWtable!#REF!:BWtable!#REF!,5))</f>
        <v>#REF!</v>
      </c>
      <c r="H42" s="20" t="e">
        <f>DEC2HEX(VLOOKUP(S42,BWtable!#REF!:BWtable!#REF!,3))</f>
        <v>#REF!</v>
      </c>
      <c r="I42" s="20" t="e">
        <f>DEC2HEX(VLOOKUP(S42,BWtable!#REF!:BWtable!#REF!,4))</f>
        <v>#REF!</v>
      </c>
      <c r="J42" s="28" t="e">
        <f t="shared" si="7"/>
        <v>#REF!</v>
      </c>
      <c r="K42" s="28" t="e">
        <f t="shared" si="8"/>
        <v>#REF!</v>
      </c>
      <c r="L42" s="28" t="e">
        <f t="shared" si="9"/>
        <v>#REF!</v>
      </c>
      <c r="M42" s="24"/>
      <c r="N42" s="25" t="e">
        <f t="shared" si="10"/>
        <v>#REF!</v>
      </c>
      <c r="O42" s="15">
        <v>1</v>
      </c>
      <c r="P42" s="15">
        <v>0</v>
      </c>
      <c r="Q42" s="15">
        <v>0</v>
      </c>
      <c r="R42" s="15">
        <f t="shared" si="11"/>
        <v>85</v>
      </c>
      <c r="S42" s="15">
        <f t="shared" si="13"/>
        <v>85</v>
      </c>
      <c r="T42" s="26"/>
      <c r="U42" s="27"/>
    </row>
    <row r="43" spans="2:21" ht="13.5" thickBot="1" x14ac:dyDescent="0.25">
      <c r="B43" s="11"/>
      <c r="C43" s="31">
        <v>19.2</v>
      </c>
      <c r="D43" s="31">
        <v>9.6</v>
      </c>
      <c r="E43" s="32">
        <f t="shared" si="12"/>
        <v>1</v>
      </c>
      <c r="F43" s="22" t="e">
        <f>VLOOKUP(S43,BWtable!#REF!:BWtable!#REF!,2)</f>
        <v>#REF!</v>
      </c>
      <c r="G43" s="23" t="e">
        <f>DEC2HEX(VLOOKUP(S43,BWtable!#REF!:BWtable!#REF!,5))</f>
        <v>#REF!</v>
      </c>
      <c r="H43" s="20" t="e">
        <f>DEC2HEX(VLOOKUP(S43,BWtable!#REF!:BWtable!#REF!,3))</f>
        <v>#REF!</v>
      </c>
      <c r="I43" s="20" t="e">
        <f>DEC2HEX(VLOOKUP(S43,BWtable!#REF!:BWtable!#REF!,4))</f>
        <v>#REF!</v>
      </c>
      <c r="J43" s="31" t="e">
        <f t="shared" si="7"/>
        <v>#REF!</v>
      </c>
      <c r="K43" s="31" t="e">
        <f t="shared" si="8"/>
        <v>#REF!</v>
      </c>
      <c r="L43" s="31" t="e">
        <f t="shared" si="9"/>
        <v>#REF!</v>
      </c>
      <c r="M43" s="24"/>
      <c r="N43" s="25" t="e">
        <f t="shared" si="10"/>
        <v>#REF!</v>
      </c>
      <c r="O43" s="15">
        <v>1</v>
      </c>
      <c r="P43" s="15">
        <v>0</v>
      </c>
      <c r="Q43" s="15">
        <v>0</v>
      </c>
      <c r="R43" s="15">
        <f t="shared" si="11"/>
        <v>28.799999999999997</v>
      </c>
      <c r="S43" s="15">
        <f t="shared" si="13"/>
        <v>28.799999999999997</v>
      </c>
      <c r="T43" s="26"/>
      <c r="U43" s="27"/>
    </row>
    <row r="44" spans="2:21" ht="13.5" thickBot="1" x14ac:dyDescent="0.25">
      <c r="B44" s="11"/>
      <c r="C44" s="28">
        <v>20</v>
      </c>
      <c r="D44" s="28">
        <v>10</v>
      </c>
      <c r="E44" s="21">
        <f t="shared" si="12"/>
        <v>1</v>
      </c>
      <c r="F44" s="22" t="e">
        <f>VLOOKUP(S44,BWtable!#REF!:BWtable!#REF!,2)</f>
        <v>#REF!</v>
      </c>
      <c r="G44" s="23" t="e">
        <f>DEC2HEX(VLOOKUP(S44,BWtable!#REF!:BWtable!#REF!,5))</f>
        <v>#REF!</v>
      </c>
      <c r="H44" s="20" t="e">
        <f>DEC2HEX(VLOOKUP(S44,BWtable!#REF!:BWtable!#REF!,3))</f>
        <v>#REF!</v>
      </c>
      <c r="I44" s="20" t="e">
        <f>DEC2HEX(VLOOKUP(S44,BWtable!#REF!:BWtable!#REF!,4))</f>
        <v>#REF!</v>
      </c>
      <c r="J44" s="28" t="e">
        <f t="shared" si="7"/>
        <v>#REF!</v>
      </c>
      <c r="K44" s="28" t="e">
        <f t="shared" si="8"/>
        <v>#REF!</v>
      </c>
      <c r="L44" s="28" t="e">
        <f t="shared" si="9"/>
        <v>#REF!</v>
      </c>
      <c r="M44" s="24"/>
      <c r="N44" s="25" t="e">
        <f t="shared" si="10"/>
        <v>#REF!</v>
      </c>
      <c r="O44" s="15">
        <v>1</v>
      </c>
      <c r="P44" s="15">
        <v>0</v>
      </c>
      <c r="Q44" s="15">
        <v>0</v>
      </c>
      <c r="R44" s="15">
        <f t="shared" si="11"/>
        <v>30</v>
      </c>
      <c r="S44" s="15">
        <f t="shared" si="13"/>
        <v>30</v>
      </c>
      <c r="T44" s="26"/>
      <c r="U44" s="27"/>
    </row>
    <row r="45" spans="2:21" ht="13.5" thickBot="1" x14ac:dyDescent="0.25">
      <c r="B45" s="11"/>
      <c r="C45" s="28">
        <v>20</v>
      </c>
      <c r="D45" s="28">
        <v>40</v>
      </c>
      <c r="E45" s="21">
        <f t="shared" si="12"/>
        <v>4</v>
      </c>
      <c r="F45" s="22" t="e">
        <f>VLOOKUP(S45,BWtable!#REF!:BWtable!#REF!,2)</f>
        <v>#REF!</v>
      </c>
      <c r="G45" s="23" t="e">
        <f>DEC2HEX(VLOOKUP(S45,BWtable!#REF!:BWtable!#REF!,5))</f>
        <v>#REF!</v>
      </c>
      <c r="H45" s="20" t="e">
        <f>DEC2HEX(VLOOKUP(S45,BWtable!#REF!:BWtable!#REF!,3))</f>
        <v>#REF!</v>
      </c>
      <c r="I45" s="20" t="e">
        <f>DEC2HEX(VLOOKUP(S45,BWtable!#REF!:BWtable!#REF!,4))</f>
        <v>#REF!</v>
      </c>
      <c r="J45" s="28" t="e">
        <f t="shared" si="7"/>
        <v>#REF!</v>
      </c>
      <c r="K45" s="28" t="e">
        <f t="shared" si="8"/>
        <v>#REF!</v>
      </c>
      <c r="L45" s="28" t="e">
        <f t="shared" si="9"/>
        <v>#REF!</v>
      </c>
      <c r="M45" s="24"/>
      <c r="N45" s="25" t="e">
        <f t="shared" si="10"/>
        <v>#REF!</v>
      </c>
      <c r="O45" s="15">
        <v>1</v>
      </c>
      <c r="P45" s="15">
        <v>0</v>
      </c>
      <c r="Q45" s="15">
        <v>0</v>
      </c>
      <c r="R45" s="15">
        <f t="shared" si="11"/>
        <v>90</v>
      </c>
      <c r="S45" s="15">
        <f t="shared" si="13"/>
        <v>90</v>
      </c>
      <c r="T45" s="26"/>
      <c r="U45" s="27"/>
    </row>
    <row r="46" spans="2:21" ht="13.5" thickBot="1" x14ac:dyDescent="0.25">
      <c r="B46" s="11"/>
      <c r="C46" s="28">
        <v>38.4</v>
      </c>
      <c r="D46" s="28">
        <v>19.600000000000001</v>
      </c>
      <c r="E46" s="21">
        <f t="shared" si="12"/>
        <v>1.0208333333333335</v>
      </c>
      <c r="F46" s="22" t="e">
        <f>VLOOKUP(S46,BWtable!#REF!:BWtable!#REF!,2)</f>
        <v>#REF!</v>
      </c>
      <c r="G46" s="23" t="e">
        <f>DEC2HEX(VLOOKUP(S46,BWtable!#REF!:BWtable!#REF!,5))</f>
        <v>#REF!</v>
      </c>
      <c r="H46" s="20" t="e">
        <f>DEC2HEX(VLOOKUP(S46,BWtable!#REF!:BWtable!#REF!,3))</f>
        <v>#REF!</v>
      </c>
      <c r="I46" s="20" t="e">
        <f>DEC2HEX(VLOOKUP(S46,BWtable!#REF!:BWtable!#REF!,4))</f>
        <v>#REF!</v>
      </c>
      <c r="J46" s="28" t="e">
        <f t="shared" si="7"/>
        <v>#REF!</v>
      </c>
      <c r="K46" s="28" t="e">
        <f t="shared" si="8"/>
        <v>#REF!</v>
      </c>
      <c r="L46" s="28" t="e">
        <f t="shared" si="9"/>
        <v>#REF!</v>
      </c>
      <c r="M46" s="24"/>
      <c r="N46" s="25" t="e">
        <f t="shared" si="10"/>
        <v>#REF!</v>
      </c>
      <c r="O46" s="15">
        <v>1</v>
      </c>
      <c r="P46" s="15">
        <v>0</v>
      </c>
      <c r="Q46" s="15">
        <v>0</v>
      </c>
      <c r="R46" s="15">
        <f t="shared" si="11"/>
        <v>58.400000000000006</v>
      </c>
      <c r="S46" s="15">
        <f t="shared" si="13"/>
        <v>58.400000000000006</v>
      </c>
      <c r="T46" s="26"/>
      <c r="U46" s="27"/>
    </row>
    <row r="47" spans="2:21" ht="13.5" thickBot="1" x14ac:dyDescent="0.25">
      <c r="B47" s="11"/>
      <c r="C47" s="28">
        <v>40</v>
      </c>
      <c r="D47" s="28">
        <v>20</v>
      </c>
      <c r="E47" s="21">
        <f t="shared" si="12"/>
        <v>1</v>
      </c>
      <c r="F47" s="22" t="e">
        <f>VLOOKUP(S47,BWtable!#REF!:BWtable!#REF!,2)</f>
        <v>#REF!</v>
      </c>
      <c r="G47" s="23" t="e">
        <f>DEC2HEX(VLOOKUP(S47,BWtable!#REF!:BWtable!#REF!,5))</f>
        <v>#REF!</v>
      </c>
      <c r="H47" s="20" t="e">
        <f>DEC2HEX(VLOOKUP(S47,BWtable!#REF!:BWtable!#REF!,3))</f>
        <v>#REF!</v>
      </c>
      <c r="I47" s="20" t="e">
        <f>DEC2HEX(VLOOKUP(S47,BWtable!#REF!:BWtable!#REF!,4))</f>
        <v>#REF!</v>
      </c>
      <c r="J47" s="28" t="e">
        <f t="shared" si="7"/>
        <v>#REF!</v>
      </c>
      <c r="K47" s="28" t="e">
        <f t="shared" si="8"/>
        <v>#REF!</v>
      </c>
      <c r="L47" s="28" t="e">
        <f t="shared" si="9"/>
        <v>#REF!</v>
      </c>
      <c r="M47" s="24"/>
      <c r="N47" s="25" t="e">
        <f t="shared" si="10"/>
        <v>#REF!</v>
      </c>
      <c r="O47" s="15">
        <v>1</v>
      </c>
      <c r="P47" s="15">
        <v>0</v>
      </c>
      <c r="Q47" s="15">
        <v>0</v>
      </c>
      <c r="R47" s="15">
        <f t="shared" si="11"/>
        <v>60</v>
      </c>
      <c r="S47" s="15">
        <f t="shared" si="13"/>
        <v>60</v>
      </c>
      <c r="T47" s="26"/>
      <c r="U47" s="27"/>
    </row>
    <row r="48" spans="2:21" ht="13.5" thickBot="1" x14ac:dyDescent="0.25">
      <c r="B48" s="11"/>
      <c r="C48" s="31">
        <v>40</v>
      </c>
      <c r="D48" s="31">
        <v>40</v>
      </c>
      <c r="E48" s="32">
        <f t="shared" si="12"/>
        <v>2</v>
      </c>
      <c r="F48" s="22" t="e">
        <f>VLOOKUP(S48,BWtable!#REF!:BWtable!#REF!,2)</f>
        <v>#REF!</v>
      </c>
      <c r="G48" s="23" t="e">
        <f>DEC2HEX(VLOOKUP(S48,BWtable!#REF!:BWtable!#REF!,5))</f>
        <v>#REF!</v>
      </c>
      <c r="H48" s="20" t="e">
        <f>DEC2HEX(VLOOKUP(S48,BWtable!#REF!:BWtable!#REF!,3))</f>
        <v>#REF!</v>
      </c>
      <c r="I48" s="20" t="e">
        <f>DEC2HEX(VLOOKUP(S48,BWtable!#REF!:BWtable!#REF!,4))</f>
        <v>#REF!</v>
      </c>
      <c r="J48" s="31" t="e">
        <f t="shared" si="7"/>
        <v>#REF!</v>
      </c>
      <c r="K48" s="31" t="e">
        <f t="shared" si="8"/>
        <v>#REF!</v>
      </c>
      <c r="L48" s="31" t="e">
        <f t="shared" si="9"/>
        <v>#REF!</v>
      </c>
      <c r="M48" s="24"/>
      <c r="N48" s="25" t="e">
        <f t="shared" si="10"/>
        <v>#REF!</v>
      </c>
      <c r="O48" s="15">
        <v>1</v>
      </c>
      <c r="P48" s="15">
        <v>0</v>
      </c>
      <c r="Q48" s="15">
        <v>0</v>
      </c>
      <c r="R48" s="15">
        <f t="shared" si="11"/>
        <v>100</v>
      </c>
      <c r="S48" s="15">
        <f t="shared" si="13"/>
        <v>100</v>
      </c>
      <c r="T48" s="26"/>
      <c r="U48" s="27"/>
    </row>
    <row r="49" spans="2:21" ht="13.5" thickBot="1" x14ac:dyDescent="0.25">
      <c r="B49" s="11"/>
      <c r="C49" s="28">
        <v>50</v>
      </c>
      <c r="D49" s="28">
        <v>25</v>
      </c>
      <c r="E49" s="21">
        <f t="shared" si="12"/>
        <v>1</v>
      </c>
      <c r="F49" s="22" t="e">
        <f>VLOOKUP(S49,BWtable!#REF!:BWtable!#REF!,2)</f>
        <v>#REF!</v>
      </c>
      <c r="G49" s="23" t="e">
        <f>DEC2HEX(VLOOKUP(S49,BWtable!#REF!:BWtable!#REF!,5))</f>
        <v>#REF!</v>
      </c>
      <c r="H49" s="20" t="e">
        <f>DEC2HEX(VLOOKUP(S49,BWtable!#REF!:BWtable!#REF!,3))</f>
        <v>#REF!</v>
      </c>
      <c r="I49" s="20" t="e">
        <f>DEC2HEX(VLOOKUP(S49,BWtable!#REF!:BWtable!#REF!,4))</f>
        <v>#REF!</v>
      </c>
      <c r="J49" s="28" t="e">
        <f t="shared" si="7"/>
        <v>#REF!</v>
      </c>
      <c r="K49" s="28" t="e">
        <f t="shared" si="8"/>
        <v>#REF!</v>
      </c>
      <c r="L49" s="28" t="e">
        <f t="shared" si="9"/>
        <v>#REF!</v>
      </c>
      <c r="M49" s="24"/>
      <c r="N49" s="25" t="e">
        <f t="shared" si="10"/>
        <v>#REF!</v>
      </c>
      <c r="O49" s="15">
        <v>1</v>
      </c>
      <c r="P49" s="15">
        <v>0</v>
      </c>
      <c r="Q49" s="15">
        <v>0</v>
      </c>
      <c r="R49" s="15">
        <f t="shared" si="11"/>
        <v>75</v>
      </c>
      <c r="S49" s="15">
        <f t="shared" si="13"/>
        <v>75</v>
      </c>
      <c r="T49" s="26"/>
      <c r="U49" s="27"/>
    </row>
    <row r="50" spans="2:21" ht="13.5" thickBot="1" x14ac:dyDescent="0.25">
      <c r="B50" s="11"/>
      <c r="C50" s="28">
        <v>62.5</v>
      </c>
      <c r="D50" s="28">
        <v>28.8</v>
      </c>
      <c r="E50" s="21">
        <f t="shared" si="12"/>
        <v>0.92159999999999997</v>
      </c>
      <c r="F50" s="22" t="e">
        <f>VLOOKUP(S50,BWtable!#REF!:BWtable!#REF!,2)</f>
        <v>#REF!</v>
      </c>
      <c r="G50" s="23" t="e">
        <f>DEC2HEX(VLOOKUP(S50,BWtable!#REF!:BWtable!#REF!,5))</f>
        <v>#REF!</v>
      </c>
      <c r="H50" s="20" t="e">
        <f>DEC2HEX(VLOOKUP(S50,BWtable!#REF!:BWtable!#REF!,3))</f>
        <v>#REF!</v>
      </c>
      <c r="I50" s="20" t="e">
        <f>DEC2HEX(VLOOKUP(S50,BWtable!#REF!:BWtable!#REF!,4))</f>
        <v>#REF!</v>
      </c>
      <c r="J50" s="28" t="e">
        <f t="shared" si="7"/>
        <v>#REF!</v>
      </c>
      <c r="K50" s="28" t="e">
        <f t="shared" si="8"/>
        <v>#REF!</v>
      </c>
      <c r="L50" s="28" t="e">
        <f t="shared" si="9"/>
        <v>#REF!</v>
      </c>
      <c r="M50" s="24"/>
      <c r="N50" s="25" t="e">
        <f t="shared" si="10"/>
        <v>#REF!</v>
      </c>
      <c r="O50" s="15">
        <v>1</v>
      </c>
      <c r="P50" s="15">
        <v>0</v>
      </c>
      <c r="Q50" s="15">
        <v>0</v>
      </c>
      <c r="R50" s="15">
        <f t="shared" si="11"/>
        <v>88.85</v>
      </c>
      <c r="S50" s="15">
        <v>95</v>
      </c>
      <c r="T50" s="26"/>
      <c r="U50" s="27"/>
    </row>
    <row r="51" spans="2:21" ht="13.5" thickBot="1" x14ac:dyDescent="0.25">
      <c r="B51" s="11"/>
      <c r="C51" s="28">
        <v>100</v>
      </c>
      <c r="D51" s="28">
        <v>50</v>
      </c>
      <c r="E51" s="21">
        <f t="shared" si="12"/>
        <v>1</v>
      </c>
      <c r="F51" s="22" t="e">
        <f>VLOOKUP(S51,BWtable!#REF!:BWtable!#REF!,2)</f>
        <v>#REF!</v>
      </c>
      <c r="G51" s="23" t="e">
        <f>DEC2HEX(VLOOKUP(S51,BWtable!#REF!:BWtable!#REF!,5))</f>
        <v>#REF!</v>
      </c>
      <c r="H51" s="20" t="e">
        <f>DEC2HEX(VLOOKUP(S51,BWtable!#REF!:BWtable!#REF!,3))</f>
        <v>#REF!</v>
      </c>
      <c r="I51" s="20" t="e">
        <f>DEC2HEX(VLOOKUP(S51,BWtable!#REF!:BWtable!#REF!,4))</f>
        <v>#REF!</v>
      </c>
      <c r="J51" s="28" t="e">
        <f t="shared" si="7"/>
        <v>#REF!</v>
      </c>
      <c r="K51" s="28" t="e">
        <f t="shared" si="8"/>
        <v>#REF!</v>
      </c>
      <c r="L51" s="28" t="e">
        <f t="shared" si="9"/>
        <v>#REF!</v>
      </c>
      <c r="M51" s="24"/>
      <c r="N51" s="25" t="e">
        <f t="shared" si="10"/>
        <v>#REF!</v>
      </c>
      <c r="O51" s="15">
        <v>1</v>
      </c>
      <c r="P51" s="15">
        <v>0</v>
      </c>
      <c r="Q51" s="15">
        <v>0</v>
      </c>
      <c r="R51" s="15">
        <f t="shared" si="11"/>
        <v>150</v>
      </c>
      <c r="S51" s="15">
        <f t="shared" si="13"/>
        <v>150</v>
      </c>
      <c r="T51" s="26"/>
      <c r="U51" s="27"/>
    </row>
    <row r="52" spans="2:21" ht="13.5" thickBot="1" x14ac:dyDescent="0.25">
      <c r="B52" s="11"/>
      <c r="C52" s="28">
        <v>100</v>
      </c>
      <c r="D52" s="28">
        <v>250</v>
      </c>
      <c r="E52" s="21">
        <f t="shared" si="12"/>
        <v>5</v>
      </c>
      <c r="F52" s="22" t="e">
        <f>VLOOKUP(S52,BWtable!#REF!:BWtable!#REF!,2)</f>
        <v>#REF!</v>
      </c>
      <c r="G52" s="23" t="e">
        <f>DEC2HEX(VLOOKUP(S52,BWtable!#REF!:BWtable!#REF!,5))</f>
        <v>#REF!</v>
      </c>
      <c r="H52" s="20" t="e">
        <f>DEC2HEX(VLOOKUP(S52,BWtable!#REF!:BWtable!#REF!,3))</f>
        <v>#REF!</v>
      </c>
      <c r="I52" s="20" t="e">
        <f>DEC2HEX(VLOOKUP(S52,BWtable!#REF!:BWtable!#REF!,4))</f>
        <v>#REF!</v>
      </c>
      <c r="J52" s="28" t="e">
        <f t="shared" si="7"/>
        <v>#REF!</v>
      </c>
      <c r="K52" s="28" t="e">
        <f t="shared" si="8"/>
        <v>#REF!</v>
      </c>
      <c r="L52" s="28" t="e">
        <f t="shared" si="9"/>
        <v>#REF!</v>
      </c>
      <c r="M52" s="24"/>
      <c r="N52" s="25" t="e">
        <f t="shared" si="10"/>
        <v>#REF!</v>
      </c>
      <c r="O52" s="15">
        <v>1</v>
      </c>
      <c r="P52" s="15">
        <v>0</v>
      </c>
      <c r="Q52" s="15">
        <v>0</v>
      </c>
      <c r="R52" s="15">
        <f t="shared" si="11"/>
        <v>550</v>
      </c>
      <c r="S52" s="15">
        <f t="shared" si="13"/>
        <v>550</v>
      </c>
      <c r="T52" s="26"/>
      <c r="U52" s="27"/>
    </row>
    <row r="53" spans="2:21" x14ac:dyDescent="0.2">
      <c r="B53" s="11"/>
      <c r="C53" s="28">
        <v>125</v>
      </c>
      <c r="D53" s="28">
        <v>125</v>
      </c>
      <c r="E53" s="21">
        <f t="shared" si="12"/>
        <v>2</v>
      </c>
      <c r="F53" s="22" t="e">
        <f>VLOOKUP(S53,BWtable!#REF!:BWtable!#REF!,2)</f>
        <v>#REF!</v>
      </c>
      <c r="G53" s="23" t="e">
        <f>DEC2HEX(VLOOKUP(S53,BWtable!#REF!:BWtable!#REF!,5))</f>
        <v>#REF!</v>
      </c>
      <c r="H53" s="20" t="e">
        <f>DEC2HEX(VLOOKUP(S53,BWtable!#REF!:BWtable!#REF!,3))</f>
        <v>#REF!</v>
      </c>
      <c r="I53" s="20" t="e">
        <f>DEC2HEX(VLOOKUP(S53,BWtable!#REF!:BWtable!#REF!,4))</f>
        <v>#REF!</v>
      </c>
      <c r="J53" s="28" t="e">
        <f t="shared" si="7"/>
        <v>#REF!</v>
      </c>
      <c r="K53" s="28" t="e">
        <f t="shared" si="8"/>
        <v>#REF!</v>
      </c>
      <c r="L53" s="28" t="e">
        <f t="shared" si="9"/>
        <v>#REF!</v>
      </c>
      <c r="M53" s="24"/>
      <c r="N53" s="25" t="e">
        <f t="shared" si="10"/>
        <v>#REF!</v>
      </c>
      <c r="O53" s="15">
        <v>1</v>
      </c>
      <c r="P53" s="15">
        <v>0</v>
      </c>
      <c r="Q53" s="15">
        <v>0</v>
      </c>
      <c r="R53" s="15">
        <f t="shared" si="11"/>
        <v>312.5</v>
      </c>
      <c r="S53" s="15">
        <f t="shared" si="13"/>
        <v>312.5</v>
      </c>
      <c r="T53" s="26"/>
      <c r="U53" s="27"/>
    </row>
    <row r="54" spans="2:21" x14ac:dyDescent="0.2">
      <c r="B54" s="36"/>
      <c r="C54" s="36"/>
      <c r="D54" s="36"/>
      <c r="E54" s="36"/>
      <c r="F54" s="36"/>
      <c r="G54" s="36"/>
      <c r="H54" s="36"/>
      <c r="I54" s="36"/>
      <c r="J54" s="36"/>
      <c r="K54" s="36"/>
      <c r="L54" s="36"/>
      <c r="M54" s="36"/>
      <c r="N54" s="36"/>
      <c r="O54" s="36"/>
      <c r="P54" s="36"/>
      <c r="Q54" s="36"/>
      <c r="R54" s="36"/>
      <c r="S54" s="36"/>
      <c r="T54" s="36"/>
      <c r="U54" s="27"/>
    </row>
    <row r="55" spans="2:21" x14ac:dyDescent="0.2">
      <c r="B55" s="36"/>
      <c r="C55" s="36"/>
      <c r="D55" s="36"/>
      <c r="E55" s="36"/>
      <c r="F55" s="36"/>
      <c r="G55" s="36"/>
      <c r="H55" s="36"/>
      <c r="I55" s="36"/>
      <c r="J55" s="36"/>
      <c r="K55" s="36"/>
      <c r="L55" s="36"/>
      <c r="M55" s="36"/>
      <c r="N55" s="36"/>
      <c r="O55" s="36"/>
      <c r="P55" s="36"/>
      <c r="Q55" s="36"/>
      <c r="R55" s="36"/>
      <c r="S55" s="36"/>
      <c r="T55" s="36"/>
      <c r="U55" s="27"/>
    </row>
    <row r="56" spans="2:21" x14ac:dyDescent="0.2">
      <c r="B56" s="27"/>
      <c r="C56" s="27"/>
      <c r="D56" s="27"/>
      <c r="E56" s="27"/>
      <c r="F56" s="27"/>
      <c r="G56" s="27"/>
      <c r="H56" s="27"/>
      <c r="I56" s="27"/>
      <c r="J56" s="27"/>
      <c r="K56" s="27"/>
      <c r="L56" s="27"/>
      <c r="M56" s="27"/>
      <c r="N56" s="27"/>
      <c r="O56" s="27"/>
      <c r="P56" s="27"/>
      <c r="Q56" s="27"/>
      <c r="R56" s="27"/>
      <c r="S56" s="27"/>
      <c r="T56" s="27"/>
      <c r="U56" s="27"/>
    </row>
    <row r="57" spans="2:21" x14ac:dyDescent="0.2">
      <c r="B57" s="27"/>
      <c r="C57" s="37"/>
      <c r="D57" s="38"/>
      <c r="E57" s="478" t="s">
        <v>187</v>
      </c>
      <c r="F57" s="478"/>
      <c r="G57" s="478"/>
      <c r="H57" s="478"/>
      <c r="I57" s="478"/>
      <c r="J57" s="478"/>
      <c r="K57" s="478"/>
      <c r="L57" s="478"/>
      <c r="M57" s="39"/>
      <c r="N57" s="27"/>
      <c r="O57" s="27"/>
      <c r="P57" s="27"/>
      <c r="Q57" s="27"/>
      <c r="R57" s="27"/>
      <c r="S57" s="27"/>
      <c r="T57" s="27"/>
      <c r="U57" s="27"/>
    </row>
    <row r="58" spans="2:21" ht="13.5" thickBot="1" x14ac:dyDescent="0.25">
      <c r="C58" s="37"/>
      <c r="D58" s="38"/>
      <c r="E58" s="478" t="s">
        <v>188</v>
      </c>
      <c r="F58" s="479"/>
      <c r="G58" s="480" t="s">
        <v>189</v>
      </c>
      <c r="H58" s="478"/>
      <c r="I58" s="478"/>
      <c r="J58" s="478"/>
      <c r="K58" s="478"/>
      <c r="L58" s="478"/>
      <c r="M58" s="39"/>
    </row>
    <row r="59" spans="2:21" x14ac:dyDescent="0.2">
      <c r="E59" s="40" t="s">
        <v>164</v>
      </c>
      <c r="F59" s="41" t="s">
        <v>190</v>
      </c>
      <c r="G59" s="42" t="s">
        <v>168</v>
      </c>
      <c r="H59" s="40" t="s">
        <v>169</v>
      </c>
      <c r="I59" s="40" t="s">
        <v>170</v>
      </c>
      <c r="J59" s="40" t="s">
        <v>171</v>
      </c>
      <c r="K59" s="40" t="s">
        <v>172</v>
      </c>
      <c r="L59" s="40" t="s">
        <v>173</v>
      </c>
      <c r="O59" s="43" t="s">
        <v>191</v>
      </c>
      <c r="P59" s="44" t="s">
        <v>192</v>
      </c>
      <c r="Q59" s="45" t="s">
        <v>174</v>
      </c>
    </row>
    <row r="60" spans="2:21" ht="13.5" thickBot="1" x14ac:dyDescent="0.25">
      <c r="E60" s="46" t="s">
        <v>186</v>
      </c>
      <c r="F60" s="47" t="s">
        <v>160</v>
      </c>
      <c r="G60" s="48" t="s">
        <v>180</v>
      </c>
      <c r="H60" s="46" t="s">
        <v>180</v>
      </c>
      <c r="I60" s="46" t="s">
        <v>180</v>
      </c>
      <c r="J60" s="46" t="s">
        <v>181</v>
      </c>
      <c r="K60" s="46" t="s">
        <v>182</v>
      </c>
      <c r="L60" s="46" t="s">
        <v>183</v>
      </c>
      <c r="O60" s="49"/>
      <c r="P60" s="44" t="s">
        <v>160</v>
      </c>
      <c r="Q60" s="45" t="s">
        <v>193</v>
      </c>
    </row>
    <row r="61" spans="2:21" ht="13.5" thickBot="1" x14ac:dyDescent="0.25">
      <c r="E61" s="50">
        <v>1.2</v>
      </c>
      <c r="F61" s="51">
        <v>75</v>
      </c>
      <c r="G61" s="52" t="str">
        <f>DEC2HEX(VLOOKUP(F61,ook_table!$B$3:'ook_table'!$F$21,4))</f>
        <v>0</v>
      </c>
      <c r="H61" s="53" t="e">
        <f>DEC2HEX(VLOOKUP((1+O61)*E61,ook_table!$B$29:ook_table!#REF!,3))</f>
        <v>#REF!</v>
      </c>
      <c r="I61" s="53" t="str">
        <f>DEC2HEX(VLOOKUP(F61,ook_table!$B$3:'ook_table'!$F$21,5))</f>
        <v>1</v>
      </c>
      <c r="J61" s="53" t="e">
        <f t="shared" ref="J61:J75" si="14">DEC2HEX(ROUND(500*(1+2*G61)/((1+O61)*E61*2^(H61-3)),0),3)</f>
        <v>#REF!</v>
      </c>
      <c r="K61" s="53" t="e">
        <f t="shared" ref="K61:K75" si="15">DEC2HEX(ROUND((E61*2^(20+H61))/(500*(1+2*G61)),0),5)</f>
        <v>#REF!</v>
      </c>
      <c r="L61" s="53" t="e">
        <f t="shared" ref="L61:L75" si="16">IF(2+2*32768/(HEX2DEC(J61))&gt;2047,DEC2HEX(2047),DEC2HEX(ROUND(2+2*32768/(HEX2DEC(J61)),0),3))</f>
        <v>#REF!</v>
      </c>
      <c r="O61" s="54">
        <v>0</v>
      </c>
      <c r="P61" s="55">
        <f>(VLOOKUP(F61,ook_table!$B$2:'ook_table'!$F$21,3))</f>
        <v>75.2</v>
      </c>
      <c r="Q61" s="56" t="e">
        <f t="shared" ref="Q61:Q75" si="17">HEX2DEC(J61)/8</f>
        <v>#REF!</v>
      </c>
    </row>
    <row r="62" spans="2:21" ht="13.5" thickBot="1" x14ac:dyDescent="0.25">
      <c r="E62" s="57">
        <v>1.2</v>
      </c>
      <c r="F62" s="58">
        <v>110</v>
      </c>
      <c r="G62" s="59" t="str">
        <f>DEC2HEX(VLOOKUP(F62,ook_table!$B$3:'ook_table'!$F$21,4))</f>
        <v>0</v>
      </c>
      <c r="H62" s="57" t="e">
        <f>DEC2HEX(VLOOKUP((1+O62)*E62,ook_table!$B$29:ook_table!#REF!,3))</f>
        <v>#REF!</v>
      </c>
      <c r="I62" s="57" t="str">
        <f>DEC2HEX(VLOOKUP(F62,ook_table!$B$3:'ook_table'!$F$21,5))</f>
        <v>5</v>
      </c>
      <c r="J62" s="57" t="e">
        <f t="shared" si="14"/>
        <v>#REF!</v>
      </c>
      <c r="K62" s="57" t="e">
        <f t="shared" si="15"/>
        <v>#REF!</v>
      </c>
      <c r="L62" s="57" t="e">
        <f t="shared" si="16"/>
        <v>#REF!</v>
      </c>
      <c r="O62" s="54">
        <v>0</v>
      </c>
      <c r="P62" s="55">
        <f>(VLOOKUP(F62,ook_table!$B$2:'ook_table'!$F$21,3))</f>
        <v>112.1</v>
      </c>
      <c r="Q62" s="56" t="e">
        <f t="shared" si="17"/>
        <v>#REF!</v>
      </c>
    </row>
    <row r="63" spans="2:21" ht="13.5" thickBot="1" x14ac:dyDescent="0.25">
      <c r="E63" s="57">
        <v>1.2</v>
      </c>
      <c r="F63" s="58">
        <v>335</v>
      </c>
      <c r="G63" s="59" t="str">
        <f>DEC2HEX(VLOOKUP(F63,ook_table!$B$3:'ook_table'!$F$21,4))</f>
        <v>1</v>
      </c>
      <c r="H63" s="57" t="e">
        <f>DEC2HEX(VLOOKUP((1+O63)*E63,ook_table!$B$29:ook_table!#REF!,3))</f>
        <v>#REF!</v>
      </c>
      <c r="I63" s="57" t="str">
        <f>DEC2HEX(VLOOKUP(F63,ook_table!$B$3:'ook_table'!$F$21,5))</f>
        <v>8</v>
      </c>
      <c r="J63" s="57" t="e">
        <f t="shared" si="14"/>
        <v>#REF!</v>
      </c>
      <c r="K63" s="57" t="e">
        <f t="shared" si="15"/>
        <v>#REF!</v>
      </c>
      <c r="L63" s="57" t="e">
        <f t="shared" si="16"/>
        <v>#REF!</v>
      </c>
      <c r="O63" s="54">
        <v>0</v>
      </c>
      <c r="P63" s="55">
        <f>(VLOOKUP(F63,ook_table!$B$2:'ook_table'!$F$21,3))</f>
        <v>335.5</v>
      </c>
      <c r="Q63" s="56" t="e">
        <f t="shared" si="17"/>
        <v>#REF!</v>
      </c>
    </row>
    <row r="64" spans="2:21" ht="13.5" thickBot="1" x14ac:dyDescent="0.25">
      <c r="E64" s="57">
        <v>1.2</v>
      </c>
      <c r="F64" s="58">
        <v>420</v>
      </c>
      <c r="G64" s="59" t="str">
        <f>DEC2HEX(VLOOKUP(F64,ook_table!$B$3:'ook_table'!$F$21,4))</f>
        <v>1</v>
      </c>
      <c r="H64" s="57" t="e">
        <f>DEC2HEX(VLOOKUP((1+O64)*E64,ook_table!$B$29:ook_table!#REF!,3))</f>
        <v>#REF!</v>
      </c>
      <c r="I64" s="57" t="str">
        <f>DEC2HEX(VLOOKUP(F64,ook_table!$B$3:'ook_table'!$F$21,5))</f>
        <v>A</v>
      </c>
      <c r="J64" s="57" t="e">
        <f t="shared" si="14"/>
        <v>#REF!</v>
      </c>
      <c r="K64" s="57" t="e">
        <f t="shared" si="15"/>
        <v>#REF!</v>
      </c>
      <c r="L64" s="57" t="e">
        <f t="shared" si="16"/>
        <v>#REF!</v>
      </c>
      <c r="O64" s="54">
        <v>0</v>
      </c>
      <c r="P64" s="55">
        <f>(VLOOKUP(F64,ook_table!$B$2:'ook_table'!$F$21,3))</f>
        <v>420.2</v>
      </c>
      <c r="Q64" s="56" t="e">
        <f t="shared" si="17"/>
        <v>#REF!</v>
      </c>
    </row>
    <row r="65" spans="5:17" ht="13.5" thickBot="1" x14ac:dyDescent="0.25">
      <c r="E65" s="57">
        <v>1.2</v>
      </c>
      <c r="F65" s="58">
        <v>620</v>
      </c>
      <c r="G65" s="59" t="str">
        <f>DEC2HEX(VLOOKUP(F65,ook_table!$B$3:'ook_table'!$F$21,4))</f>
        <v>1</v>
      </c>
      <c r="H65" s="57" t="e">
        <f>DEC2HEX(VLOOKUP((1+O65)*E65,ook_table!$B$29:ook_table!#REF!,3))</f>
        <v>#REF!</v>
      </c>
      <c r="I65" s="57" t="str">
        <f>DEC2HEX(VLOOKUP(F65,ook_table!$B$3:'ook_table'!$F$21,5))</f>
        <v>E</v>
      </c>
      <c r="J65" s="57" t="e">
        <f t="shared" si="14"/>
        <v>#REF!</v>
      </c>
      <c r="K65" s="57" t="e">
        <f t="shared" si="15"/>
        <v>#REF!</v>
      </c>
      <c r="L65" s="57" t="e">
        <f t="shared" si="16"/>
        <v>#REF!</v>
      </c>
      <c r="O65" s="54">
        <v>0</v>
      </c>
      <c r="P65" s="55">
        <f>(VLOOKUP(F65,ook_table!$B$2:'ook_table'!$F$21,3))</f>
        <v>620.70000000000005</v>
      </c>
      <c r="Q65" s="56" t="e">
        <f t="shared" si="17"/>
        <v>#REF!</v>
      </c>
    </row>
    <row r="66" spans="5:17" ht="13.5" thickBot="1" x14ac:dyDescent="0.25">
      <c r="E66" s="57">
        <v>2.4</v>
      </c>
      <c r="F66" s="58">
        <v>335</v>
      </c>
      <c r="G66" s="59" t="str">
        <f>DEC2HEX(VLOOKUP(F66,ook_table!$B$3:'ook_table'!$F$21,4))</f>
        <v>1</v>
      </c>
      <c r="H66" s="57" t="e">
        <f>DEC2HEX(VLOOKUP((1+O66)*E66,ook_table!$B$29:ook_table!#REF!,3))</f>
        <v>#REF!</v>
      </c>
      <c r="I66" s="57" t="str">
        <f>DEC2HEX(VLOOKUP(F66,ook_table!$B$3:'ook_table'!$F$21,5))</f>
        <v>8</v>
      </c>
      <c r="J66" s="57" t="e">
        <f t="shared" si="14"/>
        <v>#REF!</v>
      </c>
      <c r="K66" s="57" t="e">
        <f t="shared" si="15"/>
        <v>#REF!</v>
      </c>
      <c r="L66" s="57" t="e">
        <f t="shared" si="16"/>
        <v>#REF!</v>
      </c>
      <c r="O66" s="54">
        <v>0</v>
      </c>
      <c r="P66" s="55">
        <f>(VLOOKUP(F66,ook_table!$B$2:'ook_table'!$F$21,3))</f>
        <v>335.5</v>
      </c>
      <c r="Q66" s="56" t="e">
        <f t="shared" si="17"/>
        <v>#REF!</v>
      </c>
    </row>
    <row r="67" spans="5:17" ht="13.5" thickBot="1" x14ac:dyDescent="0.25">
      <c r="E67" s="57">
        <v>4.8</v>
      </c>
      <c r="F67" s="58">
        <v>335</v>
      </c>
      <c r="G67" s="59" t="str">
        <f>DEC2HEX(VLOOKUP(F67,ook_table!$B$3:'ook_table'!$F$21,4))</f>
        <v>1</v>
      </c>
      <c r="H67" s="57" t="e">
        <f>DEC2HEX(VLOOKUP((1+O67)*E67,ook_table!$B$29:ook_table!#REF!,3))</f>
        <v>#REF!</v>
      </c>
      <c r="I67" s="57" t="str">
        <f>DEC2HEX(VLOOKUP(F67,ook_table!$B$3:'ook_table'!$F$21,5))</f>
        <v>8</v>
      </c>
      <c r="J67" s="57" t="e">
        <f t="shared" si="14"/>
        <v>#REF!</v>
      </c>
      <c r="K67" s="57" t="e">
        <f t="shared" si="15"/>
        <v>#REF!</v>
      </c>
      <c r="L67" s="57" t="e">
        <f t="shared" si="16"/>
        <v>#REF!</v>
      </c>
      <c r="O67" s="54">
        <v>0</v>
      </c>
      <c r="P67" s="55">
        <f>(VLOOKUP(F67,ook_table!$B$2:'ook_table'!$F$21,3))</f>
        <v>335.5</v>
      </c>
      <c r="Q67" s="56" t="e">
        <f t="shared" si="17"/>
        <v>#REF!</v>
      </c>
    </row>
    <row r="68" spans="5:17" ht="13.5" thickBot="1" x14ac:dyDescent="0.25">
      <c r="E68" s="57">
        <v>9.6</v>
      </c>
      <c r="F68" s="58">
        <v>335</v>
      </c>
      <c r="G68" s="59" t="str">
        <f>DEC2HEX(VLOOKUP(F68,ook_table!$B$3:'ook_table'!$F$21,4))</f>
        <v>1</v>
      </c>
      <c r="H68" s="57" t="e">
        <f>DEC2HEX(VLOOKUP((1+O68)*E68,ook_table!$B$29:ook_table!#REF!,3))</f>
        <v>#REF!</v>
      </c>
      <c r="I68" s="57" t="str">
        <f>DEC2HEX(VLOOKUP(F68,ook_table!$B$3:'ook_table'!$F$21,5))</f>
        <v>8</v>
      </c>
      <c r="J68" s="57" t="e">
        <f t="shared" si="14"/>
        <v>#REF!</v>
      </c>
      <c r="K68" s="57" t="e">
        <f t="shared" si="15"/>
        <v>#REF!</v>
      </c>
      <c r="L68" s="57" t="e">
        <f t="shared" si="16"/>
        <v>#REF!</v>
      </c>
      <c r="O68" s="54">
        <v>0</v>
      </c>
      <c r="P68" s="55">
        <f>(VLOOKUP(F68,ook_table!$B$2:'ook_table'!$F$21,3))</f>
        <v>335.5</v>
      </c>
      <c r="Q68" s="56" t="e">
        <f t="shared" si="17"/>
        <v>#REF!</v>
      </c>
    </row>
    <row r="69" spans="5:17" ht="13.5" thickBot="1" x14ac:dyDescent="0.25">
      <c r="E69" s="57">
        <v>10</v>
      </c>
      <c r="F69" s="58">
        <v>335</v>
      </c>
      <c r="G69" s="59" t="str">
        <f>DEC2HEX(VLOOKUP(F69,ook_table!$B$3:'ook_table'!$F$21,4))</f>
        <v>1</v>
      </c>
      <c r="H69" s="57" t="e">
        <f>DEC2HEX(VLOOKUP((1+O69)*E69,ook_table!$B$29:ook_table!#REF!,3))</f>
        <v>#REF!</v>
      </c>
      <c r="I69" s="57" t="str">
        <f>DEC2HEX(VLOOKUP(F69,ook_table!$B$3:'ook_table'!$F$21,5))</f>
        <v>8</v>
      </c>
      <c r="J69" s="57" t="e">
        <f t="shared" si="14"/>
        <v>#REF!</v>
      </c>
      <c r="K69" s="57" t="e">
        <f t="shared" si="15"/>
        <v>#REF!</v>
      </c>
      <c r="L69" s="57" t="e">
        <f t="shared" si="16"/>
        <v>#REF!</v>
      </c>
      <c r="O69" s="54">
        <v>0</v>
      </c>
      <c r="P69" s="55">
        <f>(VLOOKUP(F69,ook_table!$B$2:'ook_table'!$F$21,3))</f>
        <v>335.5</v>
      </c>
      <c r="Q69" s="56" t="e">
        <f t="shared" si="17"/>
        <v>#REF!</v>
      </c>
    </row>
    <row r="70" spans="5:17" ht="13.5" thickBot="1" x14ac:dyDescent="0.25">
      <c r="E70" s="57">
        <v>15</v>
      </c>
      <c r="F70" s="58">
        <v>335</v>
      </c>
      <c r="G70" s="59" t="str">
        <f>DEC2HEX(VLOOKUP(F70,ook_table!$B$3:'ook_table'!$F$21,4))</f>
        <v>1</v>
      </c>
      <c r="H70" s="57" t="e">
        <f>DEC2HEX(VLOOKUP((1+O70)*E70,ook_table!$B$29:ook_table!#REF!,3))</f>
        <v>#REF!</v>
      </c>
      <c r="I70" s="57" t="str">
        <f>DEC2HEX(VLOOKUP(F70,ook_table!$B$3:'ook_table'!$F$21,5))</f>
        <v>8</v>
      </c>
      <c r="J70" s="57" t="e">
        <f t="shared" si="14"/>
        <v>#REF!</v>
      </c>
      <c r="K70" s="57" t="e">
        <f t="shared" si="15"/>
        <v>#REF!</v>
      </c>
      <c r="L70" s="57" t="e">
        <f t="shared" si="16"/>
        <v>#REF!</v>
      </c>
      <c r="O70" s="54">
        <v>0</v>
      </c>
      <c r="P70" s="55">
        <f>(VLOOKUP(F70,ook_table!$B$2:'ook_table'!$F$21,3))</f>
        <v>335.5</v>
      </c>
      <c r="Q70" s="56" t="e">
        <f t="shared" si="17"/>
        <v>#REF!</v>
      </c>
    </row>
    <row r="71" spans="5:17" ht="13.5" thickBot="1" x14ac:dyDescent="0.25">
      <c r="E71" s="57">
        <v>19.2</v>
      </c>
      <c r="F71" s="58">
        <v>335</v>
      </c>
      <c r="G71" s="59" t="str">
        <f>DEC2HEX(VLOOKUP(F71,ook_table!$B$3:'ook_table'!$F$21,4))</f>
        <v>1</v>
      </c>
      <c r="H71" s="57" t="e">
        <f>DEC2HEX(VLOOKUP((1+O71)*E71,ook_table!$B$29:ook_table!#REF!,3))</f>
        <v>#REF!</v>
      </c>
      <c r="I71" s="57" t="str">
        <f>DEC2HEX(VLOOKUP(F71,ook_table!$B$3:'ook_table'!$F$21,5))</f>
        <v>8</v>
      </c>
      <c r="J71" s="57" t="e">
        <f t="shared" si="14"/>
        <v>#REF!</v>
      </c>
      <c r="K71" s="57" t="e">
        <f t="shared" si="15"/>
        <v>#REF!</v>
      </c>
      <c r="L71" s="57" t="e">
        <f t="shared" si="16"/>
        <v>#REF!</v>
      </c>
      <c r="O71" s="54">
        <v>0</v>
      </c>
      <c r="P71" s="55">
        <f>(VLOOKUP(F71,ook_table!$B$2:'ook_table'!$F$21,3))</f>
        <v>335.5</v>
      </c>
      <c r="Q71" s="56" t="e">
        <f t="shared" si="17"/>
        <v>#REF!</v>
      </c>
    </row>
    <row r="72" spans="5:17" ht="13.5" thickBot="1" x14ac:dyDescent="0.25">
      <c r="E72" s="57">
        <v>20</v>
      </c>
      <c r="F72" s="58">
        <v>335</v>
      </c>
      <c r="G72" s="59" t="str">
        <f>DEC2HEX(VLOOKUP(F72,ook_table!$B$3:'ook_table'!$F$21,4))</f>
        <v>1</v>
      </c>
      <c r="H72" s="57" t="e">
        <f>DEC2HEX(VLOOKUP((1+O72)*E72,ook_table!$B$29:ook_table!#REF!,3))</f>
        <v>#REF!</v>
      </c>
      <c r="I72" s="57" t="str">
        <f>DEC2HEX(VLOOKUP(F72,ook_table!$B$3:'ook_table'!$F$21,5))</f>
        <v>8</v>
      </c>
      <c r="J72" s="57" t="e">
        <f t="shared" si="14"/>
        <v>#REF!</v>
      </c>
      <c r="K72" s="57" t="e">
        <f t="shared" si="15"/>
        <v>#REF!</v>
      </c>
      <c r="L72" s="57" t="e">
        <f t="shared" si="16"/>
        <v>#REF!</v>
      </c>
      <c r="O72" s="54">
        <v>0</v>
      </c>
      <c r="P72" s="55">
        <f>(VLOOKUP(F72,ook_table!$B$2:'ook_table'!$F$21,3))</f>
        <v>335.5</v>
      </c>
      <c r="Q72" s="56" t="e">
        <f t="shared" si="17"/>
        <v>#REF!</v>
      </c>
    </row>
    <row r="73" spans="5:17" ht="13.5" thickBot="1" x14ac:dyDescent="0.25">
      <c r="E73" s="57">
        <v>30</v>
      </c>
      <c r="F73" s="58">
        <v>335</v>
      </c>
      <c r="G73" s="59" t="str">
        <f>DEC2HEX(VLOOKUP(F73,ook_table!$B$3:'ook_table'!$F$21,4))</f>
        <v>1</v>
      </c>
      <c r="H73" s="57" t="e">
        <f>DEC2HEX(VLOOKUP((1+O73)*E73,ook_table!$B$29:ook_table!#REF!,3))</f>
        <v>#REF!</v>
      </c>
      <c r="I73" s="57" t="str">
        <f>DEC2HEX(VLOOKUP(F73,ook_table!$B$3:'ook_table'!$F$21,5))</f>
        <v>8</v>
      </c>
      <c r="J73" s="57" t="e">
        <f t="shared" si="14"/>
        <v>#REF!</v>
      </c>
      <c r="K73" s="57" t="e">
        <f t="shared" si="15"/>
        <v>#REF!</v>
      </c>
      <c r="L73" s="57" t="e">
        <f t="shared" si="16"/>
        <v>#REF!</v>
      </c>
      <c r="O73" s="54">
        <v>0</v>
      </c>
      <c r="P73" s="55">
        <f>(VLOOKUP(F73,ook_table!$B$2:'ook_table'!$F$21,3))</f>
        <v>335.5</v>
      </c>
      <c r="Q73" s="56" t="e">
        <f t="shared" si="17"/>
        <v>#REF!</v>
      </c>
    </row>
    <row r="74" spans="5:17" ht="13.5" thickBot="1" x14ac:dyDescent="0.25">
      <c r="E74" s="57">
        <v>38.4</v>
      </c>
      <c r="F74" s="58">
        <v>335</v>
      </c>
      <c r="G74" s="59" t="str">
        <f>DEC2HEX(VLOOKUP(F74,ook_table!$B$3:'ook_table'!$F$21,4))</f>
        <v>1</v>
      </c>
      <c r="H74" s="57" t="e">
        <f>DEC2HEX(VLOOKUP((1+O74)*E74,ook_table!$B$29:ook_table!#REF!,3))</f>
        <v>#REF!</v>
      </c>
      <c r="I74" s="57" t="str">
        <f>DEC2HEX(VLOOKUP(F74,ook_table!$B$3:'ook_table'!$F$21,5))</f>
        <v>8</v>
      </c>
      <c r="J74" s="57" t="e">
        <f t="shared" si="14"/>
        <v>#REF!</v>
      </c>
      <c r="K74" s="57" t="e">
        <f t="shared" si="15"/>
        <v>#REF!</v>
      </c>
      <c r="L74" s="57" t="e">
        <f t="shared" si="16"/>
        <v>#REF!</v>
      </c>
      <c r="O74" s="54">
        <v>0</v>
      </c>
      <c r="P74" s="55">
        <f>(VLOOKUP(F74,ook_table!$B$2:'ook_table'!$F$21,3))</f>
        <v>335.5</v>
      </c>
      <c r="Q74" s="56" t="e">
        <f t="shared" si="17"/>
        <v>#REF!</v>
      </c>
    </row>
    <row r="75" spans="5:17" ht="13.5" thickBot="1" x14ac:dyDescent="0.25">
      <c r="E75" s="57">
        <v>40</v>
      </c>
      <c r="F75" s="58">
        <v>335</v>
      </c>
      <c r="G75" s="59" t="str">
        <f>DEC2HEX(VLOOKUP(F75,ook_table!$B$3:'ook_table'!$F$21,4))</f>
        <v>1</v>
      </c>
      <c r="H75" s="57" t="e">
        <f>DEC2HEX(VLOOKUP((1+O75)*E75,ook_table!$B$29:ook_table!#REF!,3))</f>
        <v>#REF!</v>
      </c>
      <c r="I75" s="57" t="str">
        <f>DEC2HEX(VLOOKUP(F75,ook_table!$B$3:'ook_table'!$F$21,5))</f>
        <v>8</v>
      </c>
      <c r="J75" s="57" t="e">
        <f t="shared" si="14"/>
        <v>#REF!</v>
      </c>
      <c r="K75" s="57" t="e">
        <f t="shared" si="15"/>
        <v>#REF!</v>
      </c>
      <c r="L75" s="57" t="e">
        <f t="shared" si="16"/>
        <v>#REF!</v>
      </c>
      <c r="O75" s="54">
        <v>0</v>
      </c>
      <c r="P75" s="55">
        <f>(VLOOKUP(F75,ook_table!$B$2:'ook_table'!$F$21,3))</f>
        <v>335.5</v>
      </c>
      <c r="Q75" s="56" t="e">
        <f t="shared" si="17"/>
        <v>#REF!</v>
      </c>
    </row>
    <row r="78" spans="5:17" x14ac:dyDescent="0.2">
      <c r="E78" s="478" t="s">
        <v>194</v>
      </c>
      <c r="F78" s="478"/>
      <c r="G78" s="478"/>
      <c r="H78" s="478"/>
      <c r="I78" s="478"/>
      <c r="J78" s="478"/>
      <c r="K78" s="478"/>
      <c r="L78" s="478"/>
      <c r="M78" s="39"/>
      <c r="N78" s="27"/>
      <c r="O78" s="27"/>
      <c r="P78" s="27"/>
      <c r="Q78" s="27"/>
    </row>
    <row r="79" spans="5:17" ht="13.5" thickBot="1" x14ac:dyDescent="0.25">
      <c r="E79" s="478" t="s">
        <v>188</v>
      </c>
      <c r="F79" s="479"/>
      <c r="G79" s="480" t="s">
        <v>189</v>
      </c>
      <c r="H79" s="478"/>
      <c r="I79" s="478"/>
      <c r="J79" s="478"/>
      <c r="K79" s="478"/>
      <c r="L79" s="478"/>
      <c r="M79" s="39"/>
    </row>
    <row r="80" spans="5:17" x14ac:dyDescent="0.2">
      <c r="E80" s="40" t="s">
        <v>164</v>
      </c>
      <c r="F80" s="41" t="s">
        <v>190</v>
      </c>
      <c r="G80" s="42" t="s">
        <v>168</v>
      </c>
      <c r="H80" s="40" t="s">
        <v>169</v>
      </c>
      <c r="I80" s="40" t="s">
        <v>170</v>
      </c>
      <c r="J80" s="40" t="s">
        <v>171</v>
      </c>
      <c r="K80" s="40" t="s">
        <v>172</v>
      </c>
      <c r="L80" s="40" t="s">
        <v>173</v>
      </c>
      <c r="O80" s="43" t="s">
        <v>191</v>
      </c>
      <c r="P80" s="44" t="s">
        <v>192</v>
      </c>
      <c r="Q80" s="45" t="s">
        <v>174</v>
      </c>
    </row>
    <row r="81" spans="5:17" ht="13.5" thickBot="1" x14ac:dyDescent="0.25">
      <c r="E81" s="46" t="s">
        <v>186</v>
      </c>
      <c r="F81" s="47" t="s">
        <v>160</v>
      </c>
      <c r="G81" s="48" t="s">
        <v>180</v>
      </c>
      <c r="H81" s="46" t="s">
        <v>180</v>
      </c>
      <c r="I81" s="46" t="s">
        <v>180</v>
      </c>
      <c r="J81" s="46" t="s">
        <v>181</v>
      </c>
      <c r="K81" s="46" t="s">
        <v>182</v>
      </c>
      <c r="L81" s="46" t="s">
        <v>183</v>
      </c>
      <c r="O81" s="49"/>
      <c r="P81" s="44" t="s">
        <v>160</v>
      </c>
      <c r="Q81" s="45" t="s">
        <v>193</v>
      </c>
    </row>
    <row r="82" spans="5:17" ht="13.5" thickBot="1" x14ac:dyDescent="0.25">
      <c r="E82" s="50">
        <v>1.2</v>
      </c>
      <c r="F82" s="51">
        <v>75</v>
      </c>
      <c r="G82" s="52" t="str">
        <f>DEC2HEX(VLOOKUP(F82,ook_table!$B$3:'ook_table'!$F$21,4))</f>
        <v>0</v>
      </c>
      <c r="H82" s="53" t="e">
        <f>DEC2HEX(VLOOKUP((1+O82)*E82,ook_table!$B$29:ook_table!#REF!,3))</f>
        <v>#REF!</v>
      </c>
      <c r="I82" s="53" t="str">
        <f>DEC2HEX(VLOOKUP(F82,ook_table!$B$3:'ook_table'!$F$21,5))</f>
        <v>1</v>
      </c>
      <c r="J82" s="53" t="e">
        <f t="shared" ref="J82:J96" si="18">DEC2HEX(ROUND(500*(1+2*G82)/((1+O82)*E82*2^(H82-3)),0),3)</f>
        <v>#REF!</v>
      </c>
      <c r="K82" s="53" t="e">
        <f t="shared" ref="K82:K96" si="19">DEC2HEX(ROUND((E82*2^(20+H82))/(500*(1+2*G82)),0),5)</f>
        <v>#REF!</v>
      </c>
      <c r="L82" s="53" t="e">
        <f t="shared" ref="L82:L96" si="20">IF(2+2*32768/(HEX2DEC(J82))&gt;2047,DEC2HEX(2047),DEC2HEX(ROUND(2+2*32768/(HEX2DEC(J82)),0),3))</f>
        <v>#REF!</v>
      </c>
      <c r="O82" s="54">
        <v>1</v>
      </c>
      <c r="P82" s="55">
        <f>(VLOOKUP(F82,ook_table!$B$2:'ook_table'!$F$21,3))</f>
        <v>75.2</v>
      </c>
      <c r="Q82" s="56" t="e">
        <f t="shared" ref="Q82:Q96" si="21">HEX2DEC(J82)/8</f>
        <v>#REF!</v>
      </c>
    </row>
    <row r="83" spans="5:17" ht="13.5" thickBot="1" x14ac:dyDescent="0.25">
      <c r="E83" s="57">
        <v>1.2</v>
      </c>
      <c r="F83" s="58">
        <v>110</v>
      </c>
      <c r="G83" s="59" t="str">
        <f>DEC2HEX(VLOOKUP(F83,ook_table!$B$3:'ook_table'!$F$21,4))</f>
        <v>0</v>
      </c>
      <c r="H83" s="57" t="e">
        <f>DEC2HEX(VLOOKUP((1+O83)*E83,ook_table!$B$29:ook_table!#REF!,3))</f>
        <v>#REF!</v>
      </c>
      <c r="I83" s="57" t="str">
        <f>DEC2HEX(VLOOKUP(F83,ook_table!$B$3:'ook_table'!$F$21,5))</f>
        <v>5</v>
      </c>
      <c r="J83" s="57" t="e">
        <f t="shared" si="18"/>
        <v>#REF!</v>
      </c>
      <c r="K83" s="57" t="e">
        <f t="shared" si="19"/>
        <v>#REF!</v>
      </c>
      <c r="L83" s="57" t="e">
        <f t="shared" si="20"/>
        <v>#REF!</v>
      </c>
      <c r="O83" s="54">
        <v>1</v>
      </c>
      <c r="P83" s="55">
        <f>(VLOOKUP(F83,ook_table!$B$2:'ook_table'!$F$21,3))</f>
        <v>112.1</v>
      </c>
      <c r="Q83" s="56" t="e">
        <f t="shared" si="21"/>
        <v>#REF!</v>
      </c>
    </row>
    <row r="84" spans="5:17" ht="13.5" thickBot="1" x14ac:dyDescent="0.25">
      <c r="E84" s="57">
        <v>1.2</v>
      </c>
      <c r="F84" s="58">
        <v>335</v>
      </c>
      <c r="G84" s="59" t="str">
        <f>DEC2HEX(VLOOKUP(F84,ook_table!$B$3:'ook_table'!$F$21,4))</f>
        <v>1</v>
      </c>
      <c r="H84" s="57" t="e">
        <f>DEC2HEX(VLOOKUP((1+O84)*E84,ook_table!$B$29:ook_table!#REF!,3))</f>
        <v>#REF!</v>
      </c>
      <c r="I84" s="57" t="str">
        <f>DEC2HEX(VLOOKUP(F84,ook_table!$B$3:'ook_table'!$F$21,5))</f>
        <v>8</v>
      </c>
      <c r="J84" s="57" t="e">
        <f t="shared" si="18"/>
        <v>#REF!</v>
      </c>
      <c r="K84" s="57" t="e">
        <f t="shared" si="19"/>
        <v>#REF!</v>
      </c>
      <c r="L84" s="57" t="e">
        <f t="shared" si="20"/>
        <v>#REF!</v>
      </c>
      <c r="O84" s="54">
        <v>1</v>
      </c>
      <c r="P84" s="55">
        <f>(VLOOKUP(F84,ook_table!$B$2:'ook_table'!$F$21,3))</f>
        <v>335.5</v>
      </c>
      <c r="Q84" s="56" t="e">
        <f t="shared" si="21"/>
        <v>#REF!</v>
      </c>
    </row>
    <row r="85" spans="5:17" ht="13.5" thickBot="1" x14ac:dyDescent="0.25">
      <c r="E85" s="57">
        <v>1.2</v>
      </c>
      <c r="F85" s="58">
        <v>420</v>
      </c>
      <c r="G85" s="59" t="str">
        <f>DEC2HEX(VLOOKUP(F85,ook_table!$B$3:'ook_table'!$F$21,4))</f>
        <v>1</v>
      </c>
      <c r="H85" s="57" t="e">
        <f>DEC2HEX(VLOOKUP((1+O85)*E85,ook_table!$B$29:ook_table!#REF!,3))</f>
        <v>#REF!</v>
      </c>
      <c r="I85" s="57" t="str">
        <f>DEC2HEX(VLOOKUP(F85,ook_table!$B$3:'ook_table'!$F$21,5))</f>
        <v>A</v>
      </c>
      <c r="J85" s="57" t="e">
        <f t="shared" si="18"/>
        <v>#REF!</v>
      </c>
      <c r="K85" s="57" t="e">
        <f t="shared" si="19"/>
        <v>#REF!</v>
      </c>
      <c r="L85" s="57" t="e">
        <f t="shared" si="20"/>
        <v>#REF!</v>
      </c>
      <c r="O85" s="54">
        <v>1</v>
      </c>
      <c r="P85" s="55">
        <f>(VLOOKUP(F85,ook_table!$B$2:'ook_table'!$F$21,3))</f>
        <v>420.2</v>
      </c>
      <c r="Q85" s="56" t="e">
        <f t="shared" si="21"/>
        <v>#REF!</v>
      </c>
    </row>
    <row r="86" spans="5:17" ht="13.5" thickBot="1" x14ac:dyDescent="0.25">
      <c r="E86" s="57">
        <v>1.2</v>
      </c>
      <c r="F86" s="58">
        <v>620</v>
      </c>
      <c r="G86" s="59" t="str">
        <f>DEC2HEX(VLOOKUP(F86,ook_table!$B$3:'ook_table'!$F$21,4))</f>
        <v>1</v>
      </c>
      <c r="H86" s="57" t="e">
        <f>DEC2HEX(VLOOKUP((1+O86)*E86,ook_table!$B$29:ook_table!#REF!,3))</f>
        <v>#REF!</v>
      </c>
      <c r="I86" s="57" t="str">
        <f>DEC2HEX(VLOOKUP(F86,ook_table!$B$3:'ook_table'!$F$21,5))</f>
        <v>E</v>
      </c>
      <c r="J86" s="57" t="e">
        <f t="shared" si="18"/>
        <v>#REF!</v>
      </c>
      <c r="K86" s="57" t="e">
        <f t="shared" si="19"/>
        <v>#REF!</v>
      </c>
      <c r="L86" s="57" t="e">
        <f t="shared" si="20"/>
        <v>#REF!</v>
      </c>
      <c r="O86" s="54">
        <v>1</v>
      </c>
      <c r="P86" s="55">
        <f>(VLOOKUP(F86,ook_table!$B$2:'ook_table'!$F$21,3))</f>
        <v>620.70000000000005</v>
      </c>
      <c r="Q86" s="56" t="e">
        <f t="shared" si="21"/>
        <v>#REF!</v>
      </c>
    </row>
    <row r="87" spans="5:17" ht="13.5" thickBot="1" x14ac:dyDescent="0.25">
      <c r="E87" s="57">
        <v>2.4</v>
      </c>
      <c r="F87" s="58">
        <v>335</v>
      </c>
      <c r="G87" s="59" t="str">
        <f>DEC2HEX(VLOOKUP(F87,ook_table!$B$3:'ook_table'!$F$21,4))</f>
        <v>1</v>
      </c>
      <c r="H87" s="57" t="e">
        <f>DEC2HEX(VLOOKUP((1+O87)*E87,ook_table!$B$29:ook_table!#REF!,3))</f>
        <v>#REF!</v>
      </c>
      <c r="I87" s="57" t="str">
        <f>DEC2HEX(VLOOKUP(F87,ook_table!$B$3:'ook_table'!$F$21,5))</f>
        <v>8</v>
      </c>
      <c r="J87" s="57" t="e">
        <f t="shared" si="18"/>
        <v>#REF!</v>
      </c>
      <c r="K87" s="57" t="e">
        <f t="shared" si="19"/>
        <v>#REF!</v>
      </c>
      <c r="L87" s="57" t="e">
        <f t="shared" si="20"/>
        <v>#REF!</v>
      </c>
      <c r="O87" s="54">
        <v>1</v>
      </c>
      <c r="P87" s="55">
        <f>(VLOOKUP(F87,ook_table!$B$2:'ook_table'!$F$21,3))</f>
        <v>335.5</v>
      </c>
      <c r="Q87" s="56" t="e">
        <f t="shared" si="21"/>
        <v>#REF!</v>
      </c>
    </row>
    <row r="88" spans="5:17" ht="13.5" thickBot="1" x14ac:dyDescent="0.25">
      <c r="E88" s="57">
        <v>4.8</v>
      </c>
      <c r="F88" s="58">
        <v>335</v>
      </c>
      <c r="G88" s="59" t="str">
        <f>DEC2HEX(VLOOKUP(F88,ook_table!$B$3:'ook_table'!$F$21,4))</f>
        <v>1</v>
      </c>
      <c r="H88" s="57" t="e">
        <f>DEC2HEX(VLOOKUP((1+O88)*E88,ook_table!$B$29:ook_table!#REF!,3))</f>
        <v>#REF!</v>
      </c>
      <c r="I88" s="57" t="str">
        <f>DEC2HEX(VLOOKUP(F88,ook_table!$B$3:'ook_table'!$F$21,5))</f>
        <v>8</v>
      </c>
      <c r="J88" s="57" t="e">
        <f t="shared" si="18"/>
        <v>#REF!</v>
      </c>
      <c r="K88" s="57" t="e">
        <f t="shared" si="19"/>
        <v>#REF!</v>
      </c>
      <c r="L88" s="57" t="e">
        <f t="shared" si="20"/>
        <v>#REF!</v>
      </c>
      <c r="O88" s="54">
        <v>1</v>
      </c>
      <c r="P88" s="55">
        <f>(VLOOKUP(F88,ook_table!$B$2:'ook_table'!$F$21,3))</f>
        <v>335.5</v>
      </c>
      <c r="Q88" s="56" t="e">
        <f t="shared" si="21"/>
        <v>#REF!</v>
      </c>
    </row>
    <row r="89" spans="5:17" ht="13.5" thickBot="1" x14ac:dyDescent="0.25">
      <c r="E89" s="57">
        <v>9.6</v>
      </c>
      <c r="F89" s="58">
        <v>335</v>
      </c>
      <c r="G89" s="59" t="str">
        <f>DEC2HEX(VLOOKUP(F89,ook_table!$B$3:'ook_table'!$F$21,4))</f>
        <v>1</v>
      </c>
      <c r="H89" s="57" t="e">
        <f>DEC2HEX(VLOOKUP((1+O89)*E89,ook_table!$B$29:ook_table!#REF!,3))</f>
        <v>#REF!</v>
      </c>
      <c r="I89" s="57" t="str">
        <f>DEC2HEX(VLOOKUP(F89,ook_table!$B$3:'ook_table'!$F$21,5))</f>
        <v>8</v>
      </c>
      <c r="J89" s="57" t="e">
        <f t="shared" si="18"/>
        <v>#REF!</v>
      </c>
      <c r="K89" s="57" t="e">
        <f t="shared" si="19"/>
        <v>#REF!</v>
      </c>
      <c r="L89" s="57" t="e">
        <f t="shared" si="20"/>
        <v>#REF!</v>
      </c>
      <c r="O89" s="54">
        <v>1</v>
      </c>
      <c r="P89" s="55">
        <f>(VLOOKUP(F89,ook_table!$B$2:'ook_table'!$F$21,3))</f>
        <v>335.5</v>
      </c>
      <c r="Q89" s="56" t="e">
        <f t="shared" si="21"/>
        <v>#REF!</v>
      </c>
    </row>
    <row r="90" spans="5:17" ht="13.5" thickBot="1" x14ac:dyDescent="0.25">
      <c r="E90" s="57">
        <v>10</v>
      </c>
      <c r="F90" s="58">
        <v>335</v>
      </c>
      <c r="G90" s="59" t="str">
        <f>DEC2HEX(VLOOKUP(F90,ook_table!$B$3:'ook_table'!$F$21,4))</f>
        <v>1</v>
      </c>
      <c r="H90" s="57" t="e">
        <f>DEC2HEX(VLOOKUP((1+O90)*E90,ook_table!$B$29:ook_table!#REF!,3))</f>
        <v>#REF!</v>
      </c>
      <c r="I90" s="57" t="str">
        <f>DEC2HEX(VLOOKUP(F90,ook_table!$B$3:'ook_table'!$F$21,5))</f>
        <v>8</v>
      </c>
      <c r="J90" s="57" t="e">
        <f t="shared" si="18"/>
        <v>#REF!</v>
      </c>
      <c r="K90" s="57" t="e">
        <f t="shared" si="19"/>
        <v>#REF!</v>
      </c>
      <c r="L90" s="57" t="e">
        <f t="shared" si="20"/>
        <v>#REF!</v>
      </c>
      <c r="O90" s="54">
        <v>1</v>
      </c>
      <c r="P90" s="55">
        <f>(VLOOKUP(F90,ook_table!$B$2:'ook_table'!$F$21,3))</f>
        <v>335.5</v>
      </c>
      <c r="Q90" s="56" t="e">
        <f t="shared" si="21"/>
        <v>#REF!</v>
      </c>
    </row>
    <row r="91" spans="5:17" ht="13.5" thickBot="1" x14ac:dyDescent="0.25">
      <c r="E91" s="57">
        <v>15</v>
      </c>
      <c r="F91" s="58">
        <v>335</v>
      </c>
      <c r="G91" s="59" t="str">
        <f>DEC2HEX(VLOOKUP(F91,ook_table!$B$3:'ook_table'!$F$21,4))</f>
        <v>1</v>
      </c>
      <c r="H91" s="57" t="e">
        <f>DEC2HEX(VLOOKUP((1+O91)*E91,ook_table!$B$29:ook_table!#REF!,3))</f>
        <v>#REF!</v>
      </c>
      <c r="I91" s="57" t="str">
        <f>DEC2HEX(VLOOKUP(F91,ook_table!$B$3:'ook_table'!$F$21,5))</f>
        <v>8</v>
      </c>
      <c r="J91" s="57" t="e">
        <f t="shared" si="18"/>
        <v>#REF!</v>
      </c>
      <c r="K91" s="57" t="e">
        <f t="shared" si="19"/>
        <v>#REF!</v>
      </c>
      <c r="L91" s="57" t="e">
        <f t="shared" si="20"/>
        <v>#REF!</v>
      </c>
      <c r="O91" s="54">
        <v>1</v>
      </c>
      <c r="P91" s="55">
        <f>(VLOOKUP(F91,ook_table!$B$2:'ook_table'!$F$21,3))</f>
        <v>335.5</v>
      </c>
      <c r="Q91" s="56" t="e">
        <f t="shared" si="21"/>
        <v>#REF!</v>
      </c>
    </row>
    <row r="92" spans="5:17" ht="13.5" thickBot="1" x14ac:dyDescent="0.25">
      <c r="E92" s="57">
        <v>19.2</v>
      </c>
      <c r="F92" s="58">
        <v>335</v>
      </c>
      <c r="G92" s="59" t="str">
        <f>DEC2HEX(VLOOKUP(F92,ook_table!$B$3:'ook_table'!$F$21,4))</f>
        <v>1</v>
      </c>
      <c r="H92" s="57" t="e">
        <f>DEC2HEX(VLOOKUP((1+O92)*E92,ook_table!$B$29:ook_table!#REF!,3))</f>
        <v>#REF!</v>
      </c>
      <c r="I92" s="57" t="str">
        <f>DEC2HEX(VLOOKUP(F92,ook_table!$B$3:'ook_table'!$F$21,5))</f>
        <v>8</v>
      </c>
      <c r="J92" s="57" t="e">
        <f t="shared" si="18"/>
        <v>#REF!</v>
      </c>
      <c r="K92" s="57" t="e">
        <f t="shared" si="19"/>
        <v>#REF!</v>
      </c>
      <c r="L92" s="57" t="e">
        <f t="shared" si="20"/>
        <v>#REF!</v>
      </c>
      <c r="O92" s="54">
        <v>1</v>
      </c>
      <c r="P92" s="55">
        <f>(VLOOKUP(F92,ook_table!$B$2:'ook_table'!$F$21,3))</f>
        <v>335.5</v>
      </c>
      <c r="Q92" s="56" t="e">
        <f t="shared" si="21"/>
        <v>#REF!</v>
      </c>
    </row>
    <row r="93" spans="5:17" ht="13.5" thickBot="1" x14ac:dyDescent="0.25">
      <c r="E93" s="57">
        <v>20</v>
      </c>
      <c r="F93" s="58">
        <v>335</v>
      </c>
      <c r="G93" s="59" t="str">
        <f>DEC2HEX(VLOOKUP(F93,ook_table!$B$3:'ook_table'!$F$21,4))</f>
        <v>1</v>
      </c>
      <c r="H93" s="57" t="e">
        <f>DEC2HEX(VLOOKUP((1+O93)*E93,ook_table!$B$29:ook_table!#REF!,3))</f>
        <v>#REF!</v>
      </c>
      <c r="I93" s="57" t="str">
        <f>DEC2HEX(VLOOKUP(F93,ook_table!$B$3:'ook_table'!$F$21,5))</f>
        <v>8</v>
      </c>
      <c r="J93" s="57" t="e">
        <f t="shared" si="18"/>
        <v>#REF!</v>
      </c>
      <c r="K93" s="57" t="e">
        <f t="shared" si="19"/>
        <v>#REF!</v>
      </c>
      <c r="L93" s="57" t="e">
        <f t="shared" si="20"/>
        <v>#REF!</v>
      </c>
      <c r="O93" s="54">
        <v>1</v>
      </c>
      <c r="P93" s="55">
        <f>(VLOOKUP(F93,ook_table!$B$2:'ook_table'!$F$21,3))</f>
        <v>335.5</v>
      </c>
      <c r="Q93" s="56" t="e">
        <f t="shared" si="21"/>
        <v>#REF!</v>
      </c>
    </row>
    <row r="94" spans="5:17" ht="13.5" thickBot="1" x14ac:dyDescent="0.25">
      <c r="E94" s="57">
        <v>30</v>
      </c>
      <c r="F94" s="58">
        <v>335</v>
      </c>
      <c r="G94" s="59" t="str">
        <f>DEC2HEX(VLOOKUP(F94,ook_table!$B$3:'ook_table'!$F$21,4))</f>
        <v>1</v>
      </c>
      <c r="H94" s="57" t="e">
        <f>DEC2HEX(VLOOKUP((1+O94)*E94,ook_table!$B$29:ook_table!#REF!,3))</f>
        <v>#REF!</v>
      </c>
      <c r="I94" s="57" t="str">
        <f>DEC2HEX(VLOOKUP(F94,ook_table!$B$3:'ook_table'!$F$21,5))</f>
        <v>8</v>
      </c>
      <c r="J94" s="57" t="e">
        <f t="shared" si="18"/>
        <v>#REF!</v>
      </c>
      <c r="K94" s="57" t="e">
        <f t="shared" si="19"/>
        <v>#REF!</v>
      </c>
      <c r="L94" s="57" t="e">
        <f t="shared" si="20"/>
        <v>#REF!</v>
      </c>
      <c r="O94" s="54">
        <v>1</v>
      </c>
      <c r="P94" s="55">
        <f>(VLOOKUP(F94,ook_table!$B$2:'ook_table'!$F$21,3))</f>
        <v>335.5</v>
      </c>
      <c r="Q94" s="56" t="e">
        <f t="shared" si="21"/>
        <v>#REF!</v>
      </c>
    </row>
    <row r="95" spans="5:17" ht="13.5" thickBot="1" x14ac:dyDescent="0.25">
      <c r="E95" s="57">
        <v>38.4</v>
      </c>
      <c r="F95" s="58">
        <v>335</v>
      </c>
      <c r="G95" s="59" t="str">
        <f>DEC2HEX(VLOOKUP(F95,ook_table!$B$3:'ook_table'!$F$21,4))</f>
        <v>1</v>
      </c>
      <c r="H95" s="57" t="e">
        <f>DEC2HEX(VLOOKUP((1+O95)*E95,ook_table!$B$29:ook_table!#REF!,3))</f>
        <v>#REF!</v>
      </c>
      <c r="I95" s="57" t="str">
        <f>DEC2HEX(VLOOKUP(F95,ook_table!$B$3:'ook_table'!$F$21,5))</f>
        <v>8</v>
      </c>
      <c r="J95" s="57" t="e">
        <f t="shared" si="18"/>
        <v>#REF!</v>
      </c>
      <c r="K95" s="57" t="e">
        <f t="shared" si="19"/>
        <v>#REF!</v>
      </c>
      <c r="L95" s="57" t="e">
        <f t="shared" si="20"/>
        <v>#REF!</v>
      </c>
      <c r="O95" s="54">
        <v>1</v>
      </c>
      <c r="P95" s="55">
        <f>(VLOOKUP(F95,ook_table!$B$2:'ook_table'!$F$21,3))</f>
        <v>335.5</v>
      </c>
      <c r="Q95" s="56" t="e">
        <f t="shared" si="21"/>
        <v>#REF!</v>
      </c>
    </row>
    <row r="96" spans="5:17" ht="13.5" thickBot="1" x14ac:dyDescent="0.25">
      <c r="E96" s="57">
        <v>40</v>
      </c>
      <c r="F96" s="58">
        <v>335</v>
      </c>
      <c r="G96" s="59" t="str">
        <f>DEC2HEX(VLOOKUP(F96,ook_table!$B$3:'ook_table'!$F$21,4))</f>
        <v>1</v>
      </c>
      <c r="H96" s="57" t="e">
        <f>DEC2HEX(VLOOKUP((1+O96)*E96,ook_table!$B$29:ook_table!#REF!,3))</f>
        <v>#REF!</v>
      </c>
      <c r="I96" s="57" t="str">
        <f>DEC2HEX(VLOOKUP(F96,ook_table!$B$3:'ook_table'!$F$21,5))</f>
        <v>8</v>
      </c>
      <c r="J96" s="57" t="e">
        <f t="shared" si="18"/>
        <v>#REF!</v>
      </c>
      <c r="K96" s="57" t="e">
        <f t="shared" si="19"/>
        <v>#REF!</v>
      </c>
      <c r="L96" s="57" t="e">
        <f t="shared" si="20"/>
        <v>#REF!</v>
      </c>
      <c r="O96" s="54">
        <v>1</v>
      </c>
      <c r="P96" s="55">
        <f>(VLOOKUP(F96,ook_table!$B$2:'ook_table'!$F$21,3))</f>
        <v>335.5</v>
      </c>
      <c r="Q96" s="56" t="e">
        <f t="shared" si="21"/>
        <v>#REF!</v>
      </c>
    </row>
  </sheetData>
  <mergeCells count="12">
    <mergeCell ref="C4:L4"/>
    <mergeCell ref="C5:F5"/>
    <mergeCell ref="G5:L5"/>
    <mergeCell ref="C30:L30"/>
    <mergeCell ref="E79:F79"/>
    <mergeCell ref="G79:L79"/>
    <mergeCell ref="C31:F31"/>
    <mergeCell ref="G31:L31"/>
    <mergeCell ref="E57:L57"/>
    <mergeCell ref="E58:F58"/>
    <mergeCell ref="G58:L58"/>
    <mergeCell ref="E78:L78"/>
  </mergeCells>
  <phoneticPr fontId="1"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30"/>
  <sheetViews>
    <sheetView workbookViewId="0">
      <selection activeCell="H31" sqref="H31"/>
    </sheetView>
  </sheetViews>
  <sheetFormatPr defaultRowHeight="12.75" x14ac:dyDescent="0.2"/>
  <cols>
    <col min="3" max="3" width="10.85546875" customWidth="1"/>
  </cols>
  <sheetData>
    <row r="4" spans="2:3" x14ac:dyDescent="0.2">
      <c r="B4" s="3" t="s">
        <v>157</v>
      </c>
      <c r="C4" s="3" t="s">
        <v>158</v>
      </c>
    </row>
    <row r="5" spans="2:3" x14ac:dyDescent="0.2">
      <c r="B5" s="3" t="s">
        <v>159</v>
      </c>
      <c r="C5" s="3" t="s">
        <v>160</v>
      </c>
    </row>
    <row r="6" spans="2:3" x14ac:dyDescent="0.2">
      <c r="B6" s="3">
        <v>1</v>
      </c>
      <c r="C6" s="9">
        <f>B6*'Modem Registers Calculations'!$K$14</f>
        <v>30000</v>
      </c>
    </row>
    <row r="7" spans="2:3" x14ac:dyDescent="0.2">
      <c r="B7" s="3">
        <f>B6+1</f>
        <v>2</v>
      </c>
      <c r="C7" s="9">
        <f>B7*'Modem Registers Calculations'!$K$14</f>
        <v>60000</v>
      </c>
    </row>
    <row r="8" spans="2:3" x14ac:dyDescent="0.2">
      <c r="B8" s="3">
        <f t="shared" ref="B8:B30" si="0">B7+1</f>
        <v>3</v>
      </c>
      <c r="C8" s="9">
        <f>B8*'Modem Registers Calculations'!$K$14</f>
        <v>90000</v>
      </c>
    </row>
    <row r="9" spans="2:3" x14ac:dyDescent="0.2">
      <c r="B9" s="3">
        <f t="shared" si="0"/>
        <v>4</v>
      </c>
      <c r="C9" s="9">
        <f>B9*'Modem Registers Calculations'!$K$14</f>
        <v>120000</v>
      </c>
    </row>
    <row r="10" spans="2:3" x14ac:dyDescent="0.2">
      <c r="B10" s="3">
        <f t="shared" si="0"/>
        <v>5</v>
      </c>
      <c r="C10" s="9">
        <f>B10*'Modem Registers Calculations'!$K$14</f>
        <v>150000</v>
      </c>
    </row>
    <row r="11" spans="2:3" x14ac:dyDescent="0.2">
      <c r="B11" s="3">
        <f t="shared" si="0"/>
        <v>6</v>
      </c>
      <c r="C11" s="9">
        <f>B11*'Modem Registers Calculations'!$K$14</f>
        <v>180000</v>
      </c>
    </row>
    <row r="12" spans="2:3" x14ac:dyDescent="0.2">
      <c r="B12" s="3">
        <f t="shared" si="0"/>
        <v>7</v>
      </c>
      <c r="C12" s="9">
        <f>B12*'Modem Registers Calculations'!$K$14</f>
        <v>210000</v>
      </c>
    </row>
    <row r="13" spans="2:3" x14ac:dyDescent="0.2">
      <c r="B13" s="3">
        <f t="shared" si="0"/>
        <v>8</v>
      </c>
      <c r="C13" s="9">
        <f>B13*'Modem Registers Calculations'!$K$14</f>
        <v>240000</v>
      </c>
    </row>
    <row r="14" spans="2:3" x14ac:dyDescent="0.2">
      <c r="B14" s="3">
        <f t="shared" si="0"/>
        <v>9</v>
      </c>
      <c r="C14" s="9">
        <f>B14*'Modem Registers Calculations'!$K$14</f>
        <v>270000</v>
      </c>
    </row>
    <row r="15" spans="2:3" x14ac:dyDescent="0.2">
      <c r="B15" s="3">
        <f t="shared" si="0"/>
        <v>10</v>
      </c>
      <c r="C15" s="9">
        <f>B15*'Modem Registers Calculations'!$K$14</f>
        <v>300000</v>
      </c>
    </row>
    <row r="16" spans="2:3" x14ac:dyDescent="0.2">
      <c r="B16" s="3">
        <f t="shared" si="0"/>
        <v>11</v>
      </c>
      <c r="C16" s="9">
        <f>B16*'Modem Registers Calculations'!$K$14</f>
        <v>330000</v>
      </c>
    </row>
    <row r="17" spans="2:3" x14ac:dyDescent="0.2">
      <c r="B17" s="3">
        <f t="shared" si="0"/>
        <v>12</v>
      </c>
      <c r="C17" s="9">
        <f>B17*'Modem Registers Calculations'!$K$14</f>
        <v>360000</v>
      </c>
    </row>
    <row r="18" spans="2:3" x14ac:dyDescent="0.2">
      <c r="B18" s="3">
        <f t="shared" si="0"/>
        <v>13</v>
      </c>
      <c r="C18" s="9">
        <f>B18*'Modem Registers Calculations'!$K$14</f>
        <v>390000</v>
      </c>
    </row>
    <row r="19" spans="2:3" x14ac:dyDescent="0.2">
      <c r="B19" s="3">
        <f t="shared" si="0"/>
        <v>14</v>
      </c>
      <c r="C19" s="9">
        <f>B19*'Modem Registers Calculations'!$K$14</f>
        <v>420000</v>
      </c>
    </row>
    <row r="20" spans="2:3" x14ac:dyDescent="0.2">
      <c r="B20" s="3">
        <f t="shared" si="0"/>
        <v>15</v>
      </c>
      <c r="C20" s="9">
        <f>B20*'Modem Registers Calculations'!$K$14</f>
        <v>450000</v>
      </c>
    </row>
    <row r="21" spans="2:3" x14ac:dyDescent="0.2">
      <c r="B21" s="3">
        <f t="shared" si="0"/>
        <v>16</v>
      </c>
      <c r="C21" s="9">
        <f>B21*'Modem Registers Calculations'!$K$14</f>
        <v>480000</v>
      </c>
    </row>
    <row r="22" spans="2:3" x14ac:dyDescent="0.2">
      <c r="B22" s="3">
        <f t="shared" si="0"/>
        <v>17</v>
      </c>
      <c r="C22" s="9">
        <f>B22*'Modem Registers Calculations'!$K$14</f>
        <v>510000</v>
      </c>
    </row>
    <row r="23" spans="2:3" x14ac:dyDescent="0.2">
      <c r="B23" s="3">
        <f t="shared" si="0"/>
        <v>18</v>
      </c>
      <c r="C23" s="9">
        <f>B23*'Modem Registers Calculations'!$K$14</f>
        <v>540000</v>
      </c>
    </row>
    <row r="24" spans="2:3" x14ac:dyDescent="0.2">
      <c r="B24" s="3">
        <f t="shared" si="0"/>
        <v>19</v>
      </c>
      <c r="C24" s="9">
        <f>B24*'Modem Registers Calculations'!$K$14</f>
        <v>570000</v>
      </c>
    </row>
    <row r="25" spans="2:3" x14ac:dyDescent="0.2">
      <c r="B25" s="3">
        <f t="shared" si="0"/>
        <v>20</v>
      </c>
      <c r="C25" s="9">
        <f>B25*'Modem Registers Calculations'!$K$14</f>
        <v>600000</v>
      </c>
    </row>
    <row r="26" spans="2:3" x14ac:dyDescent="0.2">
      <c r="B26" s="3">
        <f t="shared" si="0"/>
        <v>21</v>
      </c>
      <c r="C26" s="9">
        <f>B26*'Modem Registers Calculations'!$K$14</f>
        <v>630000</v>
      </c>
    </row>
    <row r="27" spans="2:3" x14ac:dyDescent="0.2">
      <c r="B27" s="3">
        <f t="shared" si="0"/>
        <v>22</v>
      </c>
      <c r="C27" s="9">
        <f>B27*'Modem Registers Calculations'!$K$14</f>
        <v>660000</v>
      </c>
    </row>
    <row r="28" spans="2:3" x14ac:dyDescent="0.2">
      <c r="B28" s="3">
        <f t="shared" si="0"/>
        <v>23</v>
      </c>
      <c r="C28" s="9">
        <f>B28*'Modem Registers Calculations'!$K$14</f>
        <v>690000</v>
      </c>
    </row>
    <row r="29" spans="2:3" x14ac:dyDescent="0.2">
      <c r="B29" s="3">
        <f t="shared" si="0"/>
        <v>24</v>
      </c>
      <c r="C29" s="9">
        <f>B29*'Modem Registers Calculations'!$K$14</f>
        <v>720000</v>
      </c>
    </row>
    <row r="30" spans="2:3" x14ac:dyDescent="0.2">
      <c r="B30" s="3">
        <f t="shared" si="0"/>
        <v>25</v>
      </c>
      <c r="C30" s="9">
        <f>B30*'Modem Registers Calculations'!$K$14</f>
        <v>750000</v>
      </c>
    </row>
  </sheetData>
  <phoneticPr fontId="1"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8"/>
  <sheetViews>
    <sheetView workbookViewId="0">
      <pane ySplit="7" topLeftCell="A8" activePane="bottomLeft" state="frozen"/>
      <selection pane="bottomLeft" activeCell="D35" sqref="D35"/>
    </sheetView>
  </sheetViews>
  <sheetFormatPr defaultRowHeight="12.75" x14ac:dyDescent="0.2"/>
  <cols>
    <col min="2" max="2" width="38.28515625" customWidth="1"/>
    <col min="3" max="3" width="24.7109375" customWidth="1"/>
    <col min="4" max="4" width="41.85546875" customWidth="1"/>
    <col min="5" max="5" width="36" customWidth="1"/>
    <col min="6" max="6" width="11.42578125" customWidth="1"/>
    <col min="7" max="7" width="13.7109375" customWidth="1"/>
    <col min="8" max="8" width="17.28515625" customWidth="1"/>
    <col min="10" max="10" width="10" customWidth="1"/>
    <col min="19" max="19" width="6.42578125" customWidth="1"/>
  </cols>
  <sheetData>
    <row r="1" spans="1:28" ht="15" x14ac:dyDescent="0.25">
      <c r="A1" s="63"/>
      <c r="B1" s="63"/>
      <c r="C1" s="63"/>
      <c r="D1" s="96"/>
      <c r="E1" s="63"/>
      <c r="F1" s="63"/>
      <c r="G1" s="63"/>
      <c r="H1" s="63"/>
      <c r="I1" s="63"/>
      <c r="J1" s="63"/>
      <c r="K1" s="63"/>
      <c r="L1" s="63"/>
      <c r="M1" s="63"/>
      <c r="N1" s="63"/>
      <c r="O1" s="63"/>
      <c r="P1" s="63"/>
      <c r="Q1" s="63"/>
      <c r="R1" s="63"/>
      <c r="S1" s="63"/>
      <c r="T1" s="63"/>
      <c r="U1" s="63"/>
      <c r="V1" s="63"/>
      <c r="W1" s="63"/>
      <c r="X1" s="63"/>
      <c r="Y1" s="63"/>
      <c r="Z1" s="63"/>
      <c r="AA1" s="63"/>
      <c r="AB1" s="63"/>
    </row>
    <row r="2" spans="1:28" ht="15.75" customHeight="1" x14ac:dyDescent="0.2">
      <c r="A2" s="63"/>
      <c r="B2" s="488" t="s">
        <v>303</v>
      </c>
      <c r="C2" s="488"/>
      <c r="D2" s="488"/>
      <c r="E2" s="488"/>
      <c r="F2" s="63"/>
      <c r="G2" s="63"/>
      <c r="H2" s="63"/>
      <c r="I2" s="63"/>
      <c r="J2" s="63"/>
      <c r="K2" s="63"/>
      <c r="L2" s="63"/>
      <c r="M2" s="63"/>
      <c r="N2" s="63"/>
      <c r="O2" s="63"/>
      <c r="P2" s="63"/>
      <c r="Q2" s="63"/>
      <c r="R2" s="63"/>
      <c r="S2" s="63"/>
      <c r="T2" s="63"/>
      <c r="U2" s="63"/>
      <c r="V2" s="63"/>
      <c r="W2" s="63"/>
      <c r="X2" s="63"/>
      <c r="Y2" s="63"/>
      <c r="Z2" s="63"/>
      <c r="AA2" s="63"/>
      <c r="AB2" s="63"/>
    </row>
    <row r="3" spans="1:28" x14ac:dyDescent="0.2">
      <c r="A3" s="63"/>
      <c r="B3" s="488"/>
      <c r="C3" s="488"/>
      <c r="D3" s="488"/>
      <c r="E3" s="488"/>
      <c r="F3" s="63"/>
      <c r="G3" s="63"/>
      <c r="H3" s="63"/>
      <c r="I3" s="63"/>
      <c r="J3" s="63"/>
      <c r="K3" s="63"/>
      <c r="L3" s="63"/>
      <c r="M3" s="63"/>
      <c r="N3" s="63"/>
      <c r="O3" s="63"/>
      <c r="P3" s="63"/>
      <c r="Q3" s="63"/>
      <c r="R3" s="63"/>
      <c r="S3" s="63"/>
      <c r="T3" s="63"/>
      <c r="U3" s="63"/>
      <c r="V3" s="63"/>
      <c r="W3" s="63"/>
      <c r="X3" s="63"/>
      <c r="Y3" s="63"/>
      <c r="Z3" s="63"/>
      <c r="AA3" s="63"/>
      <c r="AB3" s="63"/>
    </row>
    <row r="4" spans="1:28" x14ac:dyDescent="0.2">
      <c r="A4" s="63"/>
      <c r="B4" s="97"/>
      <c r="C4" s="63"/>
      <c r="D4" s="63"/>
      <c r="E4" s="63"/>
      <c r="F4" s="63"/>
      <c r="G4" s="63"/>
      <c r="H4" s="63"/>
      <c r="I4" s="63"/>
      <c r="J4" s="63"/>
      <c r="K4" s="63"/>
      <c r="L4" s="63"/>
      <c r="M4" s="63"/>
      <c r="N4" s="63"/>
      <c r="O4" s="63"/>
      <c r="P4" s="63"/>
      <c r="Q4" s="63"/>
      <c r="R4" s="63"/>
      <c r="S4" s="63"/>
      <c r="T4" s="63"/>
      <c r="U4" s="63"/>
      <c r="V4" s="63"/>
      <c r="W4" s="63"/>
      <c r="X4" s="63"/>
      <c r="Y4" s="63"/>
      <c r="Z4" s="63"/>
      <c r="AA4" s="63"/>
      <c r="AB4" s="63"/>
    </row>
    <row r="5" spans="1:28" ht="23.25" x14ac:dyDescent="0.35">
      <c r="A5" s="63"/>
      <c r="B5" s="98" t="s">
        <v>126</v>
      </c>
      <c r="C5" s="99" t="str">
        <f>CONCATENATE("&lt;",PH_general!$K$55,"&gt;","&lt;",PH_general!$K$56,"&gt;",IF(EXACT(C26,(PH_general!$E$26)),"",CONCATENATE("&lt;",PH_general!$K$57,"&gt;")),IF(EXACT(C27,(YESonly)),CONCATENATE("&lt;",PH_general!$K$58,"&gt;"),""),IF(EXACT(C37,"0"),"",CONCATENATE("&lt;",PH_general!$K$59,"&gt;")),IF(AND(EXACT(C11,YESonly),OR(NOT(EXACT('PH + FIFO MODE'!C26,PH_general!$E$26)),NOT('PH + FIFO MODE'!C37=0),EXACT('PH + FIFO MODE'!C27,YESonly))),CONCATENATE("&lt;",PH_general!$K$60,"&gt;"),""))</f>
        <v>&lt;PREAMBLE&gt;&lt;SYNC&gt;&lt;LENGTH&gt;&lt;DATA&gt;&lt;CRC&gt;</v>
      </c>
      <c r="D5" s="63"/>
      <c r="E5" s="63"/>
      <c r="F5" s="63"/>
      <c r="G5" s="63"/>
      <c r="H5" s="63"/>
      <c r="I5" s="63"/>
      <c r="J5" s="63"/>
      <c r="K5" s="63"/>
      <c r="L5" s="63"/>
      <c r="M5" s="63"/>
      <c r="N5" s="63"/>
      <c r="O5" s="63"/>
      <c r="P5" s="63"/>
      <c r="Q5" s="63"/>
      <c r="R5" s="63"/>
      <c r="S5" s="63"/>
      <c r="T5" s="63"/>
      <c r="U5" s="63"/>
      <c r="V5" s="63"/>
      <c r="W5" s="63"/>
      <c r="X5" s="63"/>
      <c r="Y5" s="63"/>
      <c r="Z5" s="63"/>
      <c r="AA5" s="63"/>
      <c r="AB5" s="63"/>
    </row>
    <row r="6" spans="1:28" x14ac:dyDescent="0.2">
      <c r="A6" s="63"/>
      <c r="B6" s="63"/>
      <c r="C6" s="63"/>
      <c r="D6" s="63"/>
      <c r="E6" s="63"/>
      <c r="F6" s="63"/>
      <c r="G6" s="63"/>
      <c r="H6" s="63"/>
      <c r="I6" s="63"/>
      <c r="J6" s="63"/>
      <c r="K6" s="63"/>
      <c r="L6" s="63"/>
      <c r="M6" s="63"/>
      <c r="N6" s="63"/>
      <c r="O6" s="63"/>
      <c r="P6" s="63"/>
      <c r="Q6" s="63"/>
      <c r="R6" s="63"/>
      <c r="S6" s="63"/>
      <c r="T6" s="63"/>
      <c r="U6" s="63"/>
      <c r="V6" s="63"/>
      <c r="W6" s="63"/>
      <c r="X6" s="63"/>
      <c r="Y6" s="63"/>
      <c r="Z6" s="63"/>
      <c r="AA6" s="63"/>
      <c r="AB6" s="63"/>
    </row>
    <row r="7" spans="1:28" ht="34.5" customHeight="1" x14ac:dyDescent="0.2">
      <c r="A7" s="63"/>
      <c r="B7" s="100" t="s">
        <v>0</v>
      </c>
      <c r="C7" s="101" t="s">
        <v>304</v>
      </c>
      <c r="D7" s="102" t="s">
        <v>46</v>
      </c>
      <c r="E7" s="102" t="s">
        <v>142</v>
      </c>
      <c r="F7" s="63"/>
      <c r="G7" s="63"/>
      <c r="H7" s="63"/>
      <c r="I7" s="63"/>
      <c r="J7" s="63"/>
      <c r="K7" s="63"/>
      <c r="L7" s="63"/>
      <c r="M7" s="63"/>
      <c r="N7" s="63"/>
      <c r="O7" s="63"/>
      <c r="P7" s="63"/>
      <c r="Q7" s="63"/>
      <c r="R7" s="63"/>
      <c r="S7" s="63"/>
      <c r="T7" s="63"/>
      <c r="U7" s="63"/>
      <c r="V7" s="63"/>
      <c r="W7" s="63"/>
      <c r="X7" s="63"/>
      <c r="Y7" s="63"/>
      <c r="Z7" s="63"/>
      <c r="AA7" s="63"/>
      <c r="AB7" s="63"/>
    </row>
    <row r="8" spans="1:28" ht="27.75" customHeight="1" thickBot="1" x14ac:dyDescent="0.25">
      <c r="A8" s="63"/>
      <c r="B8" s="63"/>
      <c r="C8" s="63"/>
      <c r="D8" s="63"/>
      <c r="E8" s="63"/>
      <c r="F8" s="63"/>
      <c r="G8" s="63"/>
      <c r="H8" s="63"/>
      <c r="I8" s="63"/>
      <c r="J8" s="63"/>
      <c r="K8" s="63"/>
      <c r="L8" s="63"/>
      <c r="M8" s="63"/>
      <c r="N8" s="63"/>
      <c r="O8" s="63"/>
      <c r="P8" s="63"/>
      <c r="Q8" s="63"/>
      <c r="R8" s="63"/>
      <c r="S8" s="63"/>
      <c r="T8" s="63"/>
      <c r="U8" s="63"/>
      <c r="V8" s="63"/>
      <c r="W8" s="63"/>
      <c r="X8" s="63"/>
      <c r="Y8" s="63"/>
      <c r="Z8" s="63"/>
      <c r="AA8" s="63"/>
      <c r="AB8" s="63"/>
    </row>
    <row r="9" spans="1:28" ht="27.75" customHeight="1" thickBot="1" x14ac:dyDescent="0.25">
      <c r="A9" s="63"/>
      <c r="B9" s="103" t="s">
        <v>13</v>
      </c>
      <c r="C9" s="104" t="s">
        <v>9</v>
      </c>
      <c r="D9" s="105"/>
      <c r="E9" s="63"/>
      <c r="F9" s="106" t="s">
        <v>277</v>
      </c>
      <c r="G9" s="107" t="s">
        <v>108</v>
      </c>
      <c r="H9" s="108" t="s">
        <v>150</v>
      </c>
      <c r="I9" s="63"/>
      <c r="J9" s="63"/>
      <c r="K9" s="63"/>
      <c r="L9" s="63"/>
      <c r="M9" s="63"/>
      <c r="N9" s="63"/>
      <c r="O9" s="63"/>
      <c r="P9" s="63"/>
      <c r="Q9" s="63"/>
      <c r="R9" s="63"/>
      <c r="S9" s="63"/>
      <c r="T9" s="63"/>
      <c r="U9" s="63"/>
      <c r="V9" s="63"/>
      <c r="W9" s="63"/>
      <c r="X9" s="63"/>
      <c r="Y9" s="63"/>
      <c r="Z9" s="63"/>
      <c r="AA9" s="63"/>
      <c r="AB9" s="63"/>
    </row>
    <row r="10" spans="1:28" s="2" customFormat="1" ht="46.5" customHeight="1" thickBot="1" x14ac:dyDescent="0.25">
      <c r="A10" s="109"/>
      <c r="B10" s="103" t="s">
        <v>19</v>
      </c>
      <c r="C10" s="147" t="s">
        <v>21</v>
      </c>
      <c r="D10" s="110" t="str">
        <f>IF((EXACT(C10,"LSB")=TRUE),PH_general!$K$9,IF((EXACT(C10,"MSB")=TRUE),PH_general!$K$8,"N/A"))</f>
        <v>Each byte of the Header, Packet Length and Data will be sent MSB first</v>
      </c>
      <c r="E10" s="109"/>
      <c r="F10" s="111">
        <v>30</v>
      </c>
      <c r="G10" s="112" t="str">
        <f>BIN2HEX(CONCATENATE(T23,U23,V23,W23,X23,Y23,Z23),2)</f>
        <v>AC</v>
      </c>
      <c r="H10" s="113" t="str">
        <f>CONCATENATE("S2"," ",DEC2HEX(HEX2DEC(F10)+HEX2DEC(80),2),G10)</f>
        <v>S2 B0AC</v>
      </c>
      <c r="I10" s="109"/>
      <c r="J10" s="109"/>
      <c r="K10" s="109"/>
      <c r="L10" s="109"/>
      <c r="M10" s="109"/>
      <c r="N10" s="109"/>
      <c r="O10" s="109"/>
      <c r="P10" s="109"/>
      <c r="Q10" s="109"/>
      <c r="R10" s="109"/>
      <c r="S10" s="109"/>
      <c r="T10" s="109"/>
      <c r="U10" s="109"/>
      <c r="V10" s="109"/>
      <c r="W10" s="109"/>
      <c r="X10" s="63"/>
      <c r="Y10" s="109"/>
      <c r="Z10" s="109"/>
      <c r="AA10" s="109"/>
      <c r="AB10" s="109"/>
    </row>
    <row r="11" spans="1:28" ht="30" customHeight="1" thickBot="1" x14ac:dyDescent="0.25">
      <c r="A11" s="63"/>
      <c r="B11" s="103" t="s">
        <v>25</v>
      </c>
      <c r="C11" s="147" t="s">
        <v>23</v>
      </c>
      <c r="D11" s="110"/>
      <c r="E11" s="63"/>
      <c r="F11" s="114">
        <v>32</v>
      </c>
      <c r="G11" s="112" t="str">
        <f>BIN2HEX(CONCATENATE(IF(C55=PH_general!$E$17,1,0),IF(C56=PH_general!$E$17,1,0),IF(C57=PH_general!$E$17,1,0),IF(C58=PH_general!$E$17,1,0),IF(C61=PH_general!$E$17,1,0),IF(C62=PH_general!$E$17,1,0),IF(C63=PH_general!$E$17,1,0),IF(C64=PH_general!$E$17,1,0)),2)</f>
        <v>00</v>
      </c>
      <c r="H11" s="113" t="str">
        <f>CONCATENATE("S2"," ",DEC2HEX(HEX2DEC(F11)+HEX2DEC(80),2),G11)</f>
        <v>S2 B200</v>
      </c>
      <c r="I11" s="63"/>
      <c r="J11" s="63"/>
      <c r="K11" s="63"/>
      <c r="L11" s="63"/>
      <c r="M11" s="63"/>
      <c r="N11" s="63"/>
      <c r="O11" s="63"/>
      <c r="P11" s="63"/>
      <c r="Q11" s="63"/>
      <c r="R11" s="63"/>
      <c r="S11" s="63"/>
      <c r="T11" s="63"/>
      <c r="U11" s="63"/>
      <c r="V11" s="63"/>
      <c r="W11" s="63"/>
      <c r="X11" s="63"/>
      <c r="Y11" s="63"/>
      <c r="Z11" s="63"/>
      <c r="AA11" s="63"/>
      <c r="AB11" s="63"/>
    </row>
    <row r="12" spans="1:28" ht="48" customHeight="1" thickBot="1" x14ac:dyDescent="0.25">
      <c r="A12" s="63"/>
      <c r="B12" s="103" t="s">
        <v>22</v>
      </c>
      <c r="C12" s="147" t="s">
        <v>23</v>
      </c>
      <c r="D12" s="110" t="str">
        <f>IF(EXACT(C11,"NO"),PH_general!K4,IF((EXACT(C12,"YES")=TRUE),PH_general!K5,IF((EXACT(C12,"NO")=TRUE),PH_general!K6,"N/A")))</f>
        <v>CRC will be Calculated Over Data Only</v>
      </c>
      <c r="E12" s="63"/>
      <c r="F12" s="111">
        <v>33</v>
      </c>
      <c r="G12" s="112" t="str">
        <f>BIN2HEX(CONCATENATE(T26,U26,V26,W26,X26),2)</f>
        <v>02</v>
      </c>
      <c r="H12" s="113" t="str">
        <f>CONCATENATE("S2"," ",DEC2HEX(HEX2DEC(F12)+HEX2DEC(80),2),G12)</f>
        <v>S2 B302</v>
      </c>
      <c r="I12" s="63"/>
      <c r="J12" s="63"/>
      <c r="K12" s="63"/>
      <c r="L12" s="63"/>
      <c r="M12" s="63"/>
      <c r="N12" s="63"/>
      <c r="O12" s="63"/>
      <c r="P12" s="63"/>
      <c r="Q12" s="63"/>
      <c r="R12" s="63"/>
      <c r="S12" s="63"/>
      <c r="T12" s="63"/>
      <c r="U12" s="63"/>
      <c r="V12" s="63"/>
      <c r="W12" s="63"/>
      <c r="X12" s="63"/>
      <c r="Y12" s="63"/>
      <c r="Z12" s="63"/>
      <c r="AA12" s="63"/>
      <c r="AB12" s="63"/>
    </row>
    <row r="13" spans="1:28" ht="53.25" customHeight="1" thickBot="1" x14ac:dyDescent="0.25">
      <c r="A13" s="63"/>
      <c r="B13" s="103" t="s">
        <v>26</v>
      </c>
      <c r="C13" s="146" t="s">
        <v>27</v>
      </c>
      <c r="D13" s="110" t="str">
        <f>IF(EXACT(C11,"NO"),PH_general!$K$4,IF((EXACT(C12,"YES")=TRUE),PH_general!$K$5,IF((EXACT(C12,"NO")=TRUE),PH_general!$K$6,"N/A")))</f>
        <v>CRC will be Calculated Over Data Only</v>
      </c>
      <c r="E13" s="63"/>
      <c r="F13" s="111">
        <v>34</v>
      </c>
      <c r="G13" s="112" t="str">
        <f>IF(C30&lt;256,DEC2HEX(C30,2),DEC2HEX((C30-256),2))</f>
        <v>04</v>
      </c>
      <c r="H13" s="113" t="str">
        <f>CONCATENATE("S2"," ",DEC2HEX(HEX2DEC(F13)+HEX2DEC(80),2),G13)</f>
        <v>S2 B404</v>
      </c>
      <c r="I13" s="63"/>
      <c r="J13" s="63"/>
      <c r="K13" s="63"/>
      <c r="L13" s="63"/>
      <c r="M13" s="63"/>
      <c r="N13" s="63"/>
      <c r="O13" s="63"/>
      <c r="P13" s="63"/>
      <c r="Q13" s="63"/>
      <c r="R13" s="63"/>
      <c r="S13" s="63"/>
      <c r="T13" s="63"/>
      <c r="U13" s="63"/>
      <c r="V13" s="63"/>
      <c r="W13" s="63"/>
      <c r="X13" s="63"/>
      <c r="Y13" s="63"/>
      <c r="Z13" s="63"/>
      <c r="AA13" s="63"/>
      <c r="AB13" s="63"/>
    </row>
    <row r="14" spans="1:28" ht="21" customHeight="1" x14ac:dyDescent="0.2">
      <c r="A14" s="63"/>
      <c r="B14" s="115"/>
      <c r="C14" s="116"/>
      <c r="D14" s="110"/>
      <c r="E14" s="63"/>
      <c r="F14" s="114">
        <v>35</v>
      </c>
      <c r="G14" s="112" t="str">
        <f>DEC2HEX(CONCATENATE(C67*8+2),2)</f>
        <v>22</v>
      </c>
      <c r="H14" s="117" t="str">
        <f>CONCATENATE("S2 B5",G14)</f>
        <v>S2 B522</v>
      </c>
      <c r="I14" s="63"/>
      <c r="J14" s="63"/>
      <c r="K14" s="63"/>
      <c r="L14" s="63"/>
      <c r="M14" s="63"/>
      <c r="N14" s="63"/>
      <c r="O14" s="63"/>
      <c r="P14" s="63"/>
      <c r="Q14" s="63"/>
      <c r="R14" s="63"/>
      <c r="S14" s="63"/>
      <c r="T14" s="63"/>
      <c r="U14" s="63"/>
      <c r="V14" s="63"/>
      <c r="W14" s="63"/>
      <c r="X14" s="63"/>
      <c r="Y14" s="63"/>
      <c r="Z14" s="63"/>
      <c r="AA14" s="63"/>
      <c r="AB14" s="63"/>
    </row>
    <row r="15" spans="1:28" ht="22.5" customHeight="1" thickBot="1" x14ac:dyDescent="0.25">
      <c r="A15" s="63"/>
      <c r="B15" s="115"/>
      <c r="C15" s="116"/>
      <c r="D15" s="110"/>
      <c r="E15" s="63"/>
      <c r="F15" s="111">
        <v>36</v>
      </c>
      <c r="G15" s="118" t="str">
        <f>C32</f>
        <v>B5</v>
      </c>
      <c r="H15" s="113" t="str">
        <f t="shared" ref="H15:H33" si="0">CONCATENATE("S2"," ",DEC2HEX(HEX2DEC(F15)+HEX2DEC(80),2),G15)</f>
        <v>S2 B6B5</v>
      </c>
      <c r="I15" s="63"/>
      <c r="J15" s="63"/>
      <c r="K15" s="63"/>
      <c r="L15" s="63"/>
      <c r="M15" s="63"/>
      <c r="N15" s="63"/>
      <c r="O15" s="63"/>
      <c r="P15" s="63"/>
      <c r="Q15" s="63"/>
      <c r="R15" s="63"/>
      <c r="S15" s="63"/>
      <c r="T15" s="63"/>
      <c r="U15" s="63"/>
      <c r="V15" s="63"/>
      <c r="W15" s="63"/>
      <c r="X15" s="63"/>
      <c r="Y15" s="63"/>
      <c r="Z15" s="63"/>
      <c r="AA15" s="63"/>
      <c r="AB15" s="63"/>
    </row>
    <row r="16" spans="1:28" s="2" customFormat="1" ht="30.75" customHeight="1" thickBot="1" x14ac:dyDescent="0.25">
      <c r="A16" s="109"/>
      <c r="B16" s="103" t="s">
        <v>8</v>
      </c>
      <c r="C16" s="119" t="str">
        <f>'Modem Registers Calculations'!$A$9</f>
        <v>FSK</v>
      </c>
      <c r="D16" s="110" t="s">
        <v>297</v>
      </c>
      <c r="E16" s="109"/>
      <c r="F16" s="114">
        <v>37</v>
      </c>
      <c r="G16" s="112" t="str">
        <f>C33</f>
        <v>6B</v>
      </c>
      <c r="H16" s="113" t="str">
        <f t="shared" si="0"/>
        <v>S2 B76B</v>
      </c>
      <c r="I16" s="109"/>
      <c r="J16" s="109"/>
      <c r="K16" s="109"/>
      <c r="L16" s="109"/>
      <c r="M16" s="109"/>
      <c r="N16" s="109"/>
      <c r="O16" s="109"/>
      <c r="P16" s="109"/>
      <c r="Q16" s="109"/>
      <c r="R16" s="109"/>
      <c r="S16" s="109"/>
      <c r="T16" s="109"/>
      <c r="U16" s="109"/>
      <c r="V16" s="109"/>
      <c r="W16" s="109"/>
      <c r="X16" s="109"/>
      <c r="Y16" s="109"/>
      <c r="Z16" s="109"/>
      <c r="AA16" s="109"/>
      <c r="AB16" s="109"/>
    </row>
    <row r="17" spans="1:28" s="2" customFormat="1" ht="19.5" customHeight="1" thickBot="1" x14ac:dyDescent="0.25">
      <c r="A17" s="109"/>
      <c r="B17" s="103" t="s">
        <v>11</v>
      </c>
      <c r="C17" s="95" t="s">
        <v>9</v>
      </c>
      <c r="D17" s="110" t="s">
        <v>299</v>
      </c>
      <c r="E17" s="109"/>
      <c r="F17" s="114">
        <v>38</v>
      </c>
      <c r="G17" s="112" t="str">
        <f>C34</f>
        <v>00</v>
      </c>
      <c r="H17" s="113" t="str">
        <f t="shared" si="0"/>
        <v>S2 B800</v>
      </c>
      <c r="I17" s="109"/>
      <c r="J17" s="109"/>
      <c r="K17" s="109"/>
      <c r="L17" s="109"/>
      <c r="M17" s="109"/>
      <c r="N17" s="109"/>
      <c r="O17" s="109"/>
      <c r="P17" s="109"/>
      <c r="Q17" s="109"/>
      <c r="R17" s="109"/>
      <c r="S17" s="109"/>
      <c r="T17" s="109"/>
      <c r="U17" s="109"/>
      <c r="V17" s="120"/>
      <c r="W17" s="109"/>
      <c r="X17" s="109"/>
      <c r="Y17" s="109"/>
      <c r="Z17" s="109"/>
      <c r="AA17" s="63"/>
      <c r="AB17" s="109"/>
    </row>
    <row r="18" spans="1:28" s="2" customFormat="1" ht="29.25" customHeight="1" x14ac:dyDescent="0.2">
      <c r="A18" s="109"/>
      <c r="B18" s="115"/>
      <c r="C18" s="292"/>
      <c r="D18" s="109"/>
      <c r="E18" s="109"/>
      <c r="F18" s="114">
        <v>39</v>
      </c>
      <c r="G18" s="112" t="str">
        <f>C35</f>
        <v>00</v>
      </c>
      <c r="H18" s="113" t="str">
        <f t="shared" si="0"/>
        <v>S2 B900</v>
      </c>
      <c r="I18" s="109"/>
      <c r="J18" s="109"/>
      <c r="K18" s="109"/>
      <c r="L18" s="109"/>
      <c r="M18" s="109"/>
      <c r="N18" s="109"/>
      <c r="O18" s="109"/>
      <c r="P18" s="109"/>
      <c r="Q18" s="109"/>
      <c r="R18" s="109"/>
      <c r="S18" s="121"/>
      <c r="T18" s="121"/>
      <c r="U18" s="121"/>
      <c r="V18" s="120"/>
      <c r="W18" s="109"/>
      <c r="X18" s="109"/>
      <c r="Y18" s="109"/>
      <c r="Z18" s="109"/>
      <c r="AA18" s="109"/>
      <c r="AB18" s="109"/>
    </row>
    <row r="19" spans="1:28" s="2" customFormat="1" x14ac:dyDescent="0.2">
      <c r="A19" s="109"/>
      <c r="B19" s="115"/>
      <c r="C19" s="122"/>
      <c r="D19" s="110"/>
      <c r="E19" s="109"/>
      <c r="F19" s="114" t="s">
        <v>87</v>
      </c>
      <c r="G19" s="112" t="str">
        <f>C39</f>
        <v>00</v>
      </c>
      <c r="H19" s="113" t="str">
        <f t="shared" si="0"/>
        <v>S2 BA00</v>
      </c>
      <c r="I19" s="109"/>
      <c r="J19" s="109"/>
      <c r="K19" s="109"/>
      <c r="L19" s="109"/>
      <c r="M19" s="109"/>
      <c r="N19" s="109"/>
      <c r="O19" s="109"/>
      <c r="P19" s="109"/>
      <c r="Q19" s="109"/>
      <c r="R19" s="109"/>
      <c r="S19" s="109"/>
      <c r="T19" s="109"/>
      <c r="U19" s="109"/>
      <c r="V19" s="109"/>
      <c r="W19" s="109"/>
      <c r="X19" s="120"/>
      <c r="Y19" s="120"/>
      <c r="Z19" s="120"/>
      <c r="AA19" s="63"/>
      <c r="AB19" s="109"/>
    </row>
    <row r="20" spans="1:28" s="2" customFormat="1" ht="13.5" thickBot="1" x14ac:dyDescent="0.25">
      <c r="A20" s="109"/>
      <c r="B20" s="115"/>
      <c r="C20" s="122"/>
      <c r="D20" s="110"/>
      <c r="E20" s="109"/>
      <c r="F20" s="114" t="s">
        <v>88</v>
      </c>
      <c r="G20" s="112" t="str">
        <f>C40</f>
        <v>00</v>
      </c>
      <c r="H20" s="113" t="str">
        <f t="shared" si="0"/>
        <v>S2 BB00</v>
      </c>
      <c r="I20" s="109"/>
      <c r="J20" s="109"/>
      <c r="K20" s="109"/>
      <c r="L20" s="109"/>
      <c r="M20" s="109"/>
      <c r="N20" s="109"/>
      <c r="O20" s="109"/>
      <c r="P20" s="109"/>
      <c r="Q20" s="109"/>
      <c r="R20" s="109"/>
      <c r="S20" s="109"/>
      <c r="T20" s="109"/>
      <c r="U20" s="109"/>
      <c r="V20" s="109"/>
      <c r="W20" s="109"/>
      <c r="X20" s="109"/>
      <c r="Y20" s="109"/>
      <c r="Z20" s="109"/>
      <c r="AA20" s="63"/>
      <c r="AB20" s="109"/>
    </row>
    <row r="21" spans="1:28" s="2" customFormat="1" ht="25.5" customHeight="1" thickBot="1" x14ac:dyDescent="0.25">
      <c r="A21" s="109"/>
      <c r="B21" s="103" t="s">
        <v>65</v>
      </c>
      <c r="C21" s="119" t="str">
        <f>IF('Modem Registers Calculations'!C9="ON","ON","OFF")</f>
        <v>ON</v>
      </c>
      <c r="D21" s="110" t="s">
        <v>297</v>
      </c>
      <c r="E21" s="109"/>
      <c r="F21" s="114" t="s">
        <v>89</v>
      </c>
      <c r="G21" s="112" t="str">
        <f>C41</f>
        <v>00</v>
      </c>
      <c r="H21" s="113" t="str">
        <f t="shared" si="0"/>
        <v>S2 BC00</v>
      </c>
      <c r="I21" s="109"/>
      <c r="J21" s="109"/>
      <c r="K21" s="109"/>
      <c r="L21" s="109"/>
      <c r="M21" s="109"/>
      <c r="N21" s="109"/>
      <c r="O21" s="109"/>
      <c r="P21" s="109"/>
      <c r="Q21" s="109"/>
      <c r="R21" s="109"/>
      <c r="S21" s="123" t="s">
        <v>109</v>
      </c>
      <c r="T21" s="109"/>
      <c r="U21" s="109"/>
      <c r="V21" s="124"/>
      <c r="W21" s="124"/>
      <c r="X21" s="124"/>
      <c r="Y21" s="109"/>
      <c r="Z21" s="109"/>
      <c r="AA21" s="63"/>
      <c r="AB21" s="109"/>
    </row>
    <row r="22" spans="1:28" s="2" customFormat="1" ht="21" customHeight="1" thickBot="1" x14ac:dyDescent="0.25">
      <c r="A22" s="109"/>
      <c r="B22" s="103" t="s">
        <v>66</v>
      </c>
      <c r="C22" s="95" t="s">
        <v>68</v>
      </c>
      <c r="D22" s="110" t="str">
        <f>IF(EXACT(C21,"OFF"),PH_general!$K$30,IF(C22="No Inversion",PH_general!$K$34,PH_general!$K$35))</f>
        <v>" 0 --&gt; 1 " = " 1 "</v>
      </c>
      <c r="E22" s="109"/>
      <c r="F22" s="114" t="s">
        <v>90</v>
      </c>
      <c r="G22" s="112" t="str">
        <f>C42</f>
        <v>00</v>
      </c>
      <c r="H22" s="113" t="str">
        <f t="shared" si="0"/>
        <v>S2 BD00</v>
      </c>
      <c r="I22" s="109"/>
      <c r="J22" s="109"/>
      <c r="K22" s="109"/>
      <c r="L22" s="109"/>
      <c r="M22" s="109"/>
      <c r="N22" s="109"/>
      <c r="O22" s="109"/>
      <c r="P22" s="109"/>
      <c r="Q22" s="109"/>
      <c r="R22" s="109"/>
      <c r="S22" s="120">
        <v>30</v>
      </c>
      <c r="T22" s="121" t="s">
        <v>36</v>
      </c>
      <c r="U22" s="121" t="s">
        <v>14</v>
      </c>
      <c r="V22" s="65" t="s">
        <v>15</v>
      </c>
      <c r="W22" s="65" t="s">
        <v>16</v>
      </c>
      <c r="X22" s="65" t="s">
        <v>3</v>
      </c>
      <c r="Y22" s="65" t="s">
        <v>12</v>
      </c>
      <c r="Z22" s="65" t="s">
        <v>4</v>
      </c>
      <c r="AA22" s="63"/>
      <c r="AB22" s="109"/>
    </row>
    <row r="23" spans="1:28" s="2" customFormat="1" ht="18" customHeight="1" thickBot="1" x14ac:dyDescent="0.3">
      <c r="A23" s="109"/>
      <c r="B23" s="103" t="s">
        <v>67</v>
      </c>
      <c r="C23" s="95" t="s">
        <v>71</v>
      </c>
      <c r="D23" s="110" t="str">
        <f>IF(EXACT(C21,"OFF"),PH_general!$K$30,IF(OR(AND((C22="Invert"),(C17="OFF")),AND((C22="No Inversion"),(C17="ON"))),IF((EXACT(C23,PH_general!$B$9)=TRUE),PH_general!$K$31,PH_general!$K$32),IF((EXACT(C23,PH_general!$B$9)=TRUE),PH_general!$K$32,PH_general!$K$31)))</f>
        <v>TX Manchester Preamble will be 010101 ….</v>
      </c>
      <c r="E23" s="109"/>
      <c r="F23" s="114" t="s">
        <v>91</v>
      </c>
      <c r="G23" s="112" t="str">
        <f>DEC2HEX(C37,2)</f>
        <v>01</v>
      </c>
      <c r="H23" s="113" t="str">
        <f t="shared" si="0"/>
        <v>S2 BE01</v>
      </c>
      <c r="I23" s="109"/>
      <c r="J23" s="109"/>
      <c r="K23" s="109"/>
      <c r="L23" s="109"/>
      <c r="M23" s="109"/>
      <c r="N23" s="109"/>
      <c r="O23" s="109"/>
      <c r="P23" s="109"/>
      <c r="Q23" s="109"/>
      <c r="R23" s="109"/>
      <c r="S23" s="63"/>
      <c r="T23" s="125" t="str">
        <f>IF((EXACT(C9,PH_general!$G$10)=TRUE),"1",IF((EXACT(C9,PH_general!$G$11)=TRUE),"0","N/A"))</f>
        <v>1</v>
      </c>
      <c r="U23" s="125" t="str">
        <f>IF((EXACT(C10,PH_general!$G$14)=TRUE),"1",IF((EXACT(C10,PH_general!$G$15)=TRUE),"0","N/A"))</f>
        <v>0</v>
      </c>
      <c r="V23" s="125" t="str">
        <f>IF((EXACT(C12,PH_general!$G$17)=TRUE),"1",IF((EXACT(C12,PH_general!$G$18)=TRUE),"0","N/A"))</f>
        <v>1</v>
      </c>
      <c r="W23" s="65">
        <v>0</v>
      </c>
      <c r="X23" s="125" t="str">
        <f>IF((EXACT(C9,PH_general!$G$10)=TRUE),"1",IF((EXACT(C9,PH_general!$G$11)=TRUE),"0","N/A"))</f>
        <v>1</v>
      </c>
      <c r="Y23" s="125" t="str">
        <f>IF((EXACT(C11,PH_general!$G$17)=TRUE),"1",IF((EXACT(C11,PH_general!$G$18)=TRUE),"0","N/A"))</f>
        <v>1</v>
      </c>
      <c r="Z23" s="125" t="str">
        <f>IF((EXACT(C13,PH_general!G20)=TRUE),"00",IF((EXACT(C13,PH_general!G21)=TRUE),"01",IF((EXACT(C13,PH_general!G22)=TRUE),"10",IF((EXACT(C13,PH_general!G23)=TRUE),"11","N/A"))))</f>
        <v>00</v>
      </c>
      <c r="AA23" s="63"/>
      <c r="AB23" s="109"/>
    </row>
    <row r="24" spans="1:28" s="2" customFormat="1" ht="19.5" customHeight="1" thickBot="1" x14ac:dyDescent="0.25">
      <c r="A24" s="109"/>
      <c r="B24" s="103" t="s">
        <v>74</v>
      </c>
      <c r="C24" s="95" t="s">
        <v>10</v>
      </c>
      <c r="D24" s="110"/>
      <c r="E24" s="109"/>
      <c r="F24" s="114" t="s">
        <v>95</v>
      </c>
      <c r="G24" s="112" t="str">
        <f>G19</f>
        <v>00</v>
      </c>
      <c r="H24" s="113" t="str">
        <f t="shared" si="0"/>
        <v>S2 BF00</v>
      </c>
      <c r="I24" s="109"/>
      <c r="J24" s="109"/>
      <c r="K24" s="109"/>
      <c r="L24" s="109"/>
      <c r="M24" s="109"/>
      <c r="N24" s="109"/>
      <c r="O24" s="109"/>
      <c r="P24" s="109"/>
      <c r="Q24" s="109"/>
      <c r="R24" s="109"/>
      <c r="S24" s="109"/>
      <c r="T24" s="109"/>
      <c r="U24" s="109"/>
      <c r="V24" s="109"/>
      <c r="W24" s="109"/>
      <c r="X24" s="109"/>
      <c r="Y24" s="109"/>
      <c r="Z24" s="109"/>
      <c r="AA24" s="109"/>
      <c r="AB24" s="109"/>
    </row>
    <row r="25" spans="1:28" s="4" customFormat="1" ht="18" customHeight="1" thickBot="1" x14ac:dyDescent="0.25">
      <c r="A25" s="120"/>
      <c r="B25" s="115"/>
      <c r="C25" s="126"/>
      <c r="D25" s="110"/>
      <c r="E25" s="120"/>
      <c r="F25" s="114">
        <v>40</v>
      </c>
      <c r="G25" s="112" t="str">
        <f>G20</f>
        <v>00</v>
      </c>
      <c r="H25" s="113" t="str">
        <f t="shared" si="0"/>
        <v>S2 C000</v>
      </c>
      <c r="I25" s="65"/>
      <c r="J25" s="120"/>
      <c r="K25" s="63"/>
      <c r="L25" s="63"/>
      <c r="M25" s="63"/>
      <c r="N25" s="63"/>
      <c r="O25" s="120"/>
      <c r="P25" s="120"/>
      <c r="Q25" s="120"/>
      <c r="R25" s="120"/>
      <c r="S25" s="120">
        <v>33</v>
      </c>
      <c r="T25" s="121" t="s">
        <v>36</v>
      </c>
      <c r="U25" s="121" t="s">
        <v>37</v>
      </c>
      <c r="V25" s="65" t="s">
        <v>3</v>
      </c>
      <c r="W25" s="65" t="s">
        <v>45</v>
      </c>
      <c r="X25" s="65" t="s">
        <v>18</v>
      </c>
      <c r="Y25" s="109"/>
      <c r="Z25" s="109"/>
      <c r="AA25" s="109"/>
      <c r="AB25" s="120"/>
    </row>
    <row r="26" spans="1:28" s="2" customFormat="1" ht="33" customHeight="1" thickBot="1" x14ac:dyDescent="0.3">
      <c r="A26" s="109"/>
      <c r="B26" s="103" t="s">
        <v>38</v>
      </c>
      <c r="C26" s="145" t="s">
        <v>31</v>
      </c>
      <c r="D26" s="110" t="str">
        <f>IF((EXACT(C26,PH_general!$E$26)=TRUE),PH_general!$K$23,IF((EXACT(C26,PH_general!$E$27)=TRUE),PH_general!$K$24,IF((EXACT(C26,PH_general!$E$28)=TRUE),PH_general!$K$25,IF((EXACT(C26,PH_general!$E$29)=TRUE),PH_general!$K$26,IF((EXACT(C26,PH_general!$E$30)=TRUE),PH_general!$K$27,PH_general!$K$28)))))</f>
        <v>Since Header Length is null, no need to configure header(s) value(s)</v>
      </c>
      <c r="E26" s="109"/>
      <c r="F26" s="114">
        <v>41</v>
      </c>
      <c r="G26" s="112" t="str">
        <f>G21</f>
        <v>00</v>
      </c>
      <c r="H26" s="113" t="str">
        <f t="shared" si="0"/>
        <v>S2 C100</v>
      </c>
      <c r="I26" s="65"/>
      <c r="J26" s="109"/>
      <c r="K26" s="65"/>
      <c r="L26" s="63"/>
      <c r="M26" s="63"/>
      <c r="N26" s="63"/>
      <c r="O26" s="109"/>
      <c r="P26" s="109"/>
      <c r="Q26" s="109"/>
      <c r="R26" s="109"/>
      <c r="S26" s="109"/>
      <c r="T26" s="120">
        <v>0</v>
      </c>
      <c r="U26" s="125" t="str">
        <f>IF((EXACT(C26,PH_general!E26)=TRUE),"000",IF((EXACT(C26,PH_general!E27)=TRUE),"001",IF((EXACT(C26,PH_general!E28)=TRUE),"010",IF((EXACT(C26,PH_general!E29)=TRUE),"011",IF((EXACT(C26,PH_general!E30)=TRUE),"100","N/A")))))</f>
        <v>000</v>
      </c>
      <c r="V26" s="125" t="str">
        <f>IF((EXACT(C27,PH_general!$G$17)=TRUE),"0",IF((EXACT(C27,PH_general!$G$18)=TRUE),"1","N/A"))</f>
        <v>0</v>
      </c>
      <c r="W26" s="125" t="str">
        <f>IF((EXACT(C28,PH_general!H26)=TRUE),"00",IF((EXACT(C28,PH_general!H27)=TRUE),"01",IF((EXACT(C28,PH_general!H28)=TRUE),"10",IF((EXACT(C28,PH_general!H29)=TRUE),"11","N/A"))))</f>
        <v>01</v>
      </c>
      <c r="X26" s="120">
        <f>IF(C30&gt;255,1,0)</f>
        <v>0</v>
      </c>
      <c r="Y26" s="109"/>
      <c r="Z26" s="109"/>
      <c r="AA26" s="109"/>
      <c r="AB26" s="109"/>
    </row>
    <row r="27" spans="1:28" ht="26.25" thickBot="1" x14ac:dyDescent="0.25">
      <c r="A27" s="63"/>
      <c r="B27" s="103" t="s">
        <v>39</v>
      </c>
      <c r="C27" s="95" t="s">
        <v>23</v>
      </c>
      <c r="D27" s="110" t="str">
        <f>IF((EXACT(C27,"YES")=TRUE),PH_general!$K$20,IF((EXACT(C27,"NO")=TRUE),PH_general!$K$19,"N/A"))</f>
        <v>The Length field WILL be sent as part of the packet</v>
      </c>
      <c r="E27" s="109"/>
      <c r="F27" s="114">
        <v>42</v>
      </c>
      <c r="G27" s="112" t="str">
        <f>G22</f>
        <v>00</v>
      </c>
      <c r="H27" s="113" t="str">
        <f t="shared" si="0"/>
        <v>S2 C200</v>
      </c>
      <c r="I27" s="65"/>
      <c r="J27" s="65"/>
      <c r="K27" s="65"/>
      <c r="L27" s="63"/>
      <c r="M27" s="63"/>
      <c r="N27" s="63"/>
      <c r="O27" s="63"/>
      <c r="P27" s="63"/>
      <c r="Q27" s="63"/>
      <c r="R27" s="63"/>
      <c r="S27" s="109"/>
      <c r="T27" s="109"/>
      <c r="U27" s="120"/>
      <c r="V27" s="109"/>
      <c r="W27" s="109"/>
      <c r="X27" s="109"/>
      <c r="Y27" s="109"/>
      <c r="Z27" s="109"/>
      <c r="AA27" s="109"/>
      <c r="AB27" s="63"/>
    </row>
    <row r="28" spans="1:28" ht="26.25" thickBot="1" x14ac:dyDescent="0.25">
      <c r="A28" s="63"/>
      <c r="B28" s="103" t="s">
        <v>40</v>
      </c>
      <c r="C28" s="95" t="s">
        <v>42</v>
      </c>
      <c r="D28" s="110" t="str">
        <f>IF((EXACT(C28,PH_general!H29)=TRUE),PH_general!$K$11,IF((EXACT(C28,PH_general!H28)=TRUE),PH_general!$K$12,PH_general!$K$13))</f>
        <v>No Need to configure sync Word, default values are available</v>
      </c>
      <c r="E28" s="109"/>
      <c r="F28" s="114">
        <v>43</v>
      </c>
      <c r="G28" s="112" t="str">
        <f>C49</f>
        <v>FF</v>
      </c>
      <c r="H28" s="113" t="str">
        <f t="shared" si="0"/>
        <v>S2 C3FF</v>
      </c>
      <c r="I28" s="65"/>
      <c r="J28" s="65"/>
      <c r="K28" s="65"/>
      <c r="L28" s="63"/>
      <c r="M28" s="65"/>
      <c r="N28" s="63"/>
      <c r="O28" s="63"/>
      <c r="P28" s="63"/>
      <c r="Q28" s="63"/>
      <c r="R28" s="63"/>
      <c r="S28" s="65">
        <v>70</v>
      </c>
      <c r="T28" s="65" t="s">
        <v>275</v>
      </c>
      <c r="U28" s="65" t="s">
        <v>15</v>
      </c>
      <c r="V28" s="65" t="s">
        <v>16</v>
      </c>
      <c r="W28" s="65" t="s">
        <v>3</v>
      </c>
      <c r="X28" s="65" t="s">
        <v>12</v>
      </c>
      <c r="Y28" s="65" t="s">
        <v>17</v>
      </c>
      <c r="Z28" s="65" t="s">
        <v>18</v>
      </c>
      <c r="AA28" s="109"/>
      <c r="AB28" s="63"/>
    </row>
    <row r="29" spans="1:28" ht="16.5" thickBot="1" x14ac:dyDescent="0.3">
      <c r="A29" s="63"/>
      <c r="B29" s="115"/>
      <c r="C29" s="126"/>
      <c r="D29" s="110"/>
      <c r="E29" s="120"/>
      <c r="F29" s="114">
        <v>44</v>
      </c>
      <c r="G29" s="112" t="str">
        <f>C50</f>
        <v>FF</v>
      </c>
      <c r="H29" s="113" t="str">
        <f t="shared" si="0"/>
        <v>S2 C4FF</v>
      </c>
      <c r="I29" s="65"/>
      <c r="J29" s="63"/>
      <c r="K29" s="65"/>
      <c r="L29" s="63"/>
      <c r="M29" s="63"/>
      <c r="N29" s="63"/>
      <c r="O29" s="63"/>
      <c r="P29" s="63"/>
      <c r="Q29" s="63"/>
      <c r="R29" s="63"/>
      <c r="S29" s="65"/>
      <c r="T29" s="121" t="s">
        <v>84</v>
      </c>
      <c r="U29" s="65">
        <f>'Modem Registers Calculations'!I37</f>
        <v>1</v>
      </c>
      <c r="V29" s="65">
        <v>0</v>
      </c>
      <c r="W29" s="125" t="str">
        <f>IF((EXACT(C23,PH_general!$B$10)=TRUE),"1",IF((EXACT(C23,PH_general!$B$9)=TRUE),"0","N/A"))</f>
        <v>1</v>
      </c>
      <c r="X29" s="125" t="str">
        <f>IF((EXACT(C22,PH_general!$B$5)=TRUE),"1",IF((EXACT(C22,PH_general!$B$6)=TRUE),"0","N/A"))</f>
        <v>0</v>
      </c>
      <c r="Y29" s="125">
        <f>'Modem Registers Calculations'!H62</f>
        <v>1</v>
      </c>
      <c r="Z29" s="125" t="str">
        <f>IF((EXACT(C24,PH_general!$G$10)=TRUE),"1",IF((EXACT(C24,PH_general!$G$11)=TRUE),"0","N/A"))</f>
        <v>0</v>
      </c>
      <c r="AA29" s="63"/>
      <c r="AB29" s="63"/>
    </row>
    <row r="30" spans="1:28" ht="39.75" customHeight="1" thickBot="1" x14ac:dyDescent="0.25">
      <c r="A30" s="63"/>
      <c r="B30" s="127" t="str">
        <f>CONCATENATE("Select Preamble Length (in ",IF(EXACT('Modem Registers Calculations'!$C$9,"ON"),"bytes","nibbles")," resolution) -  (Decimal value between 0 to 511)")</f>
        <v>Select Preamble Length (in bytes resolution) -  (Decimal value between 0 to 511)</v>
      </c>
      <c r="C30" s="95">
        <v>4</v>
      </c>
      <c r="D30" s="110" t="str">
        <f>IF(C30&gt;511,PH_general!$K$17,IF((EXACT(C21,"ON")=TRUE),(CONCATENATE(PH_general!$K$16,IF(C30=0,8,C30*8))),IF((EXACT(C21,"OFF")=TRUE),(CONCATENATE(PH_general!$K$15,IF(C30=0,4,C30*4))),"N/A")))</f>
        <v>Manchester is ENABLED, the Actual Number of Preamble bits will be: 32</v>
      </c>
      <c r="E30" s="128" t="str">
        <f>PH_general!K38</f>
        <v>The Recommended Preamble Length is 32 (bits) and if Antenna Diversity is enabled, 64 (bits).</v>
      </c>
      <c r="F30" s="114">
        <v>45</v>
      </c>
      <c r="G30" s="112" t="str">
        <f>C51</f>
        <v>FF</v>
      </c>
      <c r="H30" s="113" t="str">
        <f t="shared" si="0"/>
        <v>S2 C5FF</v>
      </c>
      <c r="I30" s="65"/>
      <c r="J30" s="65"/>
      <c r="K30" s="65"/>
      <c r="L30" s="63"/>
      <c r="M30" s="65"/>
      <c r="N30" s="63"/>
      <c r="O30" s="63"/>
      <c r="P30" s="63"/>
      <c r="Q30" s="63"/>
      <c r="R30" s="63"/>
      <c r="S30" s="109"/>
      <c r="T30" s="109"/>
      <c r="U30" s="109"/>
      <c r="V30" s="109"/>
      <c r="W30" s="109"/>
      <c r="X30" s="109"/>
      <c r="Y30" s="63"/>
      <c r="Z30" s="63"/>
      <c r="AA30" s="63"/>
      <c r="AB30" s="63"/>
    </row>
    <row r="31" spans="1:28" ht="13.5" thickBot="1" x14ac:dyDescent="0.25">
      <c r="A31" s="63"/>
      <c r="B31" s="115"/>
      <c r="C31" s="116"/>
      <c r="D31" s="110"/>
      <c r="E31" s="63"/>
      <c r="F31" s="114">
        <v>46</v>
      </c>
      <c r="G31" s="112" t="str">
        <f>C52</f>
        <v>FF</v>
      </c>
      <c r="H31" s="113" t="str">
        <f t="shared" si="0"/>
        <v>S2 C6FF</v>
      </c>
      <c r="I31" s="65"/>
      <c r="J31" s="65"/>
      <c r="K31" s="65"/>
      <c r="L31" s="63"/>
      <c r="M31" s="65"/>
      <c r="N31" s="63"/>
      <c r="O31" s="63"/>
      <c r="P31" s="63"/>
      <c r="Q31" s="63"/>
      <c r="R31" s="63"/>
      <c r="S31" s="124">
        <v>71</v>
      </c>
      <c r="T31" s="121" t="s">
        <v>275</v>
      </c>
      <c r="U31" s="124" t="s">
        <v>1</v>
      </c>
      <c r="V31" s="124" t="s">
        <v>3</v>
      </c>
      <c r="W31" s="120" t="s">
        <v>12</v>
      </c>
      <c r="X31" s="124" t="s">
        <v>4</v>
      </c>
      <c r="Y31" s="63"/>
      <c r="Z31" s="63"/>
      <c r="AA31" s="63"/>
      <c r="AB31" s="63"/>
    </row>
    <row r="32" spans="1:28" ht="19.5" customHeight="1" thickBot="1" x14ac:dyDescent="0.3">
      <c r="A32" s="63"/>
      <c r="B32" s="103" t="s">
        <v>131</v>
      </c>
      <c r="C32" s="143" t="s">
        <v>447</v>
      </c>
      <c r="D32" s="110"/>
      <c r="E32" s="63"/>
      <c r="F32" s="114">
        <v>70</v>
      </c>
      <c r="G32" s="112" t="str">
        <f>BIN2HEX(CONCATENATE(T29,U29,V29,W29,X29,Y29,Z29),2)</f>
        <v>2A</v>
      </c>
      <c r="H32" s="113" t="str">
        <f t="shared" si="0"/>
        <v>S2 F02A</v>
      </c>
      <c r="I32" s="65"/>
      <c r="J32" s="63"/>
      <c r="K32" s="65"/>
      <c r="L32" s="63"/>
      <c r="M32" s="63"/>
      <c r="N32" s="63"/>
      <c r="O32" s="63"/>
      <c r="P32" s="63"/>
      <c r="Q32" s="63"/>
      <c r="R32" s="63"/>
      <c r="S32" s="124"/>
      <c r="T32" s="129" t="str">
        <f>C44</f>
        <v>00</v>
      </c>
      <c r="U32" s="124" t="s">
        <v>2</v>
      </c>
      <c r="V32" s="125" t="str">
        <f>IF((EXACT(C17,PH_general!$G$10)=TRUE),"1",IF((EXACT(C17,PH_general!$G$11)=TRUE),"0","N/A"))</f>
        <v>1</v>
      </c>
      <c r="W32" s="120">
        <f>IF('Modem Registers Calculations'!$C$46&gt;255,1,0)</f>
        <v>0</v>
      </c>
      <c r="X32" s="125" t="str">
        <f>IF((EXACT(C16,PH_general!G5)=TRUE),"01",IF((EXACT(C16,PH_general!G6)=TRUE),"10",IF((EXACT(C16,PH_general!G7)=TRUE),"11","N/A")))</f>
        <v>10</v>
      </c>
      <c r="Y32" s="63"/>
      <c r="Z32" s="63"/>
      <c r="AA32" s="63"/>
      <c r="AB32" s="63"/>
    </row>
    <row r="33" spans="1:28" ht="18.75" customHeight="1" thickBot="1" x14ac:dyDescent="0.25">
      <c r="A33" s="63"/>
      <c r="B33" s="103" t="s">
        <v>132</v>
      </c>
      <c r="C33" s="143" t="s">
        <v>448</v>
      </c>
      <c r="D33" s="110"/>
      <c r="E33" s="63"/>
      <c r="F33" s="130">
        <v>71</v>
      </c>
      <c r="G33" s="131" t="str">
        <f>BIN2HEX(CONCATENATE(T32,U32,V32,W32,X32),2)</f>
        <v>2A</v>
      </c>
      <c r="H33" s="132" t="str">
        <f t="shared" si="0"/>
        <v>S2 F12A</v>
      </c>
      <c r="I33" s="65"/>
      <c r="J33" s="65"/>
      <c r="K33" s="65"/>
      <c r="L33" s="63"/>
      <c r="M33" s="65"/>
      <c r="N33" s="63"/>
      <c r="O33" s="63"/>
      <c r="P33" s="63"/>
      <c r="Q33" s="63"/>
      <c r="R33" s="63"/>
      <c r="S33" s="63"/>
      <c r="T33" s="63"/>
      <c r="U33" s="63"/>
      <c r="V33" s="63"/>
      <c r="W33" s="63"/>
      <c r="X33" s="63"/>
      <c r="Y33" s="63"/>
      <c r="Z33" s="63"/>
      <c r="AA33" s="63"/>
      <c r="AB33" s="63"/>
    </row>
    <row r="34" spans="1:28" ht="20.25" customHeight="1" thickBot="1" x14ac:dyDescent="0.25">
      <c r="A34" s="63"/>
      <c r="B34" s="103" t="s">
        <v>133</v>
      </c>
      <c r="C34" s="143" t="s">
        <v>84</v>
      </c>
      <c r="D34" s="110"/>
      <c r="E34" s="63"/>
      <c r="F34" s="63"/>
      <c r="G34" s="63"/>
      <c r="H34" s="63"/>
      <c r="I34" s="65"/>
      <c r="J34" s="65"/>
      <c r="K34" s="65"/>
      <c r="L34" s="63"/>
      <c r="M34" s="65"/>
      <c r="N34" s="63"/>
      <c r="O34" s="63"/>
      <c r="P34" s="63"/>
      <c r="Q34" s="63"/>
      <c r="R34" s="63"/>
      <c r="S34" s="63"/>
      <c r="T34" s="63"/>
      <c r="U34" s="63"/>
      <c r="V34" s="63"/>
      <c r="W34" s="63"/>
      <c r="X34" s="63"/>
      <c r="Y34" s="63"/>
      <c r="Z34" s="63"/>
      <c r="AA34" s="63"/>
      <c r="AB34" s="63"/>
    </row>
    <row r="35" spans="1:28" ht="21" customHeight="1" thickBot="1" x14ac:dyDescent="0.25">
      <c r="A35" s="63"/>
      <c r="B35" s="103" t="s">
        <v>134</v>
      </c>
      <c r="C35" s="143" t="s">
        <v>84</v>
      </c>
      <c r="D35" s="110"/>
      <c r="E35" s="63"/>
      <c r="F35" s="133"/>
      <c r="G35" s="133"/>
      <c r="H35" s="63"/>
      <c r="I35" s="65"/>
      <c r="J35" s="63"/>
      <c r="K35" s="65"/>
      <c r="L35" s="63"/>
      <c r="M35" s="63"/>
      <c r="N35" s="63"/>
      <c r="O35" s="63"/>
      <c r="P35" s="63"/>
      <c r="Q35" s="63"/>
      <c r="R35" s="63"/>
      <c r="S35" s="63"/>
      <c r="T35" s="63"/>
      <c r="U35" s="63"/>
      <c r="V35" s="63"/>
      <c r="W35" s="63"/>
      <c r="X35" s="63"/>
      <c r="Y35" s="63"/>
      <c r="Z35" s="63"/>
      <c r="AA35" s="63"/>
      <c r="AB35" s="63"/>
    </row>
    <row r="36" spans="1:28" ht="13.5" thickBot="1" x14ac:dyDescent="0.25">
      <c r="A36" s="63"/>
      <c r="B36" s="115"/>
      <c r="C36" s="116"/>
      <c r="D36" s="110"/>
      <c r="E36" s="63"/>
      <c r="F36" s="133"/>
      <c r="G36" s="133"/>
      <c r="H36" s="63"/>
      <c r="I36" s="65"/>
      <c r="J36" s="65"/>
      <c r="K36" s="65"/>
      <c r="L36" s="63"/>
      <c r="M36" s="65"/>
      <c r="N36" s="63"/>
      <c r="O36" s="63"/>
      <c r="P36" s="63"/>
      <c r="Q36" s="63"/>
      <c r="R36" s="63"/>
      <c r="S36" s="63"/>
      <c r="T36" s="63"/>
      <c r="U36" s="63"/>
      <c r="V36" s="63"/>
      <c r="W36" s="63"/>
      <c r="X36" s="63"/>
      <c r="Y36" s="63"/>
      <c r="Z36" s="63"/>
      <c r="AA36" s="63"/>
      <c r="AB36" s="63"/>
    </row>
    <row r="37" spans="1:28" ht="31.5" customHeight="1" thickBot="1" x14ac:dyDescent="0.25">
      <c r="A37" s="63"/>
      <c r="B37" s="127" t="s">
        <v>127</v>
      </c>
      <c r="C37" s="144">
        <v>1</v>
      </c>
      <c r="D37" s="110" t="str">
        <f>IF(C37=0,PH_general!$K$40,CONCATENATE(PH_general!$K$41,C37,PH_general!$K$42))</f>
        <v>The DATA field in the packet will be  1  bytes long</v>
      </c>
      <c r="E37" s="63"/>
      <c r="F37" s="65"/>
      <c r="G37" s="63"/>
      <c r="H37" s="63"/>
      <c r="I37" s="65"/>
      <c r="J37" s="65"/>
      <c r="K37" s="65"/>
      <c r="L37" s="63"/>
      <c r="M37" s="65"/>
      <c r="N37" s="63"/>
      <c r="O37" s="63"/>
      <c r="P37" s="63"/>
      <c r="Q37" s="63"/>
      <c r="R37" s="63"/>
      <c r="S37" s="63"/>
      <c r="T37" s="63"/>
      <c r="U37" s="63"/>
      <c r="V37" s="63"/>
      <c r="W37" s="63"/>
      <c r="X37" s="63"/>
      <c r="Y37" s="63"/>
      <c r="Z37" s="63"/>
      <c r="AA37" s="63"/>
      <c r="AB37" s="63"/>
    </row>
    <row r="38" spans="1:28" ht="13.5" thickBot="1" x14ac:dyDescent="0.25">
      <c r="A38" s="63"/>
      <c r="B38" s="115"/>
      <c r="C38" s="63"/>
      <c r="D38" s="134"/>
      <c r="E38" s="63"/>
      <c r="F38" s="63"/>
      <c r="G38" s="63"/>
      <c r="H38" s="63"/>
      <c r="I38" s="65"/>
      <c r="J38" s="63"/>
      <c r="K38" s="65"/>
      <c r="L38" s="63"/>
      <c r="M38" s="63"/>
      <c r="N38" s="63"/>
      <c r="O38" s="63"/>
      <c r="P38" s="63"/>
      <c r="Q38" s="63"/>
      <c r="R38" s="63"/>
      <c r="S38" s="63"/>
      <c r="T38" s="63"/>
      <c r="U38" s="63"/>
      <c r="V38" s="63"/>
      <c r="W38" s="63"/>
      <c r="X38" s="63"/>
      <c r="Y38" s="63"/>
      <c r="Z38" s="63"/>
      <c r="AA38" s="63"/>
      <c r="AB38" s="63"/>
    </row>
    <row r="39" spans="1:28" ht="21" customHeight="1" thickBot="1" x14ac:dyDescent="0.25">
      <c r="A39" s="63"/>
      <c r="B39" s="103" t="s">
        <v>135</v>
      </c>
      <c r="C39" s="143" t="s">
        <v>84</v>
      </c>
      <c r="D39" s="485" t="str">
        <f>IF((EXACT(C26,PH_general!$E$26)=TRUE),PH_general!$K$23,IF((EXACT(C26,PH_general!$E$27)=TRUE),PH_general!$K$24,IF((EXACT(C26,PH_general!$E$28)=TRUE),PH_general!$K$25,IF((EXACT(C26,PH_general!$E$29)=TRUE),PH_general!$K$26,IF((EXACT(C26,PH_general!$E$30)=TRUE),PH_general!$K$27,PH_general!$K$28)))))</f>
        <v>Since Header Length is null, no need to configure header(s) value(s)</v>
      </c>
      <c r="E39" s="486" t="str">
        <f>IF(C26=PH_general!$E$26,"",PH_general!$K$44)</f>
        <v/>
      </c>
      <c r="F39" s="65"/>
      <c r="G39" s="63"/>
      <c r="H39" s="63"/>
      <c r="I39" s="65"/>
      <c r="J39" s="65"/>
      <c r="K39" s="65"/>
      <c r="L39" s="63"/>
      <c r="M39" s="63"/>
      <c r="N39" s="63"/>
      <c r="O39" s="63"/>
      <c r="P39" s="63"/>
      <c r="Q39" s="63"/>
      <c r="R39" s="63"/>
      <c r="S39" s="63"/>
      <c r="T39" s="63"/>
      <c r="U39" s="63"/>
      <c r="V39" s="63"/>
      <c r="W39" s="63"/>
      <c r="X39" s="63"/>
      <c r="Y39" s="63"/>
      <c r="Z39" s="63"/>
      <c r="AA39" s="63"/>
      <c r="AB39" s="63"/>
    </row>
    <row r="40" spans="1:28" ht="18.75" customHeight="1" thickBot="1" x14ac:dyDescent="0.25">
      <c r="A40" s="63"/>
      <c r="B40" s="103" t="s">
        <v>128</v>
      </c>
      <c r="C40" s="143" t="s">
        <v>84</v>
      </c>
      <c r="D40" s="485"/>
      <c r="E40" s="486"/>
      <c r="F40" s="63"/>
      <c r="G40" s="63"/>
      <c r="H40" s="63"/>
      <c r="I40" s="65"/>
      <c r="J40" s="65"/>
      <c r="K40" s="65"/>
      <c r="L40" s="63"/>
      <c r="M40" s="65"/>
      <c r="N40" s="63"/>
      <c r="O40" s="63"/>
      <c r="P40" s="63"/>
      <c r="Q40" s="63"/>
      <c r="R40" s="63"/>
      <c r="S40" s="63"/>
      <c r="T40" s="63"/>
      <c r="U40" s="63"/>
      <c r="V40" s="63"/>
      <c r="W40" s="63"/>
      <c r="X40" s="63"/>
      <c r="Y40" s="63"/>
      <c r="Z40" s="63"/>
      <c r="AA40" s="63"/>
      <c r="AB40" s="63"/>
    </row>
    <row r="41" spans="1:28" ht="20.25" customHeight="1" thickBot="1" x14ac:dyDescent="0.25">
      <c r="A41" s="63"/>
      <c r="B41" s="103" t="s">
        <v>129</v>
      </c>
      <c r="C41" s="143" t="s">
        <v>84</v>
      </c>
      <c r="D41" s="485"/>
      <c r="E41" s="486"/>
      <c r="F41" s="63"/>
      <c r="G41" s="63"/>
      <c r="H41" s="63"/>
      <c r="I41" s="63"/>
      <c r="J41" s="63"/>
      <c r="K41" s="63"/>
      <c r="L41" s="63"/>
      <c r="M41" s="63"/>
      <c r="N41" s="63"/>
      <c r="O41" s="63"/>
      <c r="P41" s="63"/>
      <c r="Q41" s="63"/>
      <c r="R41" s="63"/>
      <c r="S41" s="63"/>
      <c r="T41" s="63"/>
      <c r="U41" s="63"/>
      <c r="V41" s="63"/>
      <c r="W41" s="63"/>
      <c r="X41" s="63"/>
      <c r="Y41" s="63"/>
      <c r="Z41" s="63"/>
      <c r="AA41" s="63"/>
      <c r="AB41" s="63"/>
    </row>
    <row r="42" spans="1:28" ht="22.5" customHeight="1" thickBot="1" x14ac:dyDescent="0.25">
      <c r="A42" s="63"/>
      <c r="B42" s="103" t="s">
        <v>130</v>
      </c>
      <c r="C42" s="143" t="s">
        <v>84</v>
      </c>
      <c r="D42" s="485"/>
      <c r="E42" s="486"/>
      <c r="F42" s="65"/>
      <c r="G42" s="63"/>
      <c r="H42" s="63"/>
      <c r="I42" s="63"/>
      <c r="J42" s="63"/>
      <c r="K42" s="63"/>
      <c r="L42" s="63"/>
      <c r="M42" s="65"/>
      <c r="N42" s="63"/>
      <c r="O42" s="63"/>
      <c r="P42" s="63"/>
      <c r="Q42" s="63"/>
      <c r="R42" s="63"/>
      <c r="S42" s="63"/>
      <c r="T42" s="63"/>
      <c r="U42" s="63"/>
      <c r="V42" s="63"/>
      <c r="W42" s="63"/>
      <c r="X42" s="63"/>
      <c r="Y42" s="63"/>
      <c r="Z42" s="63"/>
      <c r="AA42" s="63"/>
      <c r="AB42" s="63"/>
    </row>
    <row r="43" spans="1:28" ht="13.5" thickBot="1" x14ac:dyDescent="0.25">
      <c r="A43" s="63"/>
      <c r="B43" s="63"/>
      <c r="C43" s="116"/>
      <c r="D43" s="110"/>
      <c r="E43" s="63"/>
      <c r="F43" s="65"/>
      <c r="G43" s="63"/>
      <c r="H43" s="63"/>
      <c r="I43" s="65"/>
      <c r="J43" s="65"/>
      <c r="K43" s="63"/>
      <c r="L43" s="63"/>
      <c r="M43" s="65"/>
      <c r="N43" s="63"/>
      <c r="O43" s="63"/>
      <c r="P43" s="63"/>
      <c r="Q43" s="63"/>
      <c r="R43" s="63"/>
      <c r="S43" s="63"/>
      <c r="T43" s="63"/>
      <c r="U43" s="63"/>
      <c r="V43" s="63"/>
      <c r="W43" s="63"/>
      <c r="X43" s="63"/>
      <c r="Y43" s="63"/>
      <c r="Z43" s="63"/>
      <c r="AA43" s="63"/>
      <c r="AB43" s="63"/>
    </row>
    <row r="44" spans="1:28" ht="38.25" customHeight="1" thickBot="1" x14ac:dyDescent="0.25">
      <c r="A44" s="63"/>
      <c r="B44" s="135" t="s">
        <v>151</v>
      </c>
      <c r="C44" s="144" t="s">
        <v>84</v>
      </c>
      <c r="D44" s="110" t="str">
        <f>IF(C44=PH_general!$G$68,PH_general!$K$68,IF(C44=PH_general!$G$69,PH_general!$K$69,IF(C44=PH_general!$G$70,PH_general!$K$70,IF(C44=PH_general!$G$71,PH_general!$K$71,"N/A"))))</f>
        <v>No TX Data CLK is available outside the chip</v>
      </c>
      <c r="E44" s="63"/>
      <c r="F44" s="63"/>
      <c r="G44" s="63"/>
      <c r="H44" s="63"/>
      <c r="I44" s="65"/>
      <c r="J44" s="63"/>
      <c r="K44" s="63"/>
      <c r="L44" s="63"/>
      <c r="M44" s="63"/>
      <c r="N44" s="63"/>
      <c r="O44" s="63"/>
      <c r="P44" s="63"/>
      <c r="Q44" s="63"/>
      <c r="R44" s="63"/>
      <c r="S44" s="63"/>
      <c r="T44" s="63"/>
      <c r="U44" s="63"/>
      <c r="V44" s="63"/>
      <c r="W44" s="63"/>
      <c r="X44" s="63"/>
      <c r="Y44" s="63"/>
      <c r="Z44" s="63"/>
      <c r="AA44" s="63"/>
      <c r="AB44" s="63"/>
    </row>
    <row r="45" spans="1:28" x14ac:dyDescent="0.2">
      <c r="A45" s="63"/>
      <c r="B45" s="63"/>
      <c r="C45" s="116"/>
      <c r="D45" s="110"/>
      <c r="E45" s="63"/>
      <c r="F45" s="63"/>
      <c r="G45" s="63"/>
      <c r="H45" s="63"/>
      <c r="I45" s="65"/>
      <c r="J45" s="65"/>
      <c r="K45" s="63"/>
      <c r="L45" s="63"/>
      <c r="M45" s="63"/>
      <c r="N45" s="63"/>
      <c r="O45" s="63"/>
      <c r="P45" s="63"/>
      <c r="Q45" s="63"/>
      <c r="R45" s="63"/>
      <c r="S45" s="63"/>
      <c r="T45" s="63"/>
      <c r="U45" s="63"/>
      <c r="V45" s="63"/>
      <c r="W45" s="63"/>
      <c r="X45" s="63"/>
      <c r="Y45" s="63"/>
      <c r="Z45" s="63"/>
      <c r="AA45" s="63"/>
      <c r="AB45" s="63"/>
    </row>
    <row r="46" spans="1:28" x14ac:dyDescent="0.2">
      <c r="A46" s="63"/>
      <c r="B46" s="63"/>
      <c r="C46" s="116"/>
      <c r="D46" s="110"/>
      <c r="E46" s="63"/>
      <c r="F46" s="65"/>
      <c r="G46" s="63"/>
      <c r="H46" s="63"/>
      <c r="I46" s="65"/>
      <c r="J46" s="65"/>
      <c r="K46" s="63"/>
      <c r="L46" s="63"/>
      <c r="M46" s="63"/>
      <c r="N46" s="63"/>
      <c r="O46" s="63"/>
      <c r="P46" s="63"/>
      <c r="Q46" s="63"/>
      <c r="R46" s="63"/>
      <c r="S46" s="63"/>
      <c r="T46" s="63"/>
      <c r="U46" s="63"/>
      <c r="V46" s="63"/>
      <c r="W46" s="63"/>
      <c r="X46" s="63"/>
      <c r="Y46" s="63"/>
      <c r="Z46" s="63"/>
      <c r="AA46" s="63"/>
      <c r="AB46" s="63"/>
    </row>
    <row r="47" spans="1:28" ht="20.25" x14ac:dyDescent="0.25">
      <c r="A47" s="63"/>
      <c r="B47" s="136" t="s">
        <v>114</v>
      </c>
      <c r="C47" s="101" t="s">
        <v>304</v>
      </c>
      <c r="D47" s="102" t="s">
        <v>46</v>
      </c>
      <c r="E47" s="102" t="s">
        <v>142</v>
      </c>
      <c r="F47" s="65"/>
      <c r="G47" s="63"/>
      <c r="H47" s="63"/>
      <c r="I47" s="65"/>
      <c r="J47" s="63"/>
      <c r="K47" s="63"/>
      <c r="L47" s="63"/>
      <c r="M47" s="63"/>
      <c r="N47" s="63"/>
      <c r="O47" s="63"/>
      <c r="P47" s="63"/>
      <c r="Q47" s="63"/>
      <c r="R47" s="63"/>
      <c r="S47" s="63"/>
      <c r="T47" s="63"/>
      <c r="U47" s="63"/>
      <c r="V47" s="63"/>
      <c r="W47" s="63"/>
      <c r="X47" s="63"/>
      <c r="Y47" s="63"/>
      <c r="Z47" s="63"/>
      <c r="AA47" s="63"/>
      <c r="AB47" s="63"/>
    </row>
    <row r="48" spans="1:28" ht="13.5" thickBot="1" x14ac:dyDescent="0.25">
      <c r="A48" s="63"/>
      <c r="B48" s="63"/>
      <c r="C48" s="116"/>
      <c r="D48" s="110"/>
      <c r="E48" s="63"/>
      <c r="F48" s="63"/>
      <c r="G48" s="63"/>
      <c r="H48" s="63"/>
      <c r="I48" s="65"/>
      <c r="J48" s="65"/>
      <c r="K48" s="63"/>
      <c r="L48" s="63"/>
      <c r="M48" s="63"/>
      <c r="N48" s="63"/>
      <c r="O48" s="63"/>
      <c r="P48" s="63"/>
      <c r="Q48" s="63"/>
      <c r="R48" s="63"/>
      <c r="S48" s="63"/>
      <c r="T48" s="63"/>
      <c r="U48" s="63"/>
      <c r="V48" s="63"/>
      <c r="W48" s="63"/>
      <c r="X48" s="63"/>
      <c r="Y48" s="63"/>
      <c r="Z48" s="63"/>
      <c r="AA48" s="63"/>
      <c r="AB48" s="63"/>
    </row>
    <row r="49" spans="1:28" ht="33" customHeight="1" thickBot="1" x14ac:dyDescent="0.25">
      <c r="A49" s="63"/>
      <c r="B49" s="137" t="s">
        <v>136</v>
      </c>
      <c r="C49" s="143" t="s">
        <v>239</v>
      </c>
      <c r="D49" s="487" t="s">
        <v>140</v>
      </c>
      <c r="E49" s="63"/>
      <c r="F49" s="65"/>
      <c r="G49" s="63"/>
      <c r="H49" s="63"/>
      <c r="I49" s="65"/>
      <c r="J49" s="65"/>
      <c r="K49" s="63"/>
      <c r="L49" s="63"/>
      <c r="M49" s="63"/>
      <c r="N49" s="63"/>
      <c r="O49" s="63"/>
      <c r="P49" s="63"/>
      <c r="Q49" s="63"/>
      <c r="R49" s="63"/>
      <c r="S49" s="63"/>
      <c r="T49" s="63"/>
      <c r="U49" s="63"/>
      <c r="V49" s="63"/>
      <c r="W49" s="63"/>
      <c r="X49" s="63"/>
      <c r="Y49" s="63"/>
      <c r="Z49" s="63"/>
      <c r="AA49" s="63"/>
      <c r="AB49" s="63"/>
    </row>
    <row r="50" spans="1:28" ht="35.25" customHeight="1" thickBot="1" x14ac:dyDescent="0.25">
      <c r="A50" s="63"/>
      <c r="B50" s="137" t="s">
        <v>137</v>
      </c>
      <c r="C50" s="143" t="s">
        <v>239</v>
      </c>
      <c r="D50" s="487"/>
      <c r="E50" s="63"/>
      <c r="F50" s="65"/>
      <c r="G50" s="63"/>
      <c r="H50" s="63"/>
      <c r="I50" s="65"/>
      <c r="J50" s="63"/>
      <c r="K50" s="63"/>
      <c r="L50" s="63"/>
      <c r="M50" s="63"/>
      <c r="N50" s="63"/>
      <c r="O50" s="63"/>
      <c r="P50" s="63"/>
      <c r="Q50" s="63"/>
      <c r="R50" s="63"/>
      <c r="S50" s="63"/>
      <c r="T50" s="63"/>
      <c r="U50" s="63"/>
      <c r="V50" s="63"/>
      <c r="W50" s="63"/>
      <c r="X50" s="63"/>
      <c r="Y50" s="63"/>
      <c r="Z50" s="63"/>
      <c r="AA50" s="63"/>
      <c r="AB50" s="63"/>
    </row>
    <row r="51" spans="1:28" ht="30" customHeight="1" thickBot="1" x14ac:dyDescent="0.25">
      <c r="A51" s="63"/>
      <c r="B51" s="137" t="s">
        <v>138</v>
      </c>
      <c r="C51" s="143" t="s">
        <v>239</v>
      </c>
      <c r="D51" s="487"/>
      <c r="E51" s="63"/>
      <c r="F51" s="63"/>
      <c r="G51" s="63"/>
      <c r="H51" s="63"/>
      <c r="I51" s="63"/>
      <c r="J51" s="63"/>
      <c r="K51" s="63"/>
      <c r="L51" s="63"/>
      <c r="M51" s="63"/>
      <c r="N51" s="63"/>
      <c r="O51" s="63"/>
      <c r="P51" s="63"/>
      <c r="Q51" s="63"/>
      <c r="R51" s="63"/>
      <c r="S51" s="63"/>
      <c r="T51" s="63"/>
      <c r="U51" s="63"/>
      <c r="V51" s="63"/>
      <c r="W51" s="63"/>
      <c r="X51" s="63"/>
      <c r="Y51" s="63"/>
      <c r="Z51" s="63"/>
      <c r="AA51" s="63"/>
      <c r="AB51" s="63"/>
    </row>
    <row r="52" spans="1:28" ht="30.75" customHeight="1" thickBot="1" x14ac:dyDescent="0.25">
      <c r="A52" s="63"/>
      <c r="B52" s="138" t="s">
        <v>139</v>
      </c>
      <c r="C52" s="143" t="s">
        <v>239</v>
      </c>
      <c r="D52" s="487"/>
      <c r="E52" s="63"/>
      <c r="F52" s="63"/>
      <c r="G52" s="63"/>
      <c r="H52" s="63"/>
      <c r="I52" s="63"/>
      <c r="J52" s="63"/>
      <c r="K52" s="63"/>
      <c r="L52" s="63"/>
      <c r="M52" s="63"/>
      <c r="N52" s="63"/>
      <c r="O52" s="63"/>
      <c r="P52" s="63"/>
      <c r="Q52" s="63"/>
      <c r="R52" s="63"/>
      <c r="S52" s="63"/>
      <c r="T52" s="63"/>
      <c r="U52" s="63"/>
      <c r="V52" s="63"/>
      <c r="W52" s="63"/>
      <c r="X52" s="63"/>
      <c r="Y52" s="63"/>
      <c r="Z52" s="63"/>
      <c r="AA52" s="63"/>
      <c r="AB52" s="63"/>
    </row>
    <row r="53" spans="1:28" x14ac:dyDescent="0.2">
      <c r="A53" s="63"/>
      <c r="B53" s="97"/>
      <c r="C53" s="63"/>
      <c r="D53" s="134"/>
      <c r="E53" s="63"/>
      <c r="F53" s="63"/>
      <c r="G53" s="63"/>
      <c r="H53" s="63"/>
      <c r="I53" s="63"/>
      <c r="J53" s="63"/>
      <c r="K53" s="63"/>
      <c r="L53" s="63"/>
      <c r="M53" s="63"/>
      <c r="N53" s="63"/>
      <c r="O53" s="63"/>
      <c r="P53" s="63"/>
      <c r="Q53" s="63"/>
      <c r="R53" s="63"/>
      <c r="S53" s="63"/>
      <c r="T53" s="63"/>
      <c r="U53" s="63"/>
      <c r="V53" s="63"/>
      <c r="W53" s="63"/>
      <c r="X53" s="63"/>
      <c r="Y53" s="63"/>
      <c r="Z53" s="63"/>
      <c r="AA53" s="63"/>
      <c r="AB53" s="63"/>
    </row>
    <row r="54" spans="1:28" ht="13.5" thickBot="1" x14ac:dyDescent="0.25">
      <c r="A54" s="63"/>
      <c r="B54" s="97"/>
      <c r="C54" s="116"/>
      <c r="D54" s="110"/>
      <c r="E54" s="63"/>
      <c r="F54" s="63"/>
      <c r="G54" s="63"/>
      <c r="H54" s="63"/>
      <c r="I54" s="63"/>
      <c r="J54" s="63"/>
      <c r="K54" s="63"/>
      <c r="L54" s="63"/>
      <c r="M54" s="63"/>
      <c r="N54" s="63"/>
      <c r="O54" s="63"/>
      <c r="P54" s="63"/>
      <c r="Q54" s="63"/>
      <c r="R54" s="63"/>
      <c r="S54" s="63"/>
      <c r="T54" s="63"/>
      <c r="U54" s="63"/>
      <c r="V54" s="63"/>
      <c r="W54" s="63"/>
      <c r="X54" s="63"/>
      <c r="Y54" s="63"/>
      <c r="Z54" s="63"/>
      <c r="AA54" s="63"/>
      <c r="AB54" s="63"/>
    </row>
    <row r="55" spans="1:28" ht="28.5" customHeight="1" thickBot="1" x14ac:dyDescent="0.25">
      <c r="A55" s="63"/>
      <c r="B55" s="103" t="s">
        <v>96</v>
      </c>
      <c r="C55" s="95" t="s">
        <v>24</v>
      </c>
      <c r="D55" s="110" t="str">
        <f>IF(C55=PH_general!$E$18,"",PH_general!$K$46)</f>
        <v/>
      </c>
      <c r="E55" s="63"/>
      <c r="F55" s="65"/>
      <c r="G55" s="63"/>
      <c r="H55" s="63"/>
      <c r="I55" s="63"/>
      <c r="J55" s="63"/>
      <c r="K55" s="63"/>
      <c r="L55" s="63"/>
      <c r="M55" s="63"/>
      <c r="N55" s="63"/>
      <c r="O55" s="63"/>
      <c r="P55" s="63"/>
      <c r="Q55" s="63"/>
      <c r="R55" s="63"/>
      <c r="S55" s="63"/>
      <c r="T55" s="63"/>
      <c r="U55" s="63"/>
      <c r="V55" s="63"/>
      <c r="W55" s="63"/>
      <c r="X55" s="63"/>
      <c r="Y55" s="63"/>
      <c r="Z55" s="63"/>
      <c r="AA55" s="63"/>
      <c r="AB55" s="63"/>
    </row>
    <row r="56" spans="1:28" ht="30" customHeight="1" thickBot="1" x14ac:dyDescent="0.25">
      <c r="A56" s="63"/>
      <c r="B56" s="103" t="s">
        <v>97</v>
      </c>
      <c r="C56" s="95" t="s">
        <v>24</v>
      </c>
      <c r="D56" s="110" t="str">
        <f>IF(C56=PH_general!$E$18,"",PH_general!$K$46)</f>
        <v/>
      </c>
      <c r="E56" s="63"/>
      <c r="F56" s="65"/>
      <c r="G56" s="63"/>
      <c r="H56" s="63"/>
      <c r="I56" s="63"/>
      <c r="J56" s="63"/>
      <c r="K56" s="63"/>
      <c r="L56" s="63"/>
      <c r="M56" s="63"/>
      <c r="N56" s="63"/>
      <c r="O56" s="63"/>
      <c r="P56" s="63"/>
      <c r="Q56" s="63"/>
      <c r="R56" s="63"/>
      <c r="S56" s="63"/>
      <c r="T56" s="63"/>
      <c r="U56" s="63"/>
      <c r="V56" s="63"/>
      <c r="W56" s="63"/>
      <c r="X56" s="63"/>
      <c r="Y56" s="63"/>
      <c r="Z56" s="63"/>
      <c r="AA56" s="63"/>
      <c r="AB56" s="63"/>
    </row>
    <row r="57" spans="1:28" ht="28.5" customHeight="1" thickBot="1" x14ac:dyDescent="0.25">
      <c r="A57" s="63"/>
      <c r="B57" s="103" t="s">
        <v>98</v>
      </c>
      <c r="C57" s="95" t="s">
        <v>24</v>
      </c>
      <c r="D57" s="110" t="str">
        <f>IF(C57=PH_general!$E$18,"",PH_general!$K$46)</f>
        <v/>
      </c>
      <c r="E57" s="63"/>
      <c r="F57" s="63"/>
      <c r="G57" s="63"/>
      <c r="H57" s="63"/>
      <c r="I57" s="63"/>
      <c r="J57" s="63"/>
      <c r="K57" s="63"/>
      <c r="L57" s="63"/>
      <c r="M57" s="63"/>
      <c r="N57" s="63"/>
      <c r="O57" s="63"/>
      <c r="P57" s="63"/>
      <c r="Q57" s="63"/>
      <c r="R57" s="63"/>
      <c r="S57" s="63"/>
      <c r="T57" s="63"/>
      <c r="U57" s="63"/>
      <c r="V57" s="63"/>
      <c r="W57" s="63"/>
      <c r="X57" s="63"/>
      <c r="Y57" s="63"/>
      <c r="Z57" s="63"/>
      <c r="AA57" s="63"/>
      <c r="AB57" s="63"/>
    </row>
    <row r="58" spans="1:28" ht="28.5" customHeight="1" thickBot="1" x14ac:dyDescent="0.25">
      <c r="A58" s="63"/>
      <c r="B58" s="139" t="s">
        <v>99</v>
      </c>
      <c r="C58" s="95" t="s">
        <v>24</v>
      </c>
      <c r="D58" s="110" t="str">
        <f>IF(C58=PH_general!$E$18,"",PH_general!$K$46)</f>
        <v/>
      </c>
      <c r="E58" s="63"/>
      <c r="F58" s="65"/>
      <c r="G58" s="63"/>
      <c r="H58" s="63"/>
      <c r="I58" s="63"/>
      <c r="J58" s="63"/>
      <c r="K58" s="63"/>
      <c r="L58" s="63"/>
      <c r="M58" s="63"/>
      <c r="N58" s="63"/>
      <c r="O58" s="63"/>
      <c r="P58" s="63"/>
      <c r="Q58" s="63"/>
      <c r="R58" s="63"/>
      <c r="S58" s="63"/>
      <c r="T58" s="63"/>
      <c r="U58" s="63"/>
      <c r="V58" s="63"/>
      <c r="W58" s="63"/>
      <c r="X58" s="63"/>
      <c r="Y58" s="63"/>
      <c r="Z58" s="63"/>
      <c r="AA58" s="63"/>
      <c r="AB58" s="63"/>
    </row>
    <row r="59" spans="1:28" x14ac:dyDescent="0.2">
      <c r="A59" s="63"/>
      <c r="B59" s="97"/>
      <c r="C59" s="116"/>
      <c r="D59" s="110"/>
      <c r="E59" s="63"/>
      <c r="F59" s="65"/>
      <c r="G59" s="63"/>
      <c r="H59" s="63"/>
      <c r="I59" s="63"/>
      <c r="J59" s="63"/>
      <c r="K59" s="63"/>
      <c r="L59" s="63"/>
      <c r="M59" s="63"/>
      <c r="N59" s="63"/>
      <c r="O59" s="63"/>
      <c r="P59" s="63"/>
      <c r="Q59" s="63"/>
      <c r="R59" s="63"/>
      <c r="S59" s="63"/>
      <c r="T59" s="63"/>
      <c r="U59" s="63"/>
      <c r="V59" s="63"/>
      <c r="W59" s="63"/>
      <c r="X59" s="63"/>
      <c r="Y59" s="63"/>
      <c r="Z59" s="63"/>
      <c r="AA59" s="63"/>
      <c r="AB59" s="63"/>
    </row>
    <row r="60" spans="1:28" ht="13.5" thickBot="1" x14ac:dyDescent="0.25">
      <c r="A60" s="63"/>
      <c r="B60" s="97"/>
      <c r="C60" s="116"/>
      <c r="D60" s="110"/>
      <c r="E60" s="63"/>
      <c r="F60" s="63"/>
      <c r="G60" s="63"/>
      <c r="H60" s="63"/>
      <c r="I60" s="63"/>
      <c r="J60" s="63"/>
      <c r="K60" s="63"/>
      <c r="L60" s="63"/>
      <c r="M60" s="63"/>
      <c r="N60" s="63"/>
      <c r="O60" s="63"/>
      <c r="P60" s="63"/>
      <c r="Q60" s="63"/>
      <c r="R60" s="63"/>
      <c r="S60" s="63"/>
      <c r="T60" s="63"/>
      <c r="U60" s="63"/>
      <c r="V60" s="63"/>
      <c r="W60" s="63"/>
      <c r="X60" s="63"/>
      <c r="Y60" s="63"/>
      <c r="Z60" s="63"/>
      <c r="AA60" s="63"/>
      <c r="AB60" s="63"/>
    </row>
    <row r="61" spans="1:28" ht="25.5" customHeight="1" thickBot="1" x14ac:dyDescent="0.25">
      <c r="A61" s="63"/>
      <c r="B61" s="103" t="s">
        <v>100</v>
      </c>
      <c r="C61" s="95" t="s">
        <v>24</v>
      </c>
      <c r="D61" s="110" t="str">
        <f>IF(C61=PH_general!$E$18,"",PH_general!$K$48)</f>
        <v/>
      </c>
      <c r="E61" s="63"/>
      <c r="F61" s="63"/>
      <c r="G61" s="63"/>
      <c r="H61" s="63"/>
      <c r="I61" s="63"/>
      <c r="J61" s="63"/>
      <c r="K61" s="63"/>
      <c r="L61" s="63"/>
      <c r="M61" s="63"/>
      <c r="N61" s="63"/>
      <c r="O61" s="63"/>
      <c r="P61" s="63"/>
      <c r="Q61" s="63"/>
      <c r="R61" s="63"/>
      <c r="S61" s="63"/>
      <c r="T61" s="63"/>
      <c r="U61" s="63"/>
      <c r="V61" s="63"/>
      <c r="W61" s="63"/>
      <c r="X61" s="63"/>
      <c r="Y61" s="63"/>
      <c r="Z61" s="63"/>
      <c r="AA61" s="63"/>
      <c r="AB61" s="63"/>
    </row>
    <row r="62" spans="1:28" ht="29.25" customHeight="1" thickBot="1" x14ac:dyDescent="0.25">
      <c r="A62" s="63"/>
      <c r="B62" s="140" t="s">
        <v>101</v>
      </c>
      <c r="C62" s="95" t="s">
        <v>24</v>
      </c>
      <c r="D62" s="110" t="str">
        <f>IF(C62=PH_general!$E$18,"",PH_general!$K$49)</f>
        <v/>
      </c>
      <c r="E62" s="63"/>
      <c r="F62" s="63"/>
      <c r="G62" s="63"/>
      <c r="H62" s="63"/>
      <c r="I62" s="63"/>
      <c r="J62" s="63"/>
      <c r="K62" s="63"/>
      <c r="L62" s="63"/>
      <c r="M62" s="63"/>
      <c r="N62" s="63"/>
      <c r="O62" s="63"/>
      <c r="P62" s="63"/>
      <c r="Q62" s="63"/>
      <c r="R62" s="63"/>
      <c r="S62" s="63"/>
      <c r="T62" s="63"/>
      <c r="U62" s="63"/>
      <c r="V62" s="63"/>
      <c r="W62" s="63"/>
      <c r="X62" s="63"/>
      <c r="Y62" s="63"/>
      <c r="Z62" s="63"/>
      <c r="AA62" s="63"/>
      <c r="AB62" s="63"/>
    </row>
    <row r="63" spans="1:28" ht="28.5" customHeight="1" thickBot="1" x14ac:dyDescent="0.25">
      <c r="A63" s="63"/>
      <c r="B63" s="103" t="s">
        <v>102</v>
      </c>
      <c r="C63" s="95" t="s">
        <v>24</v>
      </c>
      <c r="D63" s="110" t="str">
        <f>IF(C63=PH_general!$E$18,"",PH_general!$K$50)</f>
        <v/>
      </c>
      <c r="E63" s="63"/>
      <c r="F63" s="63"/>
      <c r="G63" s="63"/>
      <c r="H63" s="63"/>
      <c r="I63" s="63"/>
      <c r="J63" s="63"/>
      <c r="K63" s="63"/>
      <c r="L63" s="63"/>
      <c r="M63" s="63"/>
      <c r="N63" s="63"/>
      <c r="O63" s="63"/>
      <c r="P63" s="63"/>
      <c r="Q63" s="63"/>
      <c r="R63" s="63"/>
      <c r="S63" s="63"/>
      <c r="T63" s="63"/>
      <c r="U63" s="63"/>
      <c r="V63" s="63"/>
      <c r="W63" s="63"/>
      <c r="X63" s="63"/>
      <c r="Y63" s="63"/>
      <c r="Z63" s="63"/>
      <c r="AA63" s="63"/>
      <c r="AB63" s="63"/>
    </row>
    <row r="64" spans="1:28" ht="25.5" customHeight="1" thickBot="1" x14ac:dyDescent="0.25">
      <c r="A64" s="63"/>
      <c r="B64" s="103" t="s">
        <v>103</v>
      </c>
      <c r="C64" s="95" t="s">
        <v>24</v>
      </c>
      <c r="D64" s="110" t="str">
        <f>IF(C64=PH_general!$E$18,"",PH_general!$K$51)</f>
        <v/>
      </c>
      <c r="E64" s="63"/>
      <c r="F64" s="63"/>
      <c r="G64" s="63"/>
      <c r="H64" s="63"/>
      <c r="I64" s="63"/>
      <c r="J64" s="63"/>
      <c r="K64" s="63"/>
      <c r="L64" s="63"/>
      <c r="M64" s="63"/>
      <c r="N64" s="63"/>
      <c r="O64" s="63"/>
      <c r="P64" s="63"/>
      <c r="Q64" s="63"/>
      <c r="R64" s="63"/>
      <c r="S64" s="63"/>
      <c r="T64" s="63"/>
      <c r="U64" s="63"/>
      <c r="V64" s="63"/>
      <c r="W64" s="63"/>
      <c r="X64" s="63"/>
      <c r="Y64" s="63"/>
      <c r="Z64" s="63"/>
      <c r="AA64" s="63"/>
      <c r="AB64" s="63"/>
    </row>
    <row r="65" spans="1:28" x14ac:dyDescent="0.2">
      <c r="A65" s="63"/>
      <c r="B65" s="63"/>
      <c r="C65" s="116"/>
      <c r="D65" s="110"/>
      <c r="E65" s="63"/>
      <c r="F65" s="63"/>
      <c r="G65" s="63"/>
      <c r="H65" s="63"/>
      <c r="I65" s="63"/>
      <c r="J65" s="63"/>
      <c r="K65" s="63"/>
      <c r="L65" s="63"/>
      <c r="M65" s="63"/>
      <c r="N65" s="63"/>
      <c r="O65" s="63"/>
      <c r="P65" s="63"/>
      <c r="Q65" s="63"/>
      <c r="R65" s="63"/>
      <c r="S65" s="63"/>
      <c r="T65" s="63"/>
      <c r="U65" s="63"/>
      <c r="V65" s="63"/>
      <c r="W65" s="63"/>
      <c r="X65" s="63"/>
      <c r="Y65" s="63"/>
      <c r="Z65" s="63"/>
      <c r="AA65" s="63"/>
      <c r="AB65" s="63"/>
    </row>
    <row r="66" spans="1:28" ht="13.5" thickBot="1" x14ac:dyDescent="0.25">
      <c r="A66" s="63"/>
      <c r="B66" s="63"/>
      <c r="C66" s="116"/>
      <c r="D66" s="141"/>
      <c r="E66" s="63"/>
      <c r="F66" s="63"/>
      <c r="G66" s="63"/>
      <c r="H66" s="63"/>
      <c r="I66" s="63"/>
      <c r="J66" s="63"/>
      <c r="K66" s="63"/>
      <c r="L66" s="63"/>
      <c r="M66" s="63"/>
      <c r="N66" s="63"/>
      <c r="O66" s="63"/>
      <c r="P66" s="63"/>
      <c r="Q66" s="63"/>
      <c r="R66" s="63"/>
      <c r="S66" s="63"/>
      <c r="T66" s="63"/>
      <c r="U66" s="63"/>
      <c r="V66" s="63"/>
      <c r="W66" s="63"/>
      <c r="X66" s="63"/>
      <c r="Y66" s="63"/>
      <c r="Z66" s="63"/>
      <c r="AA66" s="63"/>
      <c r="AB66" s="63"/>
    </row>
    <row r="67" spans="1:28" ht="33" customHeight="1" thickBot="1" x14ac:dyDescent="0.25">
      <c r="A67" s="63"/>
      <c r="B67" s="127" t="s">
        <v>145</v>
      </c>
      <c r="C67" s="95">
        <v>4</v>
      </c>
      <c r="D67" s="141" t="str">
        <f>CONCATENATE(PH_general!$K$64,C67*4,PH_general!$K$65)</f>
        <v>This means we will evaluate the preamble for 16 bits.</v>
      </c>
      <c r="E67" s="142" t="s">
        <v>146</v>
      </c>
      <c r="F67" s="63"/>
      <c r="G67" s="63"/>
      <c r="H67" s="63"/>
      <c r="I67" s="63"/>
      <c r="J67" s="63"/>
      <c r="K67" s="63"/>
      <c r="L67" s="63"/>
      <c r="M67" s="63"/>
      <c r="N67" s="63"/>
      <c r="O67" s="63"/>
      <c r="P67" s="63"/>
      <c r="Q67" s="63"/>
      <c r="R67" s="63"/>
      <c r="S67" s="63"/>
      <c r="T67" s="63"/>
      <c r="U67" s="63"/>
      <c r="V67" s="63"/>
      <c r="W67" s="63"/>
      <c r="X67" s="63"/>
      <c r="Y67" s="63"/>
      <c r="Z67" s="63"/>
      <c r="AA67" s="63"/>
      <c r="AB67" s="63"/>
    </row>
    <row r="68" spans="1:28" x14ac:dyDescent="0.2">
      <c r="A68" s="63"/>
      <c r="B68" s="63"/>
      <c r="C68" s="63"/>
      <c r="D68" s="141"/>
      <c r="E68" s="63"/>
      <c r="F68" s="63"/>
      <c r="G68" s="63"/>
      <c r="H68" s="63"/>
      <c r="I68" s="63"/>
      <c r="J68" s="63"/>
      <c r="K68" s="63"/>
      <c r="L68" s="63"/>
      <c r="M68" s="63"/>
      <c r="N68" s="63"/>
      <c r="O68" s="63"/>
      <c r="P68" s="63"/>
      <c r="Q68" s="63"/>
      <c r="R68" s="63"/>
      <c r="S68" s="63"/>
      <c r="T68" s="63"/>
      <c r="U68" s="63"/>
      <c r="V68" s="63"/>
      <c r="W68" s="63"/>
      <c r="X68" s="63"/>
      <c r="Y68" s="63"/>
      <c r="Z68" s="63"/>
      <c r="AA68" s="63"/>
      <c r="AB68" s="63"/>
    </row>
    <row r="69" spans="1:28" x14ac:dyDescent="0.2">
      <c r="A69" s="63"/>
      <c r="B69" s="63"/>
      <c r="C69" s="63"/>
      <c r="D69" s="141"/>
      <c r="E69" s="63"/>
      <c r="F69" s="63"/>
      <c r="G69" s="63"/>
      <c r="H69" s="63"/>
      <c r="I69" s="63"/>
      <c r="J69" s="63"/>
      <c r="K69" s="63"/>
      <c r="L69" s="63"/>
      <c r="M69" s="63"/>
      <c r="N69" s="63"/>
      <c r="O69" s="63"/>
      <c r="P69" s="63"/>
      <c r="Q69" s="63"/>
      <c r="R69" s="63"/>
      <c r="S69" s="63"/>
      <c r="T69" s="63"/>
      <c r="U69" s="63"/>
      <c r="V69" s="63"/>
      <c r="W69" s="63"/>
      <c r="X69" s="63"/>
      <c r="Y69" s="63"/>
      <c r="Z69" s="63"/>
      <c r="AA69" s="63"/>
      <c r="AB69" s="63"/>
    </row>
    <row r="70" spans="1:28" x14ac:dyDescent="0.2">
      <c r="A70" s="63"/>
      <c r="B70" s="63"/>
      <c r="C70" s="63"/>
      <c r="D70" s="141"/>
      <c r="E70" s="63"/>
      <c r="F70" s="63"/>
      <c r="G70" s="63"/>
      <c r="H70" s="63"/>
      <c r="I70" s="63"/>
      <c r="J70" s="63"/>
      <c r="K70" s="63"/>
      <c r="L70" s="63"/>
      <c r="M70" s="63"/>
      <c r="N70" s="63"/>
      <c r="O70" s="63"/>
      <c r="P70" s="63"/>
      <c r="Q70" s="63"/>
      <c r="R70" s="63"/>
      <c r="S70" s="63"/>
      <c r="T70" s="63"/>
      <c r="U70" s="63"/>
      <c r="V70" s="63"/>
      <c r="W70" s="63"/>
      <c r="X70" s="63"/>
      <c r="Y70" s="63"/>
      <c r="Z70" s="63"/>
      <c r="AA70" s="63"/>
      <c r="AB70" s="63"/>
    </row>
    <row r="71" spans="1:28" x14ac:dyDescent="0.2">
      <c r="A71" s="63"/>
      <c r="B71" s="63"/>
      <c r="C71" s="63"/>
      <c r="D71" s="141"/>
      <c r="E71" s="63"/>
      <c r="F71" s="63"/>
      <c r="G71" s="63"/>
      <c r="H71" s="63"/>
      <c r="I71" s="63"/>
      <c r="J71" s="63"/>
      <c r="K71" s="63"/>
      <c r="L71" s="63"/>
      <c r="M71" s="63"/>
      <c r="N71" s="63"/>
      <c r="O71" s="63"/>
      <c r="P71" s="63"/>
      <c r="Q71" s="63"/>
      <c r="R71" s="63"/>
      <c r="S71" s="63"/>
      <c r="T71" s="63"/>
      <c r="U71" s="63"/>
      <c r="V71" s="63"/>
      <c r="W71" s="63"/>
      <c r="X71" s="63"/>
      <c r="Y71" s="63"/>
      <c r="Z71" s="63"/>
      <c r="AA71" s="63"/>
      <c r="AB71" s="63"/>
    </row>
    <row r="72" spans="1:28" x14ac:dyDescent="0.2">
      <c r="A72" s="63"/>
      <c r="B72" s="63"/>
      <c r="C72" s="63"/>
      <c r="D72" s="141"/>
      <c r="E72" s="63"/>
      <c r="F72" s="63"/>
      <c r="G72" s="63"/>
      <c r="H72" s="63"/>
      <c r="I72" s="63"/>
      <c r="J72" s="63"/>
      <c r="K72" s="63"/>
      <c r="L72" s="63"/>
      <c r="M72" s="63"/>
      <c r="N72" s="63"/>
      <c r="O72" s="63"/>
      <c r="P72" s="63"/>
      <c r="Q72" s="63"/>
      <c r="R72" s="63"/>
      <c r="S72" s="63"/>
      <c r="T72" s="63"/>
      <c r="U72" s="63"/>
      <c r="V72" s="63"/>
      <c r="W72" s="63"/>
      <c r="X72" s="63"/>
      <c r="Y72" s="63"/>
      <c r="Z72" s="63"/>
      <c r="AA72" s="63"/>
      <c r="AB72" s="63"/>
    </row>
    <row r="73" spans="1:28" x14ac:dyDescent="0.2">
      <c r="A73" s="63"/>
      <c r="B73" s="63"/>
      <c r="C73" s="63"/>
      <c r="D73" s="141"/>
      <c r="E73" s="63"/>
      <c r="F73" s="63"/>
      <c r="G73" s="63"/>
      <c r="H73" s="63"/>
      <c r="I73" s="63"/>
      <c r="J73" s="63"/>
      <c r="K73" s="63"/>
      <c r="L73" s="63"/>
      <c r="M73" s="63"/>
      <c r="N73" s="63"/>
      <c r="O73" s="63"/>
      <c r="P73" s="63"/>
      <c r="Q73" s="63"/>
      <c r="R73" s="63"/>
      <c r="S73" s="63"/>
      <c r="T73" s="63"/>
      <c r="U73" s="63"/>
      <c r="V73" s="63"/>
      <c r="W73" s="63"/>
      <c r="X73" s="63"/>
      <c r="Y73" s="63"/>
      <c r="Z73" s="63"/>
      <c r="AA73" s="63"/>
      <c r="AB73" s="63"/>
    </row>
    <row r="74" spans="1:28" x14ac:dyDescent="0.2">
      <c r="A74" s="63"/>
      <c r="B74" s="63"/>
      <c r="C74" s="63"/>
      <c r="D74" s="141"/>
      <c r="E74" s="63"/>
      <c r="F74" s="63"/>
      <c r="G74" s="63"/>
      <c r="H74" s="63"/>
      <c r="I74" s="63"/>
      <c r="J74" s="63"/>
      <c r="K74" s="63"/>
      <c r="L74" s="63"/>
      <c r="M74" s="63"/>
      <c r="N74" s="63"/>
      <c r="O74" s="63"/>
      <c r="P74" s="63"/>
      <c r="Q74" s="63"/>
      <c r="R74" s="63"/>
      <c r="S74" s="63"/>
      <c r="T74" s="63"/>
      <c r="U74" s="63"/>
      <c r="V74" s="63"/>
      <c r="W74" s="63"/>
      <c r="X74" s="63"/>
      <c r="Y74" s="63"/>
      <c r="Z74" s="63"/>
      <c r="AA74" s="63"/>
      <c r="AB74" s="63"/>
    </row>
    <row r="75" spans="1:28" x14ac:dyDescent="0.2">
      <c r="A75" s="63"/>
      <c r="B75" s="63"/>
      <c r="C75" s="63"/>
      <c r="D75" s="141"/>
      <c r="E75" s="63"/>
      <c r="F75" s="63"/>
      <c r="G75" s="63"/>
      <c r="H75" s="63"/>
      <c r="I75" s="63"/>
      <c r="J75" s="63"/>
      <c r="K75" s="63"/>
      <c r="L75" s="63"/>
      <c r="M75" s="63"/>
      <c r="N75" s="63"/>
      <c r="O75" s="63"/>
      <c r="P75" s="63"/>
      <c r="Q75" s="63"/>
      <c r="R75" s="63"/>
      <c r="S75" s="63"/>
      <c r="T75" s="63"/>
      <c r="U75" s="63"/>
      <c r="V75" s="63"/>
      <c r="W75" s="63"/>
      <c r="X75" s="63"/>
      <c r="Y75" s="63"/>
      <c r="Z75" s="63"/>
      <c r="AA75" s="63"/>
      <c r="AB75" s="63"/>
    </row>
    <row r="76" spans="1:28" x14ac:dyDescent="0.2">
      <c r="A76" s="63"/>
      <c r="B76" s="63"/>
      <c r="C76" s="63"/>
      <c r="D76" s="141"/>
      <c r="E76" s="63"/>
      <c r="F76" s="63"/>
      <c r="G76" s="63"/>
      <c r="H76" s="63"/>
      <c r="I76" s="63"/>
      <c r="J76" s="63"/>
      <c r="K76" s="63"/>
      <c r="L76" s="63"/>
      <c r="M76" s="63"/>
      <c r="N76" s="63"/>
      <c r="O76" s="63"/>
      <c r="P76" s="63"/>
      <c r="Q76" s="63"/>
      <c r="R76" s="63"/>
      <c r="S76" s="63"/>
      <c r="T76" s="63"/>
      <c r="U76" s="63"/>
      <c r="V76" s="63"/>
      <c r="W76" s="63"/>
      <c r="X76" s="63"/>
      <c r="Y76" s="63"/>
      <c r="Z76" s="63"/>
      <c r="AA76" s="63"/>
      <c r="AB76" s="63"/>
    </row>
    <row r="77" spans="1:28" x14ac:dyDescent="0.2">
      <c r="A77" s="63"/>
      <c r="B77" s="63"/>
      <c r="C77" s="63"/>
      <c r="D77" s="141"/>
      <c r="E77" s="63"/>
      <c r="F77" s="63"/>
      <c r="G77" s="63"/>
      <c r="H77" s="63"/>
      <c r="I77" s="63"/>
      <c r="J77" s="63"/>
      <c r="K77" s="63"/>
      <c r="L77" s="63"/>
      <c r="M77" s="63"/>
      <c r="N77" s="63"/>
      <c r="O77" s="63"/>
      <c r="P77" s="63"/>
      <c r="Q77" s="63"/>
      <c r="R77" s="63"/>
      <c r="S77" s="63"/>
      <c r="T77" s="63"/>
      <c r="U77" s="63"/>
      <c r="V77" s="63"/>
      <c r="W77" s="63"/>
      <c r="X77" s="63"/>
      <c r="Y77" s="63"/>
      <c r="Z77" s="63"/>
      <c r="AA77" s="63"/>
      <c r="AB77" s="63"/>
    </row>
    <row r="78" spans="1:28" x14ac:dyDescent="0.2">
      <c r="A78" s="63"/>
      <c r="B78" s="63"/>
      <c r="C78" s="63"/>
      <c r="D78" s="141"/>
      <c r="E78" s="63"/>
      <c r="F78" s="63"/>
      <c r="G78" s="63"/>
      <c r="H78" s="63"/>
      <c r="I78" s="63"/>
      <c r="J78" s="63"/>
      <c r="K78" s="63"/>
      <c r="L78" s="63"/>
      <c r="M78" s="63"/>
      <c r="N78" s="63"/>
      <c r="O78" s="63"/>
      <c r="P78" s="63"/>
      <c r="Q78" s="63"/>
      <c r="R78" s="63"/>
      <c r="S78" s="63"/>
      <c r="T78" s="63"/>
      <c r="U78" s="63"/>
      <c r="V78" s="63"/>
      <c r="W78" s="63"/>
      <c r="X78" s="63"/>
      <c r="Y78" s="63"/>
      <c r="Z78" s="63"/>
      <c r="AA78" s="63"/>
      <c r="AB78" s="63"/>
    </row>
    <row r="79" spans="1:28" x14ac:dyDescent="0.2">
      <c r="A79" s="63"/>
      <c r="B79" s="63"/>
      <c r="C79" s="63"/>
      <c r="D79" s="141"/>
      <c r="E79" s="63"/>
      <c r="F79" s="63"/>
      <c r="G79" s="63"/>
      <c r="H79" s="63"/>
      <c r="I79" s="63"/>
      <c r="J79" s="63"/>
      <c r="K79" s="63"/>
      <c r="L79" s="63"/>
      <c r="M79" s="63"/>
      <c r="N79" s="63"/>
      <c r="O79" s="63"/>
      <c r="P79" s="63"/>
      <c r="Q79" s="63"/>
      <c r="R79" s="63"/>
      <c r="S79" s="63"/>
      <c r="T79" s="63"/>
      <c r="U79" s="63"/>
      <c r="V79" s="63"/>
      <c r="W79" s="63"/>
      <c r="X79" s="63"/>
      <c r="Y79" s="63"/>
      <c r="Z79" s="63"/>
      <c r="AA79" s="63"/>
      <c r="AB79" s="63"/>
    </row>
    <row r="80" spans="1:28" x14ac:dyDescent="0.2">
      <c r="A80" s="63"/>
      <c r="B80" s="63"/>
      <c r="C80" s="63"/>
      <c r="D80" s="141"/>
      <c r="E80" s="63"/>
      <c r="F80" s="63"/>
      <c r="G80" s="63"/>
      <c r="H80" s="63"/>
      <c r="I80" s="63"/>
      <c r="J80" s="63"/>
      <c r="K80" s="63"/>
      <c r="L80" s="63"/>
      <c r="M80" s="63"/>
      <c r="N80" s="63"/>
      <c r="O80" s="63"/>
      <c r="P80" s="63"/>
      <c r="Q80" s="63"/>
      <c r="R80" s="63"/>
      <c r="S80" s="63"/>
      <c r="T80" s="63"/>
      <c r="U80" s="63"/>
      <c r="V80" s="63"/>
      <c r="W80" s="63"/>
      <c r="X80" s="63"/>
      <c r="Y80" s="63"/>
      <c r="Z80" s="63"/>
      <c r="AA80" s="63"/>
      <c r="AB80" s="63"/>
    </row>
    <row r="81" spans="1:28" x14ac:dyDescent="0.2">
      <c r="A81" s="63"/>
      <c r="B81" s="63"/>
      <c r="C81" s="63"/>
      <c r="D81" s="141"/>
      <c r="E81" s="63"/>
      <c r="F81" s="63"/>
      <c r="G81" s="63"/>
      <c r="H81" s="63"/>
      <c r="I81" s="63"/>
      <c r="J81" s="63"/>
      <c r="K81" s="63"/>
      <c r="L81" s="63"/>
      <c r="M81" s="63"/>
      <c r="N81" s="63"/>
      <c r="O81" s="63"/>
      <c r="P81" s="63"/>
      <c r="Q81" s="63"/>
      <c r="R81" s="63"/>
      <c r="S81" s="63"/>
      <c r="T81" s="63"/>
      <c r="U81" s="63"/>
      <c r="V81" s="63"/>
      <c r="W81" s="63"/>
      <c r="X81" s="63"/>
      <c r="Y81" s="63"/>
      <c r="Z81" s="63"/>
      <c r="AA81" s="63"/>
      <c r="AB81" s="63"/>
    </row>
    <row r="82" spans="1:28" x14ac:dyDescent="0.2">
      <c r="A82" s="63"/>
      <c r="B82" s="63"/>
      <c r="C82" s="63"/>
      <c r="D82" s="141"/>
      <c r="E82" s="63"/>
      <c r="F82" s="63"/>
      <c r="G82" s="63"/>
      <c r="H82" s="63"/>
      <c r="I82" s="63"/>
      <c r="J82" s="63"/>
      <c r="K82" s="63"/>
      <c r="L82" s="63"/>
      <c r="M82" s="63"/>
      <c r="N82" s="63"/>
      <c r="O82" s="63"/>
      <c r="P82" s="63"/>
      <c r="Q82" s="63"/>
      <c r="R82" s="63"/>
      <c r="S82" s="63"/>
      <c r="T82" s="63"/>
      <c r="U82" s="63"/>
      <c r="V82" s="63"/>
      <c r="W82" s="63"/>
      <c r="X82" s="63"/>
      <c r="Y82" s="63"/>
      <c r="Z82" s="63"/>
      <c r="AA82" s="63"/>
      <c r="AB82" s="63"/>
    </row>
    <row r="83" spans="1:28" x14ac:dyDescent="0.2">
      <c r="A83" s="63"/>
      <c r="B83" s="63"/>
      <c r="C83" s="63"/>
      <c r="D83" s="141"/>
      <c r="E83" s="63"/>
      <c r="F83" s="63"/>
      <c r="G83" s="63"/>
      <c r="H83" s="63"/>
      <c r="I83" s="63"/>
      <c r="J83" s="63"/>
      <c r="K83" s="63"/>
      <c r="L83" s="63"/>
      <c r="M83" s="63"/>
      <c r="N83" s="63"/>
      <c r="O83" s="63"/>
      <c r="P83" s="63"/>
      <c r="Q83" s="63"/>
      <c r="R83" s="63"/>
      <c r="S83" s="63"/>
      <c r="T83" s="63"/>
      <c r="U83" s="63"/>
      <c r="V83" s="63"/>
      <c r="W83" s="63"/>
      <c r="X83" s="63"/>
      <c r="Y83" s="63"/>
      <c r="Z83" s="63"/>
      <c r="AA83" s="63"/>
      <c r="AB83" s="63"/>
    </row>
    <row r="84" spans="1:28" x14ac:dyDescent="0.2">
      <c r="D84" s="6"/>
    </row>
    <row r="85" spans="1:28" x14ac:dyDescent="0.2">
      <c r="D85" s="6"/>
    </row>
    <row r="86" spans="1:28" x14ac:dyDescent="0.2">
      <c r="D86" s="7"/>
    </row>
    <row r="87" spans="1:28" x14ac:dyDescent="0.2">
      <c r="D87" s="7"/>
    </row>
    <row r="88" spans="1:28" x14ac:dyDescent="0.2">
      <c r="D88" s="7"/>
    </row>
    <row r="89" spans="1:28" x14ac:dyDescent="0.2">
      <c r="D89" s="7"/>
    </row>
    <row r="90" spans="1:28" x14ac:dyDescent="0.2">
      <c r="D90" s="7"/>
    </row>
    <row r="91" spans="1:28" x14ac:dyDescent="0.2">
      <c r="D91" s="7"/>
    </row>
    <row r="92" spans="1:28" x14ac:dyDescent="0.2">
      <c r="D92" s="7"/>
    </row>
    <row r="93" spans="1:28" x14ac:dyDescent="0.2">
      <c r="D93" s="7"/>
    </row>
    <row r="94" spans="1:28" x14ac:dyDescent="0.2">
      <c r="D94" s="7"/>
    </row>
    <row r="95" spans="1:28" x14ac:dyDescent="0.2">
      <c r="D95" s="7"/>
    </row>
    <row r="96" spans="1:28" x14ac:dyDescent="0.2">
      <c r="D96" s="7"/>
    </row>
    <row r="97" spans="4:4" x14ac:dyDescent="0.2">
      <c r="D97" s="7"/>
    </row>
    <row r="98" spans="4:4" x14ac:dyDescent="0.2">
      <c r="D98" s="7"/>
    </row>
    <row r="99" spans="4:4" x14ac:dyDescent="0.2">
      <c r="D99" s="7"/>
    </row>
    <row r="100" spans="4:4" x14ac:dyDescent="0.2">
      <c r="D100" s="7"/>
    </row>
    <row r="101" spans="4:4" x14ac:dyDescent="0.2">
      <c r="D101" s="7"/>
    </row>
    <row r="102" spans="4:4" x14ac:dyDescent="0.2">
      <c r="D102" s="7"/>
    </row>
    <row r="103" spans="4:4" x14ac:dyDescent="0.2">
      <c r="D103" s="7"/>
    </row>
    <row r="104" spans="4:4" x14ac:dyDescent="0.2">
      <c r="D104" s="7"/>
    </row>
    <row r="105" spans="4:4" x14ac:dyDescent="0.2">
      <c r="D105" s="7"/>
    </row>
    <row r="106" spans="4:4" x14ac:dyDescent="0.2">
      <c r="D106" s="7"/>
    </row>
    <row r="107" spans="4:4" x14ac:dyDescent="0.2">
      <c r="D107" s="8"/>
    </row>
    <row r="108" spans="4:4" x14ac:dyDescent="0.2">
      <c r="D108" s="8"/>
    </row>
  </sheetData>
  <sheetProtection password="CF76" sheet="1" objects="1" scenarios="1"/>
  <mergeCells count="4">
    <mergeCell ref="D39:D42"/>
    <mergeCell ref="E39:E42"/>
    <mergeCell ref="D49:D52"/>
    <mergeCell ref="B2:E3"/>
  </mergeCells>
  <phoneticPr fontId="1" type="noConversion"/>
  <dataValidations xWindow="543" yWindow="461" count="15">
    <dataValidation type="list" errorStyle="warning" allowBlank="1" showInputMessage="1" showErrorMessage="1" errorTitle="Wrong Selection!" error="Only valid selection are &quot;ON&quot; or &quot;OFF&quot;" sqref="C24">
      <formula1>selectOnOff</formula1>
    </dataValidation>
    <dataValidation type="list" allowBlank="1" showInputMessage="1" showErrorMessage="1" errorTitle="Please select from Drop Menu!" sqref="C39:C42 C32:C35 C49:C52">
      <formula1>hex_0_to_FF</formula1>
    </dataValidation>
    <dataValidation type="list" allowBlank="1" showInputMessage="1" showErrorMessage="1" sqref="C37">
      <formula1>range0_to_255</formula1>
    </dataValidation>
    <dataValidation type="list" allowBlank="1" showInputMessage="1" showErrorMessage="1" sqref="C27 C61:C64 C11:C12 C55:C58">
      <formula1>YESorNO</formula1>
    </dataValidation>
    <dataValidation type="list" allowBlank="1" showInputMessage="1" showErrorMessage="1" sqref="C26">
      <formula1>SelHeader</formula1>
    </dataValidation>
    <dataValidation type="list" allowBlank="1" showInputMessage="1" showErrorMessage="1" sqref="C28">
      <formula1>SYNCsize</formula1>
    </dataValidation>
    <dataValidation type="list" allowBlank="1" showInputMessage="1" showErrorMessage="1" sqref="C10">
      <formula1>LSBorMSB</formula1>
    </dataValidation>
    <dataValidation type="list" allowBlank="1" showInputMessage="1" showErrorMessage="1" sqref="C13">
      <formula1>CRCtype</formula1>
    </dataValidation>
    <dataValidation type="list" allowBlank="1" showInputMessage="1" showErrorMessage="1" sqref="C22">
      <formula1>Man_inv</formula1>
    </dataValidation>
    <dataValidation type="list" allowBlank="1" showInputMessage="1" showErrorMessage="1" sqref="C23">
      <formula1>man_prea_pol</formula1>
    </dataValidation>
    <dataValidation type="list" allowBlank="1" errorTitle="Invalid Input" error="Out of range" sqref="C30">
      <formula1>range0_to_511</formula1>
    </dataValidation>
    <dataValidation type="list" allowBlank="1" showInputMessage="1" showErrorMessage="1" sqref="C9">
      <formula1>ON_only</formula1>
    </dataValidation>
    <dataValidation type="list" allowBlank="1" showInputMessage="1" showErrorMessage="1" sqref="C67">
      <formula1>range_0_15</formula1>
    </dataValidation>
    <dataValidation type="list" allowBlank="1" showInputMessage="1" showErrorMessage="1" sqref="C44">
      <formula1>TRCLK</formula1>
    </dataValidation>
    <dataValidation type="list" errorStyle="warning" allowBlank="1" showInputMessage="1" showErrorMessage="1" errorTitle="Wrong Selection!" error="Only Valid options are &quot;On&quot; or &quot;OFF&quot;" sqref="C17">
      <formula1>selectOnOff</formula1>
    </dataValidation>
  </dataValidation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
  <sheetViews>
    <sheetView workbookViewId="0">
      <pane ySplit="7" topLeftCell="A8" activePane="bottomLeft" state="frozen"/>
      <selection activeCell="B20" sqref="B20"/>
      <selection pane="bottomLeft" activeCell="E8" sqref="E8"/>
    </sheetView>
  </sheetViews>
  <sheetFormatPr defaultRowHeight="12.75" x14ac:dyDescent="0.2"/>
  <cols>
    <col min="2" max="2" width="36.85546875" customWidth="1"/>
    <col min="3" max="3" width="24.7109375" customWidth="1"/>
    <col min="4" max="4" width="41.85546875" customWidth="1"/>
    <col min="5" max="5" width="30.85546875" customWidth="1"/>
    <col min="6" max="6" width="11.42578125" customWidth="1"/>
    <col min="7" max="7" width="13.7109375" customWidth="1"/>
    <col min="8" max="8" width="17.28515625" customWidth="1"/>
    <col min="10" max="10" width="10" customWidth="1"/>
    <col min="19" max="19" width="6.42578125" customWidth="1"/>
  </cols>
  <sheetData>
    <row r="1" spans="1:28" ht="15" x14ac:dyDescent="0.25">
      <c r="A1" s="63"/>
      <c r="B1" s="63"/>
      <c r="C1" s="63"/>
      <c r="D1" s="96"/>
      <c r="E1" s="63"/>
      <c r="F1" s="63"/>
      <c r="G1" s="63"/>
      <c r="H1" s="63"/>
      <c r="I1" s="63"/>
      <c r="J1" s="63"/>
      <c r="K1" s="63"/>
      <c r="L1" s="63"/>
      <c r="M1" s="63"/>
      <c r="N1" s="63"/>
      <c r="O1" s="63"/>
      <c r="P1" s="63"/>
      <c r="Q1" s="63"/>
      <c r="R1" s="63"/>
      <c r="S1" s="63"/>
      <c r="T1" s="63"/>
      <c r="U1" s="63"/>
      <c r="V1" s="63"/>
      <c r="W1" s="63"/>
      <c r="X1" s="63"/>
      <c r="Y1" s="63"/>
      <c r="Z1" s="63"/>
      <c r="AA1" s="63"/>
      <c r="AB1" s="63"/>
    </row>
    <row r="2" spans="1:28" ht="15.75" customHeight="1" x14ac:dyDescent="0.2">
      <c r="A2" s="63"/>
      <c r="B2" s="148" t="s">
        <v>302</v>
      </c>
      <c r="C2" s="149"/>
      <c r="D2" s="149"/>
      <c r="E2" s="149"/>
      <c r="F2" s="149"/>
      <c r="G2" s="150"/>
      <c r="H2" s="63"/>
      <c r="I2" s="63"/>
      <c r="J2" s="63"/>
      <c r="K2" s="63"/>
      <c r="L2" s="63"/>
      <c r="M2" s="63"/>
      <c r="N2" s="63"/>
      <c r="O2" s="63"/>
      <c r="P2" s="63"/>
      <c r="Q2" s="63"/>
      <c r="R2" s="63"/>
      <c r="S2" s="63"/>
      <c r="T2" s="63"/>
      <c r="U2" s="63"/>
      <c r="V2" s="63"/>
      <c r="W2" s="63"/>
      <c r="X2" s="63"/>
      <c r="Y2" s="63"/>
      <c r="Z2" s="63"/>
      <c r="AA2" s="63"/>
      <c r="AB2" s="63"/>
    </row>
    <row r="3" spans="1:28" ht="20.25" customHeight="1" x14ac:dyDescent="0.2">
      <c r="A3" s="63"/>
      <c r="B3" s="151" t="s">
        <v>118</v>
      </c>
      <c r="C3" s="152"/>
      <c r="D3" s="152"/>
      <c r="E3" s="152"/>
      <c r="F3" s="152"/>
      <c r="G3" s="153"/>
      <c r="H3" s="63"/>
      <c r="I3" s="63"/>
      <c r="J3" s="63"/>
      <c r="K3" s="63"/>
      <c r="L3" s="63"/>
      <c r="M3" s="63"/>
      <c r="N3" s="63"/>
      <c r="O3" s="63"/>
      <c r="P3" s="63"/>
      <c r="Q3" s="63"/>
      <c r="R3" s="63"/>
      <c r="S3" s="63"/>
      <c r="T3" s="63"/>
      <c r="U3" s="63"/>
      <c r="V3" s="63"/>
      <c r="W3" s="63"/>
      <c r="X3" s="63"/>
      <c r="Y3" s="63"/>
      <c r="Z3" s="63"/>
      <c r="AA3" s="63"/>
      <c r="AB3" s="63"/>
    </row>
    <row r="4" spans="1:28" ht="18" customHeight="1" x14ac:dyDescent="0.2">
      <c r="A4" s="63"/>
      <c r="B4" s="154" t="s">
        <v>119</v>
      </c>
      <c r="C4" s="155"/>
      <c r="D4" s="155"/>
      <c r="E4" s="155"/>
      <c r="F4" s="155"/>
      <c r="G4" s="156"/>
      <c r="H4" s="63"/>
      <c r="I4" s="63"/>
      <c r="J4" s="63"/>
      <c r="K4" s="63"/>
      <c r="L4" s="63"/>
      <c r="M4" s="63"/>
      <c r="N4" s="63"/>
      <c r="O4" s="63"/>
      <c r="P4" s="63"/>
      <c r="Q4" s="63"/>
      <c r="R4" s="63"/>
      <c r="S4" s="63"/>
      <c r="T4" s="63"/>
      <c r="U4" s="63"/>
      <c r="V4" s="63"/>
      <c r="W4" s="63"/>
      <c r="X4" s="63"/>
      <c r="Y4" s="63"/>
      <c r="Z4" s="63"/>
      <c r="AA4" s="63"/>
      <c r="AB4" s="63"/>
    </row>
    <row r="5" spans="1:28" x14ac:dyDescent="0.2">
      <c r="A5" s="63"/>
      <c r="B5" s="63"/>
      <c r="C5" s="63"/>
      <c r="D5" s="63"/>
      <c r="E5" s="63"/>
      <c r="F5" s="63"/>
      <c r="G5" s="63"/>
      <c r="H5" s="63"/>
      <c r="I5" s="63"/>
      <c r="J5" s="63"/>
      <c r="K5" s="63"/>
      <c r="L5" s="63"/>
      <c r="M5" s="63"/>
      <c r="N5" s="63"/>
      <c r="O5" s="63"/>
      <c r="P5" s="63"/>
      <c r="Q5" s="63"/>
      <c r="R5" s="63"/>
      <c r="S5" s="63"/>
      <c r="T5" s="63"/>
      <c r="U5" s="63"/>
      <c r="V5" s="63"/>
      <c r="W5" s="63"/>
      <c r="X5" s="63"/>
      <c r="Y5" s="63"/>
      <c r="Z5" s="63"/>
      <c r="AA5" s="63"/>
      <c r="AB5" s="63"/>
    </row>
    <row r="6" spans="1:28" ht="20.25" x14ac:dyDescent="0.2">
      <c r="A6" s="63"/>
      <c r="B6" s="100" t="s">
        <v>0</v>
      </c>
      <c r="C6" s="101" t="s">
        <v>304</v>
      </c>
      <c r="D6" s="102" t="s">
        <v>46</v>
      </c>
      <c r="E6" s="102" t="s">
        <v>142</v>
      </c>
      <c r="F6" s="63"/>
      <c r="G6" s="63"/>
      <c r="H6" s="63"/>
      <c r="I6" s="63"/>
      <c r="J6" s="63"/>
      <c r="K6" s="63"/>
      <c r="L6" s="63"/>
      <c r="M6" s="63"/>
      <c r="N6" s="63"/>
      <c r="O6" s="63"/>
      <c r="P6" s="63"/>
      <c r="Q6" s="63"/>
      <c r="R6" s="63"/>
      <c r="S6" s="63"/>
      <c r="T6" s="63"/>
      <c r="U6" s="63"/>
      <c r="V6" s="63"/>
      <c r="W6" s="63"/>
      <c r="X6" s="63"/>
      <c r="Y6" s="63"/>
      <c r="Z6" s="63"/>
      <c r="AA6" s="63"/>
      <c r="AB6" s="63"/>
    </row>
    <row r="7" spans="1:28" ht="27.75" customHeight="1" thickBot="1" x14ac:dyDescent="0.25">
      <c r="A7" s="63"/>
      <c r="B7" s="63"/>
      <c r="C7" s="63"/>
      <c r="D7" s="63"/>
      <c r="E7" s="63"/>
      <c r="F7" s="63"/>
      <c r="G7" s="63"/>
      <c r="H7" s="63"/>
      <c r="I7" s="63"/>
      <c r="J7" s="63"/>
      <c r="K7" s="63"/>
      <c r="L7" s="63"/>
      <c r="M7" s="63"/>
      <c r="N7" s="63"/>
      <c r="O7" s="63"/>
      <c r="P7" s="63"/>
      <c r="Q7" s="63"/>
      <c r="R7" s="63"/>
      <c r="S7" s="63"/>
      <c r="T7" s="63"/>
      <c r="U7" s="63"/>
      <c r="V7" s="63"/>
      <c r="W7" s="63"/>
      <c r="X7" s="63"/>
      <c r="Y7" s="63"/>
      <c r="Z7" s="63"/>
      <c r="AA7" s="63"/>
      <c r="AB7" s="63"/>
    </row>
    <row r="8" spans="1:28" ht="33.75" customHeight="1" thickBot="1" x14ac:dyDescent="0.25">
      <c r="A8" s="63"/>
      <c r="B8" s="103" t="s">
        <v>116</v>
      </c>
      <c r="C8" s="197" t="s">
        <v>10</v>
      </c>
      <c r="D8" s="157"/>
      <c r="E8" s="63"/>
      <c r="F8" s="106" t="s">
        <v>277</v>
      </c>
      <c r="G8" s="107" t="s">
        <v>108</v>
      </c>
      <c r="H8" s="108" t="s">
        <v>150</v>
      </c>
      <c r="I8" s="63"/>
      <c r="J8" s="63"/>
      <c r="K8" s="63"/>
      <c r="L8" s="63"/>
      <c r="M8" s="63"/>
      <c r="N8" s="63"/>
      <c r="O8" s="63"/>
      <c r="P8" s="63"/>
      <c r="Q8" s="63"/>
      <c r="R8" s="63"/>
      <c r="S8" s="63"/>
      <c r="T8" s="63"/>
      <c r="U8" s="63"/>
      <c r="V8" s="63"/>
      <c r="W8" s="63"/>
      <c r="X8" s="63"/>
      <c r="Y8" s="63"/>
      <c r="Z8" s="63"/>
      <c r="AA8" s="63"/>
      <c r="AB8" s="63"/>
    </row>
    <row r="9" spans="1:28" s="2" customFormat="1" ht="46.5" customHeight="1" thickBot="1" x14ac:dyDescent="0.25">
      <c r="A9" s="109"/>
      <c r="B9" s="103" t="s">
        <v>19</v>
      </c>
      <c r="C9" s="147" t="s">
        <v>20</v>
      </c>
      <c r="D9" s="110" t="str">
        <f>IF((EXACT(C9,"LSB")=TRUE),PH_general!$K$9,IF((EXACT(C9,"MSB")=TRUE),PH_general!$K$8,"N/A"))</f>
        <v>Each byte of the Header, Packet Length and Data will be sent LSB first</v>
      </c>
      <c r="E9" s="109"/>
      <c r="F9" s="111">
        <v>30</v>
      </c>
      <c r="G9" s="112" t="str">
        <f>BIN2HEX(CONCATENATE(T22,U22,V22,W22,X22,Y22,Z22),2)</f>
        <v>61</v>
      </c>
      <c r="H9" s="113" t="str">
        <f t="shared" ref="H9:H18" si="0">CONCATENATE("S2"," ",DEC2HEX(HEX2DEC(F9)+HEX2DEC(80),2),G9)</f>
        <v>S2 B061</v>
      </c>
      <c r="I9" s="109"/>
      <c r="J9" s="109"/>
      <c r="K9" s="109"/>
      <c r="L9" s="109"/>
      <c r="M9" s="109"/>
      <c r="N9" s="109"/>
      <c r="O9" s="109"/>
      <c r="P9" s="109"/>
      <c r="Q9" s="109"/>
      <c r="R9" s="109"/>
      <c r="S9" s="109"/>
      <c r="T9" s="109"/>
      <c r="U9" s="109"/>
      <c r="V9" s="109"/>
      <c r="W9" s="109"/>
      <c r="X9" s="63"/>
      <c r="Y9" s="109"/>
      <c r="Z9" s="109"/>
      <c r="AA9" s="109"/>
      <c r="AB9" s="109"/>
    </row>
    <row r="10" spans="1:28" ht="30" customHeight="1" thickBot="1" x14ac:dyDescent="0.25">
      <c r="A10" s="63"/>
      <c r="B10" s="63"/>
      <c r="C10" s="63"/>
      <c r="D10" s="158"/>
      <c r="E10" s="63"/>
      <c r="F10" s="111">
        <v>33</v>
      </c>
      <c r="G10" s="112" t="str">
        <f>BIN2HEX(CONCATENATE(T25,U25,V25,W25,X25),2)</f>
        <v>0A</v>
      </c>
      <c r="H10" s="113" t="str">
        <f t="shared" si="0"/>
        <v>S2 B30A</v>
      </c>
      <c r="I10" s="63"/>
      <c r="J10" s="63"/>
      <c r="K10" s="63"/>
      <c r="L10" s="63"/>
      <c r="M10" s="63"/>
      <c r="N10" s="63"/>
      <c r="O10" s="63"/>
      <c r="P10" s="63"/>
      <c r="Q10" s="63"/>
      <c r="R10" s="63"/>
      <c r="S10" s="63"/>
      <c r="T10" s="63"/>
      <c r="U10" s="63"/>
      <c r="V10" s="63"/>
      <c r="W10" s="63"/>
      <c r="X10" s="63"/>
      <c r="Y10" s="63"/>
      <c r="Z10" s="63"/>
      <c r="AA10" s="63"/>
      <c r="AB10" s="63"/>
    </row>
    <row r="11" spans="1:28" ht="28.5" customHeight="1" thickBot="1" x14ac:dyDescent="0.25">
      <c r="A11" s="63"/>
      <c r="B11" s="103" t="s">
        <v>8</v>
      </c>
      <c r="C11" s="198" t="str">
        <f>'Modem Registers Calculations'!$A$9</f>
        <v>FSK</v>
      </c>
      <c r="D11" s="110" t="s">
        <v>297</v>
      </c>
      <c r="E11" s="63"/>
      <c r="F11" s="111">
        <v>34</v>
      </c>
      <c r="G11" s="112" t="str">
        <f>IF(C31&lt;256,DEC2HEX(C31,2),DEC2HEX((C31-256),2))</f>
        <v>05</v>
      </c>
      <c r="H11" s="113" t="str">
        <f t="shared" si="0"/>
        <v>S2 B405</v>
      </c>
      <c r="I11" s="63"/>
      <c r="J11" s="63"/>
      <c r="K11" s="63"/>
      <c r="L11" s="63"/>
      <c r="M11" s="63"/>
      <c r="N11" s="63"/>
      <c r="O11" s="63"/>
      <c r="P11" s="63"/>
      <c r="Q11" s="63"/>
      <c r="R11" s="63"/>
      <c r="S11" s="63"/>
      <c r="T11" s="63"/>
      <c r="U11" s="63"/>
      <c r="V11" s="63"/>
      <c r="W11" s="63"/>
      <c r="X11" s="63"/>
      <c r="Y11" s="63"/>
      <c r="Z11" s="63"/>
      <c r="AA11" s="63"/>
      <c r="AB11" s="63"/>
    </row>
    <row r="12" spans="1:28" ht="29.25" customHeight="1" thickBot="1" x14ac:dyDescent="0.25">
      <c r="A12" s="63"/>
      <c r="B12" s="103" t="s">
        <v>11</v>
      </c>
      <c r="C12" s="95" t="s">
        <v>9</v>
      </c>
      <c r="D12" s="110" t="s">
        <v>73</v>
      </c>
      <c r="E12" s="63"/>
      <c r="F12" s="159">
        <v>35</v>
      </c>
      <c r="G12" s="160" t="str">
        <f>DEC2HEX(C29*8+2,2)</f>
        <v>2A</v>
      </c>
      <c r="H12" s="113" t="str">
        <f t="shared" si="0"/>
        <v>S2 B52A</v>
      </c>
      <c r="I12" s="63"/>
      <c r="J12" s="63"/>
      <c r="K12" s="63"/>
      <c r="L12" s="63"/>
      <c r="M12" s="63"/>
      <c r="N12" s="63"/>
      <c r="O12" s="63"/>
      <c r="P12" s="63"/>
      <c r="Q12" s="63"/>
      <c r="R12" s="63"/>
      <c r="S12" s="63"/>
      <c r="T12" s="63"/>
      <c r="U12" s="63"/>
      <c r="V12" s="63"/>
      <c r="W12" s="63"/>
      <c r="X12" s="63"/>
      <c r="Y12" s="63"/>
      <c r="Z12" s="63"/>
      <c r="AA12" s="63"/>
      <c r="AB12" s="63"/>
    </row>
    <row r="13" spans="1:28" ht="24" customHeight="1" x14ac:dyDescent="0.2">
      <c r="A13" s="63"/>
      <c r="B13" s="63"/>
      <c r="C13" s="63"/>
      <c r="D13" s="158"/>
      <c r="E13" s="63"/>
      <c r="F13" s="111">
        <v>36</v>
      </c>
      <c r="G13" s="118" t="str">
        <f>C24</f>
        <v>2D</v>
      </c>
      <c r="H13" s="113" t="str">
        <f t="shared" si="0"/>
        <v>S2 B62D</v>
      </c>
      <c r="I13" s="63"/>
      <c r="J13" s="63"/>
      <c r="K13" s="63"/>
      <c r="L13" s="63"/>
      <c r="M13" s="63"/>
      <c r="N13" s="63"/>
      <c r="O13" s="63"/>
      <c r="P13" s="63"/>
      <c r="Q13" s="63"/>
      <c r="R13" s="63"/>
      <c r="S13" s="63"/>
      <c r="T13" s="63"/>
      <c r="U13" s="63"/>
      <c r="V13" s="63"/>
      <c r="W13" s="63"/>
      <c r="X13" s="63"/>
      <c r="Y13" s="63"/>
      <c r="Z13" s="63"/>
      <c r="AA13" s="63"/>
      <c r="AB13" s="63"/>
    </row>
    <row r="14" spans="1:28" ht="26.25" customHeight="1" thickBot="1" x14ac:dyDescent="0.25">
      <c r="A14" s="63"/>
      <c r="B14" s="115"/>
      <c r="C14" s="116"/>
      <c r="D14" s="110"/>
      <c r="E14" s="63"/>
      <c r="F14" s="114">
        <v>37</v>
      </c>
      <c r="G14" s="112" t="str">
        <f>C25</f>
        <v>D4</v>
      </c>
      <c r="H14" s="113" t="str">
        <f t="shared" si="0"/>
        <v>S2 B7D4</v>
      </c>
      <c r="I14" s="63"/>
      <c r="J14" s="63"/>
      <c r="K14" s="63"/>
      <c r="L14" s="63"/>
      <c r="M14" s="63"/>
      <c r="N14" s="63"/>
      <c r="O14" s="63"/>
      <c r="P14" s="63"/>
      <c r="Q14" s="63"/>
      <c r="R14" s="63"/>
      <c r="S14" s="63"/>
      <c r="T14" s="63"/>
      <c r="U14" s="63"/>
      <c r="V14" s="63"/>
      <c r="W14" s="63"/>
      <c r="X14" s="63"/>
      <c r="Y14" s="63"/>
      <c r="Z14" s="63"/>
      <c r="AA14" s="63"/>
      <c r="AB14" s="63"/>
    </row>
    <row r="15" spans="1:28" s="2" customFormat="1" ht="30.75" customHeight="1" thickBot="1" x14ac:dyDescent="0.25">
      <c r="A15" s="109"/>
      <c r="B15" s="103" t="s">
        <v>65</v>
      </c>
      <c r="C15" s="198" t="str">
        <f>IF('Modem Registers Calculations'!C9="ON","ON","OFF")</f>
        <v>ON</v>
      </c>
      <c r="D15" s="110" t="s">
        <v>297</v>
      </c>
      <c r="E15" s="109"/>
      <c r="F15" s="114">
        <v>38</v>
      </c>
      <c r="G15" s="112" t="str">
        <f>C26</f>
        <v>00</v>
      </c>
      <c r="H15" s="113" t="str">
        <f t="shared" si="0"/>
        <v>S2 B800</v>
      </c>
      <c r="I15" s="109"/>
      <c r="J15" s="109"/>
      <c r="K15" s="109"/>
      <c r="L15" s="109"/>
      <c r="M15" s="109"/>
      <c r="N15" s="109"/>
      <c r="O15" s="109"/>
      <c r="P15" s="109"/>
      <c r="Q15" s="109"/>
      <c r="R15" s="109"/>
      <c r="S15" s="109"/>
      <c r="T15" s="109"/>
      <c r="U15" s="109"/>
      <c r="V15" s="109"/>
      <c r="W15" s="109"/>
      <c r="X15" s="109"/>
      <c r="Y15" s="109"/>
      <c r="Z15" s="109"/>
      <c r="AA15" s="109"/>
      <c r="AB15" s="109"/>
    </row>
    <row r="16" spans="1:28" s="2" customFormat="1" ht="24.75" customHeight="1" thickBot="1" x14ac:dyDescent="0.25">
      <c r="A16" s="109"/>
      <c r="B16" s="103" t="s">
        <v>66</v>
      </c>
      <c r="C16" s="95" t="s">
        <v>69</v>
      </c>
      <c r="D16" s="110" t="str">
        <f>IF(EXACT(C15,"OFF"),PH_general!$K$30,IF(C16="No Inversion",PH_general!$K$34,PH_general!$K$35))</f>
        <v>" 1 --&gt; 0 " = " 1 "</v>
      </c>
      <c r="E16" s="109"/>
      <c r="F16" s="114">
        <v>39</v>
      </c>
      <c r="G16" s="112" t="str">
        <f>C27</f>
        <v>00</v>
      </c>
      <c r="H16" s="113" t="str">
        <f t="shared" si="0"/>
        <v>S2 B900</v>
      </c>
      <c r="I16" s="109"/>
      <c r="J16" s="109"/>
      <c r="K16" s="109"/>
      <c r="L16" s="109"/>
      <c r="M16" s="109"/>
      <c r="N16" s="109"/>
      <c r="O16" s="109"/>
      <c r="P16" s="109"/>
      <c r="Q16" s="109"/>
      <c r="R16" s="109"/>
      <c r="S16" s="109"/>
      <c r="T16" s="109"/>
      <c r="U16" s="109"/>
      <c r="V16" s="120"/>
      <c r="W16" s="109"/>
      <c r="X16" s="109"/>
      <c r="Y16" s="109"/>
      <c r="Z16" s="109"/>
      <c r="AA16" s="63"/>
      <c r="AB16" s="109"/>
    </row>
    <row r="17" spans="1:28" s="2" customFormat="1" ht="27.75" customHeight="1" thickBot="1" x14ac:dyDescent="0.25">
      <c r="A17" s="109"/>
      <c r="B17" s="135" t="s">
        <v>151</v>
      </c>
      <c r="C17" s="144" t="s">
        <v>84</v>
      </c>
      <c r="D17" s="110" t="str">
        <f>IF(C17=PH_general!$G$68,PH_general!$K$68,IF(C17=PH_general!$G$69,PH_general!$K$69,IF(C17=PH_general!$G$70,PH_general!$K$70,IF(C17=PH_general!$G$71,PH_general!$K$71,"N/A"))))</f>
        <v>No TX Data CLK is available outside the chip</v>
      </c>
      <c r="E17" s="109"/>
      <c r="F17" s="114">
        <v>70</v>
      </c>
      <c r="G17" s="162" t="str">
        <f>BIN2HEX(CONCATENATE(T28,U28,V28,W28,X28,Y28,Z28),2)</f>
        <v>26</v>
      </c>
      <c r="H17" s="113" t="str">
        <f t="shared" si="0"/>
        <v>S2 F026</v>
      </c>
      <c r="I17" s="109"/>
      <c r="J17" s="109"/>
      <c r="K17" s="109"/>
      <c r="L17" s="109"/>
      <c r="M17" s="109"/>
      <c r="N17" s="109"/>
      <c r="O17" s="109"/>
      <c r="P17" s="109"/>
      <c r="Q17" s="109"/>
      <c r="R17" s="109"/>
      <c r="S17" s="121"/>
      <c r="T17" s="121"/>
      <c r="U17" s="121"/>
      <c r="V17" s="120"/>
      <c r="W17" s="109"/>
      <c r="X17" s="109"/>
      <c r="Y17" s="109"/>
      <c r="Z17" s="109"/>
      <c r="AA17" s="109"/>
      <c r="AB17" s="109"/>
    </row>
    <row r="18" spans="1:28" s="2" customFormat="1" ht="33.75" customHeight="1" thickBot="1" x14ac:dyDescent="0.25">
      <c r="A18" s="109"/>
      <c r="E18" s="109"/>
      <c r="F18" s="130">
        <v>71</v>
      </c>
      <c r="G18" s="162" t="str">
        <f>BIN2HEX(CONCATENATE(T31,U31,V31,W31,X31),2)</f>
        <v>2A</v>
      </c>
      <c r="H18" s="132" t="str">
        <f t="shared" si="0"/>
        <v>S2 F12A</v>
      </c>
      <c r="I18" s="109"/>
      <c r="J18" s="109"/>
      <c r="K18" s="109"/>
      <c r="L18" s="109"/>
      <c r="M18" s="109"/>
      <c r="N18" s="109"/>
      <c r="O18" s="109"/>
      <c r="P18" s="109"/>
      <c r="Q18" s="109"/>
      <c r="R18" s="109"/>
      <c r="S18" s="109"/>
      <c r="T18" s="109"/>
      <c r="U18" s="109"/>
      <c r="V18" s="109"/>
      <c r="W18" s="109"/>
      <c r="X18" s="120"/>
      <c r="Y18" s="120"/>
      <c r="Z18" s="120"/>
      <c r="AA18" s="63"/>
      <c r="AB18" s="109"/>
    </row>
    <row r="19" spans="1:28" s="2" customFormat="1" ht="23.25" customHeight="1" x14ac:dyDescent="0.2">
      <c r="A19" s="109"/>
      <c r="B19" s="109"/>
      <c r="C19" s="109"/>
      <c r="D19" s="161"/>
      <c r="E19" s="109"/>
      <c r="F19" s="109"/>
      <c r="G19" s="109"/>
      <c r="H19" s="163"/>
      <c r="I19" s="109"/>
      <c r="J19" s="109"/>
      <c r="K19" s="109"/>
      <c r="L19" s="109"/>
      <c r="M19" s="109"/>
      <c r="N19" s="109"/>
      <c r="O19" s="109"/>
      <c r="P19" s="109"/>
      <c r="Q19" s="109"/>
      <c r="R19" s="109"/>
      <c r="S19" s="109"/>
      <c r="T19" s="109"/>
      <c r="U19" s="109"/>
      <c r="V19" s="109"/>
      <c r="W19" s="109"/>
      <c r="X19" s="109"/>
      <c r="Y19" s="109"/>
      <c r="Z19" s="109"/>
      <c r="AA19" s="63"/>
      <c r="AB19" s="109"/>
    </row>
    <row r="20" spans="1:28" s="2" customFormat="1" ht="29.25" customHeight="1" x14ac:dyDescent="0.2">
      <c r="A20" s="109"/>
      <c r="B20" s="164" t="s">
        <v>114</v>
      </c>
      <c r="C20" s="101" t="s">
        <v>304</v>
      </c>
      <c r="D20" s="102" t="s">
        <v>46</v>
      </c>
      <c r="E20" s="102" t="s">
        <v>142</v>
      </c>
      <c r="F20" s="109"/>
      <c r="G20" s="109"/>
      <c r="H20" s="163"/>
      <c r="I20" s="109"/>
      <c r="J20" s="109"/>
      <c r="K20" s="109"/>
      <c r="L20" s="109"/>
      <c r="M20" s="109"/>
      <c r="N20" s="109"/>
      <c r="O20" s="109"/>
      <c r="P20" s="109"/>
      <c r="Q20" s="109"/>
      <c r="R20" s="109"/>
      <c r="S20" s="123" t="s">
        <v>109</v>
      </c>
      <c r="T20" s="109"/>
      <c r="U20" s="109"/>
      <c r="V20" s="124"/>
      <c r="W20" s="124"/>
      <c r="X20" s="124"/>
      <c r="Y20" s="109"/>
      <c r="Z20" s="109"/>
      <c r="AA20" s="63"/>
      <c r="AB20" s="109"/>
    </row>
    <row r="21" spans="1:28" s="2" customFormat="1" ht="21" customHeight="1" thickBot="1" x14ac:dyDescent="0.25">
      <c r="A21" s="109"/>
      <c r="B21" s="115"/>
      <c r="C21" s="122"/>
      <c r="D21" s="110"/>
      <c r="E21" s="109"/>
      <c r="F21" s="165"/>
      <c r="G21" s="165"/>
      <c r="H21" s="163"/>
      <c r="I21" s="109"/>
      <c r="J21" s="109"/>
      <c r="K21" s="109"/>
      <c r="L21" s="109"/>
      <c r="M21" s="109"/>
      <c r="N21" s="109"/>
      <c r="O21" s="109"/>
      <c r="P21" s="109"/>
      <c r="Q21" s="109"/>
      <c r="R21" s="109"/>
      <c r="S21" s="120">
        <v>30</v>
      </c>
      <c r="T21" s="121" t="s">
        <v>36</v>
      </c>
      <c r="U21" s="121" t="s">
        <v>14</v>
      </c>
      <c r="V21" s="65" t="s">
        <v>15</v>
      </c>
      <c r="W21" s="65" t="s">
        <v>16</v>
      </c>
      <c r="X21" s="65" t="s">
        <v>3</v>
      </c>
      <c r="Y21" s="65" t="s">
        <v>12</v>
      </c>
      <c r="Z21" s="65" t="s">
        <v>4</v>
      </c>
      <c r="AA21" s="63"/>
      <c r="AB21" s="109"/>
    </row>
    <row r="22" spans="1:28" s="2" customFormat="1" ht="33.75" customHeight="1" thickBot="1" x14ac:dyDescent="0.3">
      <c r="A22" s="109"/>
      <c r="B22" s="103" t="s">
        <v>40</v>
      </c>
      <c r="C22" s="95" t="s">
        <v>42</v>
      </c>
      <c r="D22" s="110" t="str">
        <f>IF((EXACT(C22,PH_general!H29)=TRUE),PH_general!$K$11,IF((EXACT(C22,PH_general!H28)=TRUE),PH_general!$K$12,PH_general!$K$13))</f>
        <v>No Need to configure sync Word, default values are available</v>
      </c>
      <c r="E22" s="109"/>
      <c r="F22" s="166"/>
      <c r="G22" s="166"/>
      <c r="H22" s="163"/>
      <c r="I22" s="109"/>
      <c r="J22" s="109"/>
      <c r="K22" s="109"/>
      <c r="L22" s="109"/>
      <c r="M22" s="109"/>
      <c r="N22" s="109"/>
      <c r="O22" s="109"/>
      <c r="P22" s="109"/>
      <c r="Q22" s="109"/>
      <c r="R22" s="109"/>
      <c r="S22" s="63"/>
      <c r="T22" s="125" t="str">
        <f>IF((EXACT(C8,PH_general!$G$10)=TRUE),"1",IF((EXACT(C8,PH_general!$G$11)=TRUE),"0","N/A"))</f>
        <v>0</v>
      </c>
      <c r="U22" s="125" t="str">
        <f>IF((EXACT(C9,PH_general!$G$14)=TRUE),"1",IF((EXACT(C9,PH_general!$G$15)=TRUE),"0","N/A"))</f>
        <v>1</v>
      </c>
      <c r="V22" s="125" t="str">
        <f>IF((EXACT(C40,PH_general!$G$17)=TRUE),"1",IF((EXACT(C40,PH_general!$G$18)=TRUE),"0","N/A"))</f>
        <v>1</v>
      </c>
      <c r="W22" s="65">
        <v>0</v>
      </c>
      <c r="X22" s="125" t="str">
        <f>IF((EXACT(C8,PH_general!$G$10)=TRUE),"1",IF((EXACT(C8,PH_general!$G$11)=TRUE),"0","N/A"))</f>
        <v>0</v>
      </c>
      <c r="Y22" s="125" t="str">
        <f>IF((EXACT(C39,PH_general!$G$17)=TRUE),"1",IF((EXACT(C39,PH_general!$G$18)=TRUE),"0","N/A"))</f>
        <v>0</v>
      </c>
      <c r="Z22" s="125" t="str">
        <f>IF((EXACT(C41,PH_general!G20)=TRUE),"00",IF((EXACT(C41,PH_general!G21)=TRUE),"01",IF((EXACT(C41,PH_general!G22)=TRUE),"10",IF((EXACT(C41,PH_general!G23)=TRUE),"11","N/A"))))</f>
        <v>01</v>
      </c>
      <c r="AA22" s="63"/>
      <c r="AB22" s="109"/>
    </row>
    <row r="23" spans="1:28" s="2" customFormat="1" ht="19.5" customHeight="1" thickBot="1" x14ac:dyDescent="0.25">
      <c r="A23" s="109"/>
      <c r="B23" s="109"/>
      <c r="C23" s="109"/>
      <c r="D23" s="161"/>
      <c r="E23" s="109"/>
      <c r="F23" s="165"/>
      <c r="G23" s="165"/>
      <c r="H23" s="163"/>
      <c r="I23" s="109"/>
      <c r="J23" s="109"/>
      <c r="K23" s="109"/>
      <c r="L23" s="109"/>
      <c r="M23" s="109"/>
      <c r="N23" s="109"/>
      <c r="O23" s="109"/>
      <c r="P23" s="109"/>
      <c r="Q23" s="109"/>
      <c r="R23" s="109"/>
      <c r="S23" s="109"/>
      <c r="T23" s="109"/>
      <c r="U23" s="109"/>
      <c r="V23" s="109"/>
      <c r="W23" s="109"/>
      <c r="X23" s="109"/>
      <c r="Y23" s="109"/>
      <c r="Z23" s="109"/>
      <c r="AA23" s="109"/>
      <c r="AB23" s="109"/>
    </row>
    <row r="24" spans="1:28" s="4" customFormat="1" ht="18" customHeight="1" thickBot="1" x14ac:dyDescent="0.25">
      <c r="A24" s="120"/>
      <c r="B24" s="103" t="s">
        <v>80</v>
      </c>
      <c r="C24" s="143" t="s">
        <v>86</v>
      </c>
      <c r="D24" s="110" t="s">
        <v>111</v>
      </c>
      <c r="E24" s="120"/>
      <c r="F24" s="165"/>
      <c r="G24" s="165"/>
      <c r="H24" s="163"/>
      <c r="I24" s="65"/>
      <c r="J24" s="120"/>
      <c r="K24" s="63"/>
      <c r="L24" s="63"/>
      <c r="M24" s="63"/>
      <c r="N24" s="63"/>
      <c r="O24" s="120"/>
      <c r="P24" s="120"/>
      <c r="Q24" s="120"/>
      <c r="R24" s="120"/>
      <c r="S24" s="120">
        <v>33</v>
      </c>
      <c r="T24" s="121" t="s">
        <v>36</v>
      </c>
      <c r="U24" s="121" t="s">
        <v>37</v>
      </c>
      <c r="V24" s="65" t="s">
        <v>3</v>
      </c>
      <c r="W24" s="65" t="s">
        <v>45</v>
      </c>
      <c r="X24" s="65" t="s">
        <v>18</v>
      </c>
      <c r="Y24" s="109"/>
      <c r="Z24" s="109"/>
      <c r="AA24" s="109"/>
      <c r="AB24" s="120"/>
    </row>
    <row r="25" spans="1:28" s="2" customFormat="1" ht="23.25" customHeight="1" thickBot="1" x14ac:dyDescent="0.3">
      <c r="A25" s="109"/>
      <c r="B25" s="103" t="s">
        <v>82</v>
      </c>
      <c r="C25" s="143" t="s">
        <v>85</v>
      </c>
      <c r="D25" s="110" t="s">
        <v>111</v>
      </c>
      <c r="E25" s="109"/>
      <c r="F25" s="165"/>
      <c r="G25" s="165"/>
      <c r="H25" s="163"/>
      <c r="I25" s="65"/>
      <c r="J25" s="109"/>
      <c r="K25" s="65"/>
      <c r="L25" s="63"/>
      <c r="M25" s="63"/>
      <c r="N25" s="63"/>
      <c r="O25" s="109"/>
      <c r="P25" s="109"/>
      <c r="Q25" s="109"/>
      <c r="R25" s="109"/>
      <c r="S25" s="109"/>
      <c r="T25" s="120">
        <v>0</v>
      </c>
      <c r="U25" s="125" t="str">
        <f>IF((EXACT(C47,PH_general!E26)=TRUE),"000",IF((EXACT(C47,PH_general!E27)=TRUE),"001",IF((EXACT(C47,PH_general!E28)=TRUE),"010",IF((EXACT(C47,PH_general!E29)=TRUE),"011",IF((EXACT(C47,PH_general!E30)=TRUE),"100","N/A")))))</f>
        <v>000</v>
      </c>
      <c r="V25" s="125" t="str">
        <f>IF((EXACT(C48,PH_general!$G$17)=TRUE),"0",IF((EXACT(C48,PH_general!$G$18)=TRUE),"1","N/A"))</f>
        <v>1</v>
      </c>
      <c r="W25" s="125" t="str">
        <f>IF((EXACT(C22,PH_general!H26)=TRUE),"00",IF((EXACT(C22,PH_general!H27)=TRUE),"01",IF((EXACT(C22,PH_general!H28)=TRUE),"10",IF((EXACT(C22,PH_general!H29)=TRUE),"11","N/A"))))</f>
        <v>01</v>
      </c>
      <c r="X25" s="120">
        <f>IF(C31&gt;255,1,0)</f>
        <v>0</v>
      </c>
      <c r="Y25" s="109"/>
      <c r="Z25" s="109"/>
      <c r="AA25" s="109"/>
      <c r="AB25" s="109"/>
    </row>
    <row r="26" spans="1:28" ht="18.75" customHeight="1" thickBot="1" x14ac:dyDescent="0.25">
      <c r="A26" s="63"/>
      <c r="B26" s="103" t="s">
        <v>83</v>
      </c>
      <c r="C26" s="143" t="s">
        <v>84</v>
      </c>
      <c r="D26" s="110" t="s">
        <v>111</v>
      </c>
      <c r="E26" s="109"/>
      <c r="F26" s="165"/>
      <c r="G26" s="165"/>
      <c r="H26" s="163"/>
      <c r="I26" s="65"/>
      <c r="J26" s="65"/>
      <c r="K26" s="65"/>
      <c r="L26" s="63"/>
      <c r="M26" s="63"/>
      <c r="N26" s="63"/>
      <c r="O26" s="63"/>
      <c r="P26" s="63"/>
      <c r="Q26" s="63"/>
      <c r="R26" s="63"/>
      <c r="S26" s="109"/>
      <c r="T26" s="109"/>
      <c r="U26" s="120"/>
      <c r="V26" s="109"/>
      <c r="W26" s="109"/>
      <c r="X26" s="109"/>
      <c r="Y26" s="109"/>
      <c r="Z26" s="109"/>
      <c r="AA26" s="109"/>
      <c r="AB26" s="63"/>
    </row>
    <row r="27" spans="1:28" ht="23.25" customHeight="1" thickBot="1" x14ac:dyDescent="0.25">
      <c r="A27" s="63"/>
      <c r="B27" s="103" t="s">
        <v>81</v>
      </c>
      <c r="C27" s="143" t="s">
        <v>84</v>
      </c>
      <c r="D27" s="110" t="s">
        <v>111</v>
      </c>
      <c r="E27" s="109"/>
      <c r="F27" s="165"/>
      <c r="G27" s="165"/>
      <c r="H27" s="163"/>
      <c r="I27" s="65"/>
      <c r="J27" s="65"/>
      <c r="K27" s="65"/>
      <c r="L27" s="63"/>
      <c r="M27" s="65"/>
      <c r="N27" s="63"/>
      <c r="O27" s="63"/>
      <c r="P27" s="63"/>
      <c r="Q27" s="63"/>
      <c r="R27" s="63"/>
      <c r="S27" s="65">
        <v>70</v>
      </c>
      <c r="T27" s="65" t="s">
        <v>275</v>
      </c>
      <c r="U27" s="65" t="s">
        <v>15</v>
      </c>
      <c r="V27" s="65" t="s">
        <v>16</v>
      </c>
      <c r="W27" s="65" t="s">
        <v>3</v>
      </c>
      <c r="X27" s="65" t="s">
        <v>12</v>
      </c>
      <c r="Y27" s="65" t="s">
        <v>17</v>
      </c>
      <c r="Z27" s="65" t="s">
        <v>18</v>
      </c>
      <c r="AA27" s="109"/>
      <c r="AB27" s="63"/>
    </row>
    <row r="28" spans="1:28" ht="16.5" thickBot="1" x14ac:dyDescent="0.3">
      <c r="A28" s="63"/>
      <c r="B28" s="115"/>
      <c r="C28" s="126"/>
      <c r="D28" s="110"/>
      <c r="E28" s="120"/>
      <c r="F28" s="165"/>
      <c r="G28" s="165"/>
      <c r="H28" s="163"/>
      <c r="I28" s="65"/>
      <c r="J28" s="63"/>
      <c r="K28" s="65"/>
      <c r="L28" s="63"/>
      <c r="M28" s="63"/>
      <c r="N28" s="63"/>
      <c r="O28" s="63"/>
      <c r="P28" s="63"/>
      <c r="Q28" s="63"/>
      <c r="R28" s="63"/>
      <c r="S28" s="63"/>
      <c r="T28" s="121" t="s">
        <v>84</v>
      </c>
      <c r="U28" s="65">
        <f>'Modem Registers Calculations'!I37</f>
        <v>1</v>
      </c>
      <c r="V28" s="65">
        <v>0</v>
      </c>
      <c r="W28" s="125" t="str">
        <f>IF((EXACT(C43,PH_general!$B$10)=TRUE),"1",IF((EXACT(C43,PH_general!$B$9)=TRUE),"0","N/A"))</f>
        <v>0</v>
      </c>
      <c r="X28" s="125" t="str">
        <f>IF((EXACT(C16,PH_general!$B$5)=TRUE),"1",IF((EXACT(C16,PH_general!$B$6)=TRUE),"0","N/A"))</f>
        <v>1</v>
      </c>
      <c r="Y28" s="125">
        <f>'Modem Registers Calculations'!H62</f>
        <v>1</v>
      </c>
      <c r="Z28" s="125" t="str">
        <f>IF((EXACT(C45,PH_general!$G$10)=TRUE),"1",IF((EXACT(C45,PH_general!$G$11)=TRUE),"0","N/A"))</f>
        <v>0</v>
      </c>
      <c r="AA28" s="63"/>
      <c r="AB28" s="63"/>
    </row>
    <row r="29" spans="1:28" ht="33" customHeight="1" thickBot="1" x14ac:dyDescent="0.25">
      <c r="A29" s="63"/>
      <c r="B29" s="127" t="s">
        <v>145</v>
      </c>
      <c r="C29" s="95">
        <v>5</v>
      </c>
      <c r="D29" s="141" t="str">
        <f>CONCATENATE(PH_general!$K$64,C29*4,PH_general!$K$65)</f>
        <v>This means we will evaluate the preamble for 20 bits.</v>
      </c>
      <c r="E29" s="142" t="s">
        <v>146</v>
      </c>
      <c r="F29" s="165"/>
      <c r="G29" s="165"/>
      <c r="H29" s="163"/>
      <c r="I29" s="65"/>
      <c r="J29" s="65"/>
      <c r="K29" s="65"/>
      <c r="L29" s="63"/>
      <c r="M29" s="65"/>
      <c r="N29" s="63"/>
      <c r="O29" s="63"/>
      <c r="P29" s="63"/>
      <c r="Q29" s="63"/>
      <c r="R29" s="63"/>
      <c r="S29" s="109"/>
      <c r="T29" s="109"/>
      <c r="U29" s="109"/>
      <c r="V29" s="109"/>
      <c r="W29" s="109"/>
      <c r="X29" s="109"/>
      <c r="Y29" s="63"/>
      <c r="Z29" s="63"/>
      <c r="AA29" s="63"/>
      <c r="AB29" s="63"/>
    </row>
    <row r="30" spans="1:28" ht="13.5" thickBot="1" x14ac:dyDescent="0.25">
      <c r="A30" s="63"/>
      <c r="B30" s="115"/>
      <c r="C30" s="116"/>
      <c r="D30" s="110"/>
      <c r="E30" s="63"/>
      <c r="F30" s="165"/>
      <c r="G30" s="165"/>
      <c r="H30" s="163"/>
      <c r="I30" s="65"/>
      <c r="J30" s="65"/>
      <c r="K30" s="65"/>
      <c r="L30" s="63"/>
      <c r="M30" s="65"/>
      <c r="N30" s="63"/>
      <c r="O30" s="63"/>
      <c r="P30" s="63"/>
      <c r="Q30" s="63"/>
      <c r="R30" s="63"/>
      <c r="S30" s="124">
        <v>71</v>
      </c>
      <c r="T30" s="65" t="s">
        <v>275</v>
      </c>
      <c r="U30" s="122" t="s">
        <v>1</v>
      </c>
      <c r="V30" s="122" t="s">
        <v>3</v>
      </c>
      <c r="W30" s="126" t="s">
        <v>12</v>
      </c>
      <c r="X30" s="122" t="s">
        <v>4</v>
      </c>
      <c r="Y30" s="65"/>
      <c r="Z30" s="65"/>
      <c r="AA30" s="63"/>
      <c r="AB30" s="63"/>
    </row>
    <row r="31" spans="1:28" ht="44.25" customHeight="1" thickBot="1" x14ac:dyDescent="0.3">
      <c r="A31" s="63"/>
      <c r="B31" s="127" t="str">
        <f>CONCATENATE("Select Preamble Length (in ",IF(EXACT('Modem Registers Calculations'!$C$9,"ON"),"bytes","nibbles")," resolution) -  (Decimal value between 0 to 511)")</f>
        <v>Select Preamble Length (in bytes resolution) -  (Decimal value between 0 to 511)</v>
      </c>
      <c r="C31" s="95">
        <v>5</v>
      </c>
      <c r="D31" s="167"/>
      <c r="E31" s="168" t="s">
        <v>149</v>
      </c>
      <c r="F31" s="63"/>
      <c r="G31" s="63"/>
      <c r="H31" s="163"/>
      <c r="I31" s="65"/>
      <c r="J31" s="63"/>
      <c r="K31" s="65"/>
      <c r="L31" s="63"/>
      <c r="M31" s="63"/>
      <c r="N31" s="63"/>
      <c r="O31" s="63"/>
      <c r="P31" s="63"/>
      <c r="Q31" s="63"/>
      <c r="R31" s="63"/>
      <c r="S31" s="124"/>
      <c r="T31" s="116" t="str">
        <f>C17</f>
        <v>00</v>
      </c>
      <c r="U31" s="122" t="s">
        <v>2</v>
      </c>
      <c r="V31" s="169" t="str">
        <f>IF((EXACT(C12,PH_general!$G$10)=TRUE),"1",IF((EXACT(C12,PH_general!$G$11)=TRUE),"0","N/A"))</f>
        <v>1</v>
      </c>
      <c r="W31" s="126">
        <f>IF('Modem Registers Calculations'!$C$46&gt;255,1,0)</f>
        <v>0</v>
      </c>
      <c r="X31" s="169" t="str">
        <f>IF((EXACT(C11,PH_general!G5)=TRUE),"01",IF((EXACT(C11,PH_general!G6)=TRUE),"10",IF((EXACT(C11,PH_general!G7)=TRUE),"11","N/A")))</f>
        <v>10</v>
      </c>
      <c r="Y31" s="125"/>
      <c r="Z31" s="125"/>
      <c r="AA31" s="63"/>
      <c r="AB31" s="63"/>
    </row>
    <row r="32" spans="1:28" ht="18.75" customHeight="1" x14ac:dyDescent="0.2">
      <c r="A32" s="63"/>
      <c r="B32" s="63"/>
      <c r="C32" s="63"/>
      <c r="D32" s="158"/>
      <c r="E32" s="63"/>
      <c r="F32" s="63"/>
      <c r="G32" s="63"/>
      <c r="H32" s="63"/>
      <c r="I32" s="65"/>
      <c r="J32" s="65"/>
      <c r="K32" s="65"/>
      <c r="L32" s="63"/>
      <c r="M32" s="65"/>
      <c r="N32" s="63"/>
      <c r="O32" s="63"/>
      <c r="P32" s="63"/>
      <c r="Q32" s="63"/>
      <c r="R32" s="63"/>
      <c r="S32" s="63"/>
      <c r="T32" s="63"/>
      <c r="U32" s="63"/>
      <c r="V32" s="63"/>
      <c r="W32" s="63"/>
      <c r="X32" s="63"/>
      <c r="Y32" s="63"/>
      <c r="Z32" s="63"/>
      <c r="AA32" s="63"/>
      <c r="AB32" s="63"/>
    </row>
    <row r="33" spans="1:28" ht="20.25" customHeight="1" x14ac:dyDescent="0.2">
      <c r="A33" s="78"/>
      <c r="B33" s="170"/>
      <c r="C33" s="171"/>
      <c r="D33" s="172"/>
      <c r="E33" s="63"/>
      <c r="F33" s="63"/>
      <c r="G33" s="63"/>
      <c r="H33" s="63"/>
      <c r="I33" s="65"/>
      <c r="J33" s="65"/>
      <c r="K33" s="65"/>
      <c r="L33" s="63"/>
      <c r="M33" s="65"/>
      <c r="N33" s="63"/>
      <c r="O33" s="63"/>
      <c r="P33" s="63"/>
      <c r="Q33" s="63"/>
      <c r="R33" s="63"/>
      <c r="S33" s="63"/>
      <c r="T33" s="63"/>
      <c r="U33" s="63"/>
      <c r="V33" s="63"/>
      <c r="W33" s="63"/>
      <c r="X33" s="63"/>
      <c r="Y33" s="63"/>
      <c r="Z33" s="63"/>
      <c r="AA33" s="63"/>
      <c r="AB33" s="63"/>
    </row>
    <row r="34" spans="1:28" ht="30.75" customHeight="1" x14ac:dyDescent="0.2">
      <c r="A34" s="78"/>
      <c r="B34" s="170"/>
      <c r="C34" s="171"/>
      <c r="D34" s="172"/>
      <c r="E34" s="63"/>
      <c r="F34" s="133"/>
      <c r="G34" s="133"/>
      <c r="H34" s="63"/>
      <c r="I34" s="65"/>
      <c r="J34" s="63"/>
      <c r="K34" s="65"/>
      <c r="L34" s="63"/>
      <c r="M34" s="63"/>
      <c r="N34" s="63"/>
      <c r="O34" s="63"/>
      <c r="P34" s="63"/>
      <c r="Q34" s="63"/>
      <c r="R34" s="63"/>
      <c r="S34" s="63"/>
      <c r="T34" s="63"/>
      <c r="U34" s="63"/>
      <c r="V34" s="63"/>
      <c r="W34" s="63"/>
      <c r="X34" s="63"/>
      <c r="Y34" s="63"/>
      <c r="Z34" s="63"/>
      <c r="AA34" s="63"/>
      <c r="AB34" s="63"/>
    </row>
    <row r="35" spans="1:28" x14ac:dyDescent="0.2">
      <c r="A35" s="78"/>
      <c r="B35" s="170"/>
      <c r="C35" s="171"/>
      <c r="D35" s="172"/>
      <c r="E35" s="63"/>
      <c r="F35" s="133"/>
      <c r="G35" s="133"/>
      <c r="H35" s="63"/>
      <c r="I35" s="65"/>
      <c r="J35" s="65"/>
      <c r="K35" s="65"/>
      <c r="L35" s="63"/>
      <c r="M35" s="65"/>
      <c r="N35" s="63"/>
      <c r="O35" s="63"/>
      <c r="P35" s="63"/>
      <c r="Q35" s="63"/>
      <c r="R35" s="63"/>
      <c r="S35" s="63"/>
      <c r="T35" s="63"/>
      <c r="U35" s="63"/>
      <c r="V35" s="63"/>
      <c r="W35" s="63"/>
      <c r="X35" s="63"/>
      <c r="Y35" s="63"/>
      <c r="Z35" s="63"/>
      <c r="AA35" s="63"/>
      <c r="AB35" s="63"/>
    </row>
    <row r="36" spans="1:28" ht="31.5" customHeight="1" x14ac:dyDescent="0.2">
      <c r="A36" s="78"/>
      <c r="B36" s="173" t="s">
        <v>113</v>
      </c>
      <c r="C36" s="171"/>
      <c r="D36" s="172"/>
      <c r="E36" s="63"/>
      <c r="F36" s="65"/>
      <c r="G36" s="63"/>
      <c r="H36" s="63"/>
      <c r="I36" s="65"/>
      <c r="J36" s="65"/>
      <c r="K36" s="65"/>
      <c r="L36" s="63"/>
      <c r="M36" s="65"/>
      <c r="N36" s="63"/>
      <c r="O36" s="63"/>
      <c r="P36" s="63"/>
      <c r="Q36" s="63"/>
      <c r="R36" s="63"/>
      <c r="S36" s="63"/>
      <c r="T36" s="63"/>
      <c r="U36" s="63"/>
      <c r="V36" s="63"/>
      <c r="W36" s="63"/>
      <c r="X36" s="63"/>
      <c r="Y36" s="63"/>
      <c r="Z36" s="63"/>
      <c r="AA36" s="63"/>
      <c r="AB36" s="63"/>
    </row>
    <row r="37" spans="1:28" x14ac:dyDescent="0.2">
      <c r="A37" s="78"/>
      <c r="B37" s="170" t="s">
        <v>276</v>
      </c>
      <c r="C37" s="78"/>
      <c r="D37" s="174"/>
      <c r="E37" s="63"/>
      <c r="F37" s="63"/>
      <c r="G37" s="63"/>
      <c r="H37" s="63"/>
      <c r="I37" s="65"/>
      <c r="J37" s="63"/>
      <c r="K37" s="65"/>
      <c r="L37" s="63"/>
      <c r="M37" s="63"/>
      <c r="N37" s="63"/>
      <c r="O37" s="63"/>
      <c r="P37" s="63"/>
      <c r="Q37" s="63"/>
      <c r="R37" s="63"/>
      <c r="S37" s="63"/>
      <c r="T37" s="63"/>
      <c r="U37" s="63"/>
      <c r="V37" s="63"/>
      <c r="W37" s="63"/>
      <c r="X37" s="63"/>
      <c r="Y37" s="63"/>
      <c r="Z37" s="63"/>
      <c r="AA37" s="63"/>
      <c r="AB37" s="63"/>
    </row>
    <row r="38" spans="1:28" ht="21" customHeight="1" thickBot="1" x14ac:dyDescent="0.25">
      <c r="A38" s="78"/>
      <c r="B38" s="170"/>
      <c r="C38" s="175"/>
      <c r="D38" s="172"/>
      <c r="E38" s="486"/>
      <c r="F38" s="65"/>
      <c r="G38" s="63"/>
      <c r="H38" s="63"/>
      <c r="I38" s="65"/>
      <c r="J38" s="65"/>
      <c r="K38" s="65"/>
      <c r="L38" s="63"/>
      <c r="M38" s="63"/>
      <c r="N38" s="63"/>
      <c r="O38" s="63"/>
      <c r="P38" s="63"/>
      <c r="Q38" s="63"/>
      <c r="R38" s="63"/>
      <c r="S38" s="63"/>
      <c r="T38" s="63"/>
      <c r="U38" s="63"/>
      <c r="V38" s="63"/>
      <c r="W38" s="63"/>
      <c r="X38" s="63"/>
      <c r="Y38" s="63"/>
      <c r="Z38" s="63"/>
      <c r="AA38" s="63"/>
      <c r="AB38" s="63"/>
    </row>
    <row r="39" spans="1:28" ht="18.75" customHeight="1" thickBot="1" x14ac:dyDescent="0.25">
      <c r="A39" s="78"/>
      <c r="B39" s="103" t="s">
        <v>25</v>
      </c>
      <c r="C39" s="147" t="s">
        <v>24</v>
      </c>
      <c r="D39" s="110" t="s">
        <v>110</v>
      </c>
      <c r="E39" s="486"/>
      <c r="F39" s="63"/>
      <c r="G39" s="63"/>
      <c r="H39" s="63"/>
      <c r="I39" s="65"/>
      <c r="J39" s="65"/>
      <c r="K39" s="65"/>
      <c r="L39" s="63"/>
      <c r="M39" s="65"/>
      <c r="N39" s="63"/>
      <c r="O39" s="63"/>
      <c r="P39" s="63"/>
      <c r="Q39" s="63"/>
      <c r="R39" s="63"/>
      <c r="S39" s="63"/>
      <c r="T39" s="63"/>
      <c r="U39" s="63"/>
      <c r="V39" s="63"/>
      <c r="W39" s="63"/>
      <c r="X39" s="63"/>
      <c r="Y39" s="63"/>
      <c r="Z39" s="63"/>
      <c r="AA39" s="63"/>
      <c r="AB39" s="63"/>
    </row>
    <row r="40" spans="1:28" ht="20.25" customHeight="1" thickBot="1" x14ac:dyDescent="0.25">
      <c r="A40" s="78"/>
      <c r="B40" s="103" t="s">
        <v>22</v>
      </c>
      <c r="C40" s="147" t="s">
        <v>23</v>
      </c>
      <c r="D40" s="110" t="str">
        <f>IF(EXACT(C39,"NO"),PH_general!K4,IF((EXACT(C40,"YES")=TRUE),PH_general!K5,IF((EXACT(C40,"NO")=TRUE),PH_general!K6,"N/A")))</f>
        <v>CRC is not Enabled</v>
      </c>
      <c r="E40" s="486"/>
      <c r="F40" s="63"/>
      <c r="G40" s="63"/>
      <c r="H40" s="63"/>
      <c r="I40" s="63"/>
      <c r="J40" s="63"/>
      <c r="K40" s="63"/>
      <c r="L40" s="63"/>
      <c r="M40" s="63"/>
      <c r="N40" s="63"/>
      <c r="O40" s="63"/>
      <c r="P40" s="63"/>
      <c r="Q40" s="63"/>
      <c r="R40" s="63"/>
      <c r="S40" s="63"/>
      <c r="T40" s="63"/>
      <c r="U40" s="63"/>
      <c r="V40" s="63"/>
      <c r="W40" s="63"/>
      <c r="X40" s="63"/>
      <c r="Y40" s="63"/>
      <c r="Z40" s="63"/>
      <c r="AA40" s="63"/>
      <c r="AB40" s="63"/>
    </row>
    <row r="41" spans="1:28" ht="22.5" customHeight="1" thickBot="1" x14ac:dyDescent="0.25">
      <c r="A41" s="78"/>
      <c r="B41" s="103" t="s">
        <v>26</v>
      </c>
      <c r="C41" s="146" t="s">
        <v>28</v>
      </c>
      <c r="D41" s="110" t="str">
        <f>IF(EXACT(C39,"NO"),PH_general!$K$4,IF((EXACT(C40,"YES")=TRUE),PH_general!$K$5,IF((EXACT(C40,"NO")=TRUE),PH_general!$K$6,"N/A")))</f>
        <v>CRC is not Enabled</v>
      </c>
      <c r="E41" s="486"/>
      <c r="F41" s="65"/>
      <c r="G41" s="63"/>
      <c r="H41" s="63"/>
      <c r="I41" s="63"/>
      <c r="J41" s="63"/>
      <c r="K41" s="63"/>
      <c r="L41" s="63"/>
      <c r="M41" s="65"/>
      <c r="N41" s="63"/>
      <c r="O41" s="63"/>
      <c r="P41" s="63"/>
      <c r="Q41" s="63"/>
      <c r="R41" s="63"/>
      <c r="S41" s="63"/>
      <c r="T41" s="63"/>
      <c r="U41" s="63"/>
      <c r="V41" s="63"/>
      <c r="W41" s="63"/>
      <c r="X41" s="63"/>
      <c r="Y41" s="63"/>
      <c r="Z41" s="63"/>
      <c r="AA41" s="63"/>
      <c r="AB41" s="63"/>
    </row>
    <row r="42" spans="1:28" ht="13.5" thickBot="1" x14ac:dyDescent="0.25">
      <c r="A42" s="78"/>
      <c r="B42" s="63"/>
      <c r="C42" s="63"/>
      <c r="D42" s="141"/>
      <c r="E42" s="63"/>
      <c r="F42" s="65"/>
      <c r="G42" s="63"/>
      <c r="H42" s="63"/>
      <c r="I42" s="65"/>
      <c r="J42" s="65"/>
      <c r="K42" s="63"/>
      <c r="L42" s="63"/>
      <c r="M42" s="65"/>
      <c r="N42" s="63"/>
      <c r="O42" s="63"/>
      <c r="P42" s="63"/>
      <c r="Q42" s="63"/>
      <c r="R42" s="63"/>
      <c r="S42" s="63"/>
      <c r="T42" s="63"/>
      <c r="U42" s="63"/>
      <c r="V42" s="63"/>
      <c r="W42" s="63"/>
      <c r="X42" s="63"/>
      <c r="Y42" s="63"/>
      <c r="Z42" s="63"/>
      <c r="AA42" s="63"/>
      <c r="AB42" s="63"/>
    </row>
    <row r="43" spans="1:28" ht="13.5" thickBot="1" x14ac:dyDescent="0.25">
      <c r="A43" s="78"/>
      <c r="B43" s="103" t="s">
        <v>67</v>
      </c>
      <c r="C43" s="95" t="s">
        <v>70</v>
      </c>
      <c r="D43" s="110" t="s">
        <v>110</v>
      </c>
      <c r="E43" s="63"/>
      <c r="F43" s="63"/>
      <c r="G43" s="63"/>
      <c r="H43" s="63"/>
      <c r="I43" s="65"/>
      <c r="J43" s="63"/>
      <c r="K43" s="63"/>
      <c r="L43" s="63"/>
      <c r="M43" s="63"/>
      <c r="N43" s="63"/>
      <c r="O43" s="63"/>
      <c r="P43" s="63"/>
      <c r="Q43" s="63"/>
      <c r="R43" s="63"/>
      <c r="S43" s="63"/>
      <c r="T43" s="63"/>
      <c r="U43" s="63"/>
      <c r="V43" s="63"/>
      <c r="W43" s="63"/>
      <c r="X43" s="63"/>
      <c r="Y43" s="63"/>
      <c r="Z43" s="63"/>
      <c r="AA43" s="63"/>
      <c r="AB43" s="63"/>
    </row>
    <row r="44" spans="1:28" ht="13.5" thickBot="1" x14ac:dyDescent="0.25">
      <c r="A44" s="78"/>
      <c r="B44" s="63"/>
      <c r="C44" s="63"/>
      <c r="D44" s="141"/>
      <c r="E44" s="63"/>
      <c r="F44" s="63"/>
      <c r="G44" s="63"/>
      <c r="H44" s="63"/>
      <c r="I44" s="65"/>
      <c r="J44" s="65"/>
      <c r="K44" s="63"/>
      <c r="L44" s="63"/>
      <c r="M44" s="63"/>
      <c r="N44" s="63"/>
      <c r="O44" s="63"/>
      <c r="P44" s="63"/>
      <c r="Q44" s="63"/>
      <c r="R44" s="63"/>
      <c r="S44" s="63"/>
      <c r="T44" s="63"/>
      <c r="U44" s="63"/>
      <c r="V44" s="63"/>
      <c r="W44" s="63"/>
      <c r="X44" s="63"/>
      <c r="Y44" s="63"/>
      <c r="Z44" s="63"/>
      <c r="AA44" s="63"/>
      <c r="AB44" s="63"/>
    </row>
    <row r="45" spans="1:28" ht="13.5" thickBot="1" x14ac:dyDescent="0.25">
      <c r="A45" s="78"/>
      <c r="B45" s="103" t="s">
        <v>74</v>
      </c>
      <c r="C45" s="95" t="s">
        <v>10</v>
      </c>
      <c r="D45" s="161" t="s">
        <v>115</v>
      </c>
      <c r="E45" s="63"/>
      <c r="F45" s="65"/>
      <c r="G45" s="63"/>
      <c r="H45" s="63"/>
      <c r="I45" s="65"/>
      <c r="J45" s="65"/>
      <c r="K45" s="63"/>
      <c r="L45" s="63"/>
      <c r="M45" s="63"/>
      <c r="N45" s="63"/>
      <c r="O45" s="63"/>
      <c r="P45" s="63"/>
      <c r="Q45" s="63"/>
      <c r="R45" s="63"/>
      <c r="S45" s="63"/>
      <c r="T45" s="63"/>
      <c r="U45" s="63"/>
      <c r="V45" s="63"/>
      <c r="W45" s="63"/>
      <c r="X45" s="63"/>
      <c r="Y45" s="63"/>
      <c r="Z45" s="63"/>
      <c r="AA45" s="63"/>
      <c r="AB45" s="63"/>
    </row>
    <row r="46" spans="1:28" ht="13.5" thickBot="1" x14ac:dyDescent="0.25">
      <c r="A46" s="78"/>
      <c r="B46" s="63"/>
      <c r="C46" s="63"/>
      <c r="D46" s="141"/>
      <c r="E46" s="63"/>
      <c r="F46" s="65"/>
      <c r="G46" s="63"/>
      <c r="H46" s="63"/>
      <c r="I46" s="65"/>
      <c r="J46" s="63"/>
      <c r="K46" s="63"/>
      <c r="L46" s="63"/>
      <c r="M46" s="63"/>
      <c r="N46" s="63"/>
      <c r="O46" s="63"/>
      <c r="P46" s="63"/>
      <c r="Q46" s="63"/>
      <c r="R46" s="63"/>
      <c r="S46" s="63"/>
      <c r="T46" s="63"/>
      <c r="U46" s="63"/>
      <c r="V46" s="63"/>
      <c r="W46" s="63"/>
      <c r="X46" s="63"/>
      <c r="Y46" s="63"/>
      <c r="Z46" s="63"/>
      <c r="AA46" s="63"/>
      <c r="AB46" s="63"/>
    </row>
    <row r="47" spans="1:28" ht="13.5" thickBot="1" x14ac:dyDescent="0.25">
      <c r="A47" s="78"/>
      <c r="B47" s="103" t="s">
        <v>38</v>
      </c>
      <c r="C47" s="145" t="s">
        <v>31</v>
      </c>
      <c r="D47" s="110" t="s">
        <v>112</v>
      </c>
      <c r="E47" s="63"/>
      <c r="F47" s="63"/>
      <c r="G47" s="63"/>
      <c r="H47" s="63"/>
      <c r="I47" s="65"/>
      <c r="J47" s="65"/>
      <c r="K47" s="63"/>
      <c r="L47" s="63"/>
      <c r="M47" s="63"/>
      <c r="N47" s="63"/>
      <c r="O47" s="63"/>
      <c r="P47" s="63"/>
      <c r="Q47" s="63"/>
      <c r="R47" s="63"/>
      <c r="S47" s="63"/>
      <c r="T47" s="63"/>
      <c r="U47" s="63"/>
      <c r="V47" s="63"/>
      <c r="W47" s="63"/>
      <c r="X47" s="63"/>
      <c r="Y47" s="63"/>
      <c r="Z47" s="63"/>
      <c r="AA47" s="63"/>
      <c r="AB47" s="63"/>
    </row>
    <row r="48" spans="1:28" ht="17.25" customHeight="1" thickBot="1" x14ac:dyDescent="0.25">
      <c r="A48" s="78"/>
      <c r="B48" s="103" t="s">
        <v>39</v>
      </c>
      <c r="C48" s="95" t="s">
        <v>24</v>
      </c>
      <c r="D48" s="110" t="s">
        <v>112</v>
      </c>
      <c r="E48" s="63"/>
      <c r="F48" s="65"/>
      <c r="G48" s="63"/>
      <c r="H48" s="63"/>
      <c r="I48" s="65"/>
      <c r="J48" s="65"/>
      <c r="K48" s="63"/>
      <c r="L48" s="63"/>
      <c r="M48" s="63"/>
      <c r="N48" s="63"/>
      <c r="O48" s="63"/>
      <c r="P48" s="63"/>
      <c r="Q48" s="63"/>
      <c r="R48" s="63"/>
      <c r="S48" s="63"/>
      <c r="T48" s="63"/>
      <c r="U48" s="63"/>
      <c r="V48" s="63"/>
      <c r="W48" s="63"/>
      <c r="X48" s="63"/>
      <c r="Y48" s="63"/>
      <c r="Z48" s="63"/>
      <c r="AA48" s="63"/>
      <c r="AB48" s="63"/>
    </row>
    <row r="49" spans="1:28" ht="18.75" customHeight="1" x14ac:dyDescent="0.2">
      <c r="A49" s="63"/>
      <c r="B49" s="63"/>
      <c r="C49" s="63"/>
      <c r="D49" s="141"/>
      <c r="E49" s="63"/>
      <c r="F49" s="65"/>
      <c r="G49" s="63"/>
      <c r="H49" s="63"/>
      <c r="I49" s="65"/>
      <c r="J49" s="63"/>
      <c r="K49" s="63"/>
      <c r="L49" s="63"/>
      <c r="M49" s="63"/>
      <c r="N49" s="63"/>
      <c r="O49" s="63"/>
      <c r="P49" s="63"/>
      <c r="Q49" s="63"/>
      <c r="R49" s="63"/>
      <c r="S49" s="63"/>
      <c r="T49" s="63"/>
      <c r="U49" s="63"/>
      <c r="V49" s="63"/>
      <c r="W49" s="63"/>
      <c r="X49" s="63"/>
      <c r="Y49" s="63"/>
      <c r="Z49" s="63"/>
      <c r="AA49" s="63"/>
      <c r="AB49" s="63"/>
    </row>
    <row r="50" spans="1:28" ht="17.25" customHeight="1" x14ac:dyDescent="0.2">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row>
    <row r="51" spans="1:28" ht="18.75" customHeight="1" x14ac:dyDescent="0.2">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63"/>
    </row>
    <row r="52" spans="1:28" x14ac:dyDescent="0.2">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row>
    <row r="53" spans="1:28" x14ac:dyDescent="0.2">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3"/>
    </row>
    <row r="54" spans="1:28" ht="28.5" customHeight="1" x14ac:dyDescent="0.2">
      <c r="A54" s="63"/>
      <c r="B54" s="63"/>
      <c r="C54" s="63"/>
      <c r="D54" s="63"/>
      <c r="E54" s="63"/>
      <c r="F54" s="65"/>
      <c r="G54" s="63"/>
      <c r="H54" s="63"/>
      <c r="I54" s="63"/>
      <c r="J54" s="63"/>
      <c r="K54" s="63"/>
      <c r="L54" s="63"/>
      <c r="M54" s="63"/>
      <c r="N54" s="63"/>
      <c r="O54" s="63"/>
      <c r="P54" s="63"/>
      <c r="Q54" s="63"/>
      <c r="R54" s="63"/>
      <c r="S54" s="63"/>
      <c r="T54" s="63"/>
      <c r="U54" s="63"/>
      <c r="V54" s="63"/>
      <c r="W54" s="63"/>
      <c r="X54" s="63"/>
      <c r="Y54" s="63"/>
      <c r="Z54" s="63"/>
      <c r="AA54" s="63"/>
      <c r="AB54" s="63"/>
    </row>
    <row r="55" spans="1:28" ht="30" customHeight="1" x14ac:dyDescent="0.2">
      <c r="A55" s="63"/>
      <c r="B55" s="63"/>
      <c r="C55" s="63"/>
      <c r="D55" s="63"/>
      <c r="E55" s="63"/>
      <c r="F55" s="65"/>
      <c r="G55" s="63"/>
      <c r="H55" s="63"/>
      <c r="I55" s="63"/>
      <c r="J55" s="63"/>
      <c r="K55" s="63"/>
      <c r="L55" s="63"/>
      <c r="M55" s="63"/>
      <c r="N55" s="63"/>
      <c r="O55" s="63"/>
      <c r="P55" s="63"/>
      <c r="Q55" s="63"/>
      <c r="R55" s="63"/>
      <c r="S55" s="63"/>
      <c r="T55" s="63"/>
      <c r="U55" s="63"/>
      <c r="V55" s="63"/>
      <c r="W55" s="63"/>
      <c r="X55" s="63"/>
      <c r="Y55" s="63"/>
      <c r="Z55" s="63"/>
      <c r="AA55" s="63"/>
      <c r="AB55" s="63"/>
    </row>
    <row r="56" spans="1:28" ht="28.5" customHeight="1" x14ac:dyDescent="0.2">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c r="AA56" s="63"/>
      <c r="AB56" s="63"/>
    </row>
    <row r="57" spans="1:28" ht="28.5" customHeight="1" x14ac:dyDescent="0.2">
      <c r="A57" s="63"/>
      <c r="B57" s="63"/>
      <c r="C57" s="63"/>
      <c r="D57" s="63"/>
      <c r="E57" s="63"/>
      <c r="F57" s="65"/>
      <c r="G57" s="63"/>
      <c r="H57" s="63"/>
      <c r="I57" s="63"/>
      <c r="J57" s="63"/>
      <c r="K57" s="63"/>
      <c r="L57" s="63"/>
      <c r="M57" s="63"/>
      <c r="N57" s="63"/>
      <c r="O57" s="63"/>
      <c r="P57" s="63"/>
      <c r="Q57" s="63"/>
      <c r="R57" s="63"/>
      <c r="S57" s="63"/>
      <c r="T57" s="63"/>
      <c r="U57" s="63"/>
      <c r="V57" s="63"/>
      <c r="W57" s="63"/>
      <c r="X57" s="63"/>
      <c r="Y57" s="63"/>
      <c r="Z57" s="63"/>
      <c r="AA57" s="63"/>
      <c r="AB57" s="63"/>
    </row>
    <row r="58" spans="1:28" ht="24" customHeight="1" x14ac:dyDescent="0.2">
      <c r="A58" s="63"/>
      <c r="B58" s="63"/>
      <c r="C58" s="63"/>
      <c r="D58" s="63"/>
      <c r="E58" s="63"/>
      <c r="F58" s="65"/>
      <c r="G58" s="63"/>
      <c r="H58" s="63"/>
      <c r="I58" s="63"/>
      <c r="J58" s="63"/>
      <c r="K58" s="63"/>
      <c r="L58" s="63"/>
      <c r="M58" s="63"/>
      <c r="N58" s="63"/>
      <c r="O58" s="63"/>
      <c r="P58" s="63"/>
      <c r="Q58" s="63"/>
      <c r="R58" s="63"/>
      <c r="S58" s="63"/>
      <c r="T58" s="63"/>
      <c r="U58" s="63"/>
      <c r="V58" s="63"/>
      <c r="W58" s="63"/>
      <c r="X58" s="63"/>
      <c r="Y58" s="63"/>
      <c r="Z58" s="63"/>
      <c r="AA58" s="63"/>
      <c r="AB58" s="63"/>
    </row>
    <row r="59" spans="1:28" ht="25.5" customHeight="1" x14ac:dyDescent="0.2">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3"/>
    </row>
    <row r="60" spans="1:28" ht="25.5" customHeight="1" x14ac:dyDescent="0.2">
      <c r="A60" s="63"/>
      <c r="B60" s="63"/>
      <c r="C60" s="63"/>
      <c r="D60" s="105"/>
      <c r="E60" s="63"/>
      <c r="F60" s="63"/>
      <c r="G60" s="63"/>
      <c r="H60" s="63"/>
      <c r="I60" s="63"/>
      <c r="J60" s="63"/>
      <c r="K60" s="63"/>
      <c r="L60" s="63"/>
      <c r="M60" s="63"/>
      <c r="N60" s="63"/>
      <c r="O60" s="63"/>
      <c r="P60" s="63"/>
      <c r="Q60" s="63"/>
      <c r="R60" s="63"/>
      <c r="S60" s="63"/>
      <c r="T60" s="63"/>
      <c r="U60" s="63"/>
      <c r="V60" s="63"/>
      <c r="W60" s="63"/>
      <c r="X60" s="63"/>
      <c r="Y60" s="63"/>
      <c r="Z60" s="63"/>
      <c r="AA60" s="63"/>
      <c r="AB60" s="63"/>
    </row>
    <row r="61" spans="1:28" ht="29.25" customHeight="1" x14ac:dyDescent="0.2">
      <c r="A61" s="78"/>
      <c r="B61" s="176"/>
      <c r="C61" s="163"/>
      <c r="D61" s="172"/>
      <c r="E61" s="63"/>
      <c r="F61" s="63"/>
      <c r="G61" s="63"/>
      <c r="H61" s="63"/>
      <c r="I61" s="63"/>
      <c r="J61" s="63"/>
      <c r="K61" s="63"/>
      <c r="L61" s="63"/>
      <c r="M61" s="63"/>
      <c r="N61" s="63"/>
      <c r="O61" s="63"/>
      <c r="P61" s="63"/>
      <c r="Q61" s="63"/>
      <c r="R61" s="63"/>
      <c r="S61" s="63"/>
      <c r="T61" s="63"/>
      <c r="U61" s="63"/>
      <c r="V61" s="63"/>
      <c r="W61" s="63"/>
      <c r="X61" s="63"/>
      <c r="Y61" s="63"/>
      <c r="Z61" s="63"/>
      <c r="AA61" s="63"/>
      <c r="AB61" s="63"/>
    </row>
    <row r="62" spans="1:28" ht="28.5" customHeight="1" x14ac:dyDescent="0.2">
      <c r="A62" s="78"/>
      <c r="B62" s="115"/>
      <c r="C62" s="175"/>
      <c r="D62" s="172"/>
      <c r="E62" s="63"/>
      <c r="F62" s="63"/>
      <c r="G62" s="63"/>
      <c r="H62" s="63"/>
      <c r="I62" s="63"/>
      <c r="J62" s="63"/>
      <c r="K62" s="63"/>
      <c r="L62" s="63"/>
      <c r="M62" s="63"/>
      <c r="N62" s="63"/>
      <c r="O62" s="63"/>
      <c r="P62" s="63"/>
      <c r="Q62" s="63"/>
      <c r="R62" s="63"/>
      <c r="S62" s="63"/>
      <c r="T62" s="63"/>
      <c r="U62" s="63"/>
      <c r="V62" s="63"/>
      <c r="W62" s="63"/>
      <c r="X62" s="63"/>
      <c r="Y62" s="63"/>
      <c r="Z62" s="63"/>
      <c r="AA62" s="63"/>
      <c r="AB62" s="63"/>
    </row>
    <row r="63" spans="1:28" ht="25.5" customHeight="1" x14ac:dyDescent="0.2">
      <c r="A63" s="78"/>
      <c r="B63" s="176"/>
      <c r="C63" s="165"/>
      <c r="D63" s="172"/>
      <c r="E63" s="63"/>
      <c r="F63" s="63"/>
      <c r="G63" s="63"/>
      <c r="H63" s="63"/>
      <c r="I63" s="63"/>
      <c r="J63" s="63"/>
      <c r="K63" s="63"/>
      <c r="L63" s="63"/>
      <c r="M63" s="63"/>
      <c r="N63" s="63"/>
      <c r="O63" s="63"/>
      <c r="P63" s="63"/>
      <c r="Q63" s="63"/>
      <c r="R63" s="63"/>
      <c r="S63" s="63"/>
      <c r="T63" s="63"/>
      <c r="U63" s="63"/>
      <c r="V63" s="63"/>
      <c r="W63" s="63"/>
      <c r="X63" s="63"/>
      <c r="Y63" s="63"/>
      <c r="Z63" s="63"/>
      <c r="AA63" s="63"/>
      <c r="AB63" s="63"/>
    </row>
    <row r="64" spans="1:28" x14ac:dyDescent="0.2">
      <c r="A64" s="78"/>
      <c r="B64" s="115"/>
      <c r="C64" s="78"/>
      <c r="D64" s="174"/>
      <c r="E64" s="63"/>
      <c r="F64" s="63"/>
      <c r="G64" s="63"/>
      <c r="H64" s="63"/>
      <c r="I64" s="63"/>
      <c r="J64" s="63"/>
      <c r="K64" s="63"/>
      <c r="L64" s="63"/>
      <c r="M64" s="63"/>
      <c r="N64" s="63"/>
      <c r="O64" s="63"/>
      <c r="P64" s="63"/>
      <c r="Q64" s="63"/>
      <c r="R64" s="63"/>
      <c r="S64" s="63"/>
      <c r="T64" s="63"/>
      <c r="U64" s="63"/>
      <c r="V64" s="63"/>
      <c r="W64" s="63"/>
      <c r="X64" s="63"/>
      <c r="Y64" s="63"/>
      <c r="Z64" s="63"/>
      <c r="AA64" s="63"/>
      <c r="AB64" s="63"/>
    </row>
    <row r="65" spans="1:28" x14ac:dyDescent="0.2">
      <c r="A65" s="78"/>
      <c r="B65" s="115"/>
      <c r="C65" s="171"/>
      <c r="D65" s="489"/>
      <c r="E65" s="63"/>
      <c r="F65" s="63"/>
      <c r="G65" s="63"/>
      <c r="H65" s="63"/>
      <c r="I65" s="63"/>
      <c r="J65" s="63"/>
      <c r="K65" s="63"/>
      <c r="L65" s="63"/>
      <c r="M65" s="63"/>
      <c r="N65" s="63"/>
      <c r="O65" s="63"/>
      <c r="P65" s="63"/>
      <c r="Q65" s="63"/>
      <c r="R65" s="63"/>
      <c r="S65" s="63"/>
      <c r="T65" s="63"/>
      <c r="U65" s="63"/>
      <c r="V65" s="63"/>
      <c r="W65" s="63"/>
      <c r="X65" s="63"/>
      <c r="Y65" s="63"/>
      <c r="Z65" s="63"/>
      <c r="AA65" s="63"/>
      <c r="AB65" s="63"/>
    </row>
    <row r="66" spans="1:28" x14ac:dyDescent="0.2">
      <c r="A66" s="78"/>
      <c r="B66" s="115"/>
      <c r="C66" s="171"/>
      <c r="D66" s="489"/>
      <c r="E66" s="63"/>
      <c r="F66" s="63"/>
      <c r="G66" s="63"/>
      <c r="H66" s="63"/>
      <c r="I66" s="63"/>
      <c r="J66" s="63"/>
      <c r="K66" s="63"/>
      <c r="L66" s="63"/>
      <c r="M66" s="63"/>
      <c r="N66" s="63"/>
      <c r="O66" s="63"/>
      <c r="P66" s="63"/>
      <c r="Q66" s="63"/>
      <c r="R66" s="63"/>
      <c r="S66" s="63"/>
      <c r="T66" s="63"/>
      <c r="U66" s="63"/>
      <c r="V66" s="63"/>
      <c r="W66" s="63"/>
      <c r="X66" s="63"/>
      <c r="Y66" s="63"/>
      <c r="Z66" s="63"/>
      <c r="AA66" s="63"/>
      <c r="AB66" s="63"/>
    </row>
    <row r="67" spans="1:28" x14ac:dyDescent="0.2">
      <c r="A67" s="78"/>
      <c r="B67" s="115"/>
      <c r="C67" s="171"/>
      <c r="D67" s="489"/>
      <c r="E67" s="63"/>
      <c r="F67" s="63"/>
      <c r="G67" s="63"/>
      <c r="H67" s="63"/>
      <c r="I67" s="63"/>
      <c r="J67" s="63"/>
      <c r="K67" s="63"/>
      <c r="L67" s="63"/>
      <c r="M67" s="63"/>
      <c r="N67" s="63"/>
      <c r="O67" s="63"/>
      <c r="P67" s="63"/>
      <c r="Q67" s="63"/>
      <c r="R67" s="63"/>
      <c r="S67" s="63"/>
      <c r="T67" s="63"/>
      <c r="U67" s="63"/>
      <c r="V67" s="63"/>
      <c r="W67" s="63"/>
      <c r="X67" s="63"/>
      <c r="Y67" s="63"/>
      <c r="Z67" s="63"/>
      <c r="AA67" s="63"/>
      <c r="AB67" s="63"/>
    </row>
    <row r="68" spans="1:28" x14ac:dyDescent="0.2">
      <c r="A68" s="78"/>
      <c r="B68" s="115"/>
      <c r="C68" s="171"/>
      <c r="D68" s="489"/>
      <c r="E68" s="63"/>
      <c r="F68" s="63"/>
      <c r="G68" s="63"/>
      <c r="H68" s="63"/>
      <c r="I68" s="63"/>
      <c r="J68" s="63"/>
      <c r="K68" s="63"/>
      <c r="L68" s="63"/>
      <c r="M68" s="63"/>
      <c r="N68" s="63"/>
      <c r="O68" s="63"/>
      <c r="P68" s="63"/>
      <c r="Q68" s="63"/>
      <c r="R68" s="63"/>
      <c r="S68" s="63"/>
      <c r="T68" s="63"/>
      <c r="U68" s="63"/>
      <c r="V68" s="63"/>
      <c r="W68" s="63"/>
      <c r="X68" s="63"/>
      <c r="Y68" s="63"/>
      <c r="Z68" s="63"/>
      <c r="AA68" s="63"/>
      <c r="AB68" s="63"/>
    </row>
    <row r="69" spans="1:28" x14ac:dyDescent="0.2">
      <c r="A69" s="78"/>
      <c r="B69" s="78"/>
      <c r="C69" s="78"/>
      <c r="D69" s="177"/>
      <c r="E69" s="63"/>
      <c r="F69" s="63"/>
      <c r="G69" s="63"/>
      <c r="H69" s="63"/>
      <c r="I69" s="63"/>
      <c r="J69" s="63"/>
      <c r="K69" s="63"/>
      <c r="L69" s="63"/>
      <c r="M69" s="63"/>
      <c r="N69" s="63"/>
      <c r="O69" s="63"/>
      <c r="P69" s="63"/>
      <c r="Q69" s="63"/>
      <c r="R69" s="63"/>
      <c r="S69" s="63"/>
      <c r="T69" s="63"/>
      <c r="U69" s="63"/>
      <c r="V69" s="63"/>
      <c r="W69" s="63"/>
      <c r="X69" s="63"/>
      <c r="Y69" s="63"/>
      <c r="Z69" s="63"/>
      <c r="AA69" s="63"/>
      <c r="AB69" s="63"/>
    </row>
    <row r="70" spans="1:28" x14ac:dyDescent="0.2">
      <c r="A70" s="78"/>
      <c r="B70" s="78"/>
      <c r="C70" s="78"/>
      <c r="D70" s="178"/>
      <c r="E70" s="63"/>
      <c r="F70" s="63"/>
      <c r="G70" s="63"/>
      <c r="H70" s="63"/>
      <c r="I70" s="63"/>
      <c r="J70" s="63"/>
      <c r="K70" s="63"/>
      <c r="L70" s="63"/>
      <c r="M70" s="63"/>
      <c r="N70" s="63"/>
      <c r="O70" s="63"/>
      <c r="P70" s="63"/>
      <c r="Q70" s="63"/>
      <c r="R70" s="63"/>
      <c r="S70" s="63"/>
      <c r="T70" s="63"/>
      <c r="U70" s="63"/>
      <c r="V70" s="63"/>
      <c r="W70" s="63"/>
      <c r="X70" s="63"/>
      <c r="Y70" s="63"/>
      <c r="Z70" s="63"/>
      <c r="AA70" s="63"/>
      <c r="AB70" s="63"/>
    </row>
    <row r="71" spans="1:28" x14ac:dyDescent="0.2">
      <c r="A71" s="63"/>
      <c r="B71" s="63"/>
      <c r="C71" s="63"/>
      <c r="D71" s="158"/>
      <c r="E71" s="63"/>
      <c r="F71" s="63"/>
      <c r="G71" s="63"/>
      <c r="H71" s="63"/>
      <c r="I71" s="63"/>
      <c r="J71" s="63"/>
      <c r="K71" s="63"/>
      <c r="L71" s="63"/>
      <c r="M71" s="63"/>
      <c r="N71" s="63"/>
      <c r="O71" s="63"/>
      <c r="P71" s="63"/>
      <c r="Q71" s="63"/>
      <c r="R71" s="63"/>
      <c r="S71" s="63"/>
      <c r="T71" s="63"/>
      <c r="U71" s="63"/>
      <c r="V71" s="63"/>
      <c r="W71" s="63"/>
      <c r="X71" s="63"/>
      <c r="Y71" s="63"/>
      <c r="Z71" s="63"/>
      <c r="AA71" s="63"/>
      <c r="AB71" s="63"/>
    </row>
    <row r="72" spans="1:28" x14ac:dyDescent="0.2">
      <c r="A72" s="63"/>
      <c r="B72" s="63"/>
      <c r="C72" s="63"/>
      <c r="D72" s="158"/>
      <c r="E72" s="63"/>
      <c r="F72" s="63"/>
      <c r="G72" s="63"/>
      <c r="H72" s="63"/>
      <c r="I72" s="63"/>
      <c r="J72" s="63"/>
      <c r="K72" s="63"/>
      <c r="L72" s="63"/>
      <c r="M72" s="63"/>
      <c r="N72" s="63"/>
      <c r="O72" s="63"/>
      <c r="P72" s="63"/>
      <c r="Q72" s="63"/>
      <c r="R72" s="63"/>
      <c r="S72" s="63"/>
      <c r="T72" s="63"/>
      <c r="U72" s="63"/>
      <c r="V72" s="63"/>
      <c r="W72" s="63"/>
      <c r="X72" s="63"/>
      <c r="Y72" s="63"/>
      <c r="Z72" s="63"/>
      <c r="AA72" s="63"/>
      <c r="AB72" s="63"/>
    </row>
    <row r="73" spans="1:28" x14ac:dyDescent="0.2">
      <c r="A73" s="63"/>
      <c r="B73" s="63"/>
      <c r="C73" s="63"/>
      <c r="D73" s="158"/>
      <c r="E73" s="63"/>
      <c r="F73" s="63"/>
      <c r="G73" s="63"/>
      <c r="H73" s="63"/>
      <c r="I73" s="63"/>
      <c r="J73" s="63"/>
      <c r="K73" s="63"/>
      <c r="L73" s="63"/>
      <c r="M73" s="63"/>
      <c r="N73" s="63"/>
      <c r="O73" s="63"/>
      <c r="P73" s="63"/>
      <c r="Q73" s="63"/>
      <c r="R73" s="63"/>
      <c r="S73" s="63"/>
      <c r="T73" s="63"/>
      <c r="U73" s="63"/>
      <c r="V73" s="63"/>
      <c r="W73" s="63"/>
      <c r="X73" s="63"/>
      <c r="Y73" s="63"/>
      <c r="Z73" s="63"/>
      <c r="AA73" s="63"/>
      <c r="AB73" s="63"/>
    </row>
    <row r="74" spans="1:28" x14ac:dyDescent="0.2">
      <c r="A74" s="63"/>
      <c r="B74" s="63"/>
      <c r="C74" s="63"/>
      <c r="D74" s="158"/>
      <c r="E74" s="63"/>
      <c r="F74" s="63"/>
      <c r="G74" s="63"/>
      <c r="H74" s="63"/>
      <c r="I74" s="63"/>
      <c r="J74" s="63"/>
      <c r="K74" s="63"/>
      <c r="L74" s="63"/>
      <c r="M74" s="63"/>
      <c r="N74" s="63"/>
      <c r="O74" s="63"/>
      <c r="P74" s="63"/>
      <c r="Q74" s="63"/>
      <c r="R74" s="63"/>
      <c r="S74" s="63"/>
      <c r="T74" s="63"/>
      <c r="U74" s="63"/>
      <c r="V74" s="63"/>
      <c r="W74" s="63"/>
      <c r="X74" s="63"/>
      <c r="Y74" s="63"/>
      <c r="Z74" s="63"/>
      <c r="AA74" s="63"/>
      <c r="AB74" s="63"/>
    </row>
    <row r="75" spans="1:28" x14ac:dyDescent="0.2">
      <c r="A75" s="63"/>
      <c r="B75" s="63"/>
      <c r="C75" s="63"/>
      <c r="D75" s="158"/>
      <c r="E75" s="63"/>
      <c r="F75" s="63"/>
      <c r="G75" s="63"/>
      <c r="H75" s="63"/>
      <c r="I75" s="63"/>
      <c r="J75" s="63"/>
      <c r="K75" s="63"/>
      <c r="L75" s="63"/>
      <c r="M75" s="63"/>
      <c r="N75" s="63"/>
      <c r="O75" s="63"/>
      <c r="P75" s="63"/>
      <c r="Q75" s="63"/>
      <c r="R75" s="63"/>
      <c r="S75" s="63"/>
      <c r="T75" s="63"/>
      <c r="U75" s="63"/>
      <c r="V75" s="63"/>
      <c r="W75" s="63"/>
      <c r="X75" s="63"/>
      <c r="Y75" s="63"/>
      <c r="Z75" s="63"/>
      <c r="AA75" s="63"/>
      <c r="AB75" s="63"/>
    </row>
    <row r="76" spans="1:28" x14ac:dyDescent="0.2">
      <c r="A76" s="63"/>
      <c r="B76" s="63"/>
      <c r="C76" s="63"/>
      <c r="D76" s="158"/>
      <c r="E76" s="63"/>
      <c r="F76" s="63"/>
      <c r="G76" s="63"/>
      <c r="H76" s="63"/>
      <c r="I76" s="63"/>
      <c r="J76" s="63"/>
      <c r="K76" s="63"/>
      <c r="L76" s="63"/>
      <c r="M76" s="63"/>
      <c r="N76" s="63"/>
      <c r="O76" s="63"/>
      <c r="P76" s="63"/>
      <c r="Q76" s="63"/>
      <c r="R76" s="63"/>
      <c r="S76" s="63"/>
      <c r="T76" s="63"/>
      <c r="U76" s="63"/>
      <c r="V76" s="63"/>
      <c r="W76" s="63"/>
      <c r="X76" s="63"/>
      <c r="Y76" s="63"/>
      <c r="Z76" s="63"/>
      <c r="AA76" s="63"/>
      <c r="AB76" s="63"/>
    </row>
    <row r="77" spans="1:28" x14ac:dyDescent="0.2">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3"/>
    </row>
    <row r="78" spans="1:28" x14ac:dyDescent="0.2">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3"/>
    </row>
    <row r="79" spans="1:28" x14ac:dyDescent="0.2">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3"/>
    </row>
    <row r="80" spans="1:28" x14ac:dyDescent="0.2">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c r="AA80" s="63"/>
      <c r="AB80" s="63"/>
    </row>
    <row r="81" spans="1:28" x14ac:dyDescent="0.2">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3"/>
    </row>
    <row r="82" spans="1:28" x14ac:dyDescent="0.2">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c r="AA82" s="63"/>
      <c r="AB82" s="63"/>
    </row>
    <row r="83" spans="1:28" x14ac:dyDescent="0.2">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c r="AA83" s="63"/>
      <c r="AB83" s="63"/>
    </row>
    <row r="84" spans="1:28" x14ac:dyDescent="0.2">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c r="AA84" s="63"/>
      <c r="AB84" s="63"/>
    </row>
    <row r="85" spans="1:28" x14ac:dyDescent="0.2">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c r="AA85" s="63"/>
      <c r="AB85" s="63"/>
    </row>
    <row r="86" spans="1:28" x14ac:dyDescent="0.2">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c r="AA86" s="63"/>
      <c r="AB86" s="63"/>
    </row>
    <row r="87" spans="1:28" x14ac:dyDescent="0.2">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c r="AA87" s="63"/>
      <c r="AB87" s="63"/>
    </row>
    <row r="88" spans="1:28" x14ac:dyDescent="0.2">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c r="AA88" s="63"/>
      <c r="AB88" s="63"/>
    </row>
    <row r="89" spans="1:28" x14ac:dyDescent="0.2">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c r="AA89" s="63"/>
      <c r="AB89" s="63"/>
    </row>
    <row r="90" spans="1:28" x14ac:dyDescent="0.2">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c r="AA90" s="63"/>
      <c r="AB90" s="63"/>
    </row>
    <row r="91" spans="1:28" x14ac:dyDescent="0.2">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c r="AA91" s="63"/>
      <c r="AB91" s="63"/>
    </row>
    <row r="92" spans="1:28" x14ac:dyDescent="0.2">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c r="AA92" s="63"/>
      <c r="AB92" s="63"/>
    </row>
    <row r="93" spans="1:28" x14ac:dyDescent="0.2">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c r="AA93" s="63"/>
      <c r="AB93" s="63"/>
    </row>
    <row r="94" spans="1:28" x14ac:dyDescent="0.2">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c r="AA94" s="63"/>
      <c r="AB94" s="63"/>
    </row>
    <row r="95" spans="1:28" x14ac:dyDescent="0.2">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c r="AA95" s="63"/>
      <c r="AB95" s="63"/>
    </row>
    <row r="96" spans="1:28" x14ac:dyDescent="0.2">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c r="AA96" s="63"/>
      <c r="AB96" s="63"/>
    </row>
    <row r="97" spans="1:28" x14ac:dyDescent="0.2">
      <c r="A97" s="63"/>
      <c r="B97" s="63"/>
      <c r="C97" s="63"/>
      <c r="D97" s="157"/>
      <c r="E97" s="63"/>
      <c r="F97" s="63"/>
      <c r="G97" s="63"/>
      <c r="H97" s="63"/>
      <c r="I97" s="63"/>
      <c r="J97" s="63"/>
      <c r="K97" s="63"/>
      <c r="L97" s="63"/>
      <c r="M97" s="63"/>
      <c r="N97" s="63"/>
      <c r="O97" s="63"/>
      <c r="P97" s="63"/>
      <c r="Q97" s="63"/>
      <c r="R97" s="63"/>
      <c r="S97" s="63"/>
      <c r="T97" s="63"/>
      <c r="U97" s="63"/>
      <c r="V97" s="63"/>
      <c r="W97" s="63"/>
      <c r="X97" s="63"/>
      <c r="Y97" s="63"/>
      <c r="Z97" s="63"/>
      <c r="AA97" s="63"/>
      <c r="AB97" s="63"/>
    </row>
    <row r="98" spans="1:28" x14ac:dyDescent="0.2">
      <c r="A98" s="63"/>
      <c r="B98" s="63"/>
      <c r="C98" s="63"/>
      <c r="D98" s="157"/>
      <c r="E98" s="63"/>
      <c r="F98" s="63"/>
      <c r="G98" s="63"/>
      <c r="H98" s="63"/>
      <c r="I98" s="63"/>
      <c r="J98" s="63"/>
      <c r="K98" s="63"/>
      <c r="L98" s="63"/>
      <c r="M98" s="63"/>
      <c r="N98" s="63"/>
      <c r="O98" s="63"/>
      <c r="P98" s="63"/>
      <c r="Q98" s="63"/>
      <c r="R98" s="63"/>
      <c r="S98" s="63"/>
      <c r="T98" s="63"/>
      <c r="U98" s="63"/>
      <c r="V98" s="63"/>
      <c r="W98" s="63"/>
      <c r="X98" s="63"/>
      <c r="Y98" s="63"/>
      <c r="Z98" s="63"/>
      <c r="AA98" s="63"/>
      <c r="AB98" s="63"/>
    </row>
    <row r="99" spans="1:28" x14ac:dyDescent="0.2">
      <c r="A99" s="63"/>
      <c r="B99" s="63"/>
      <c r="C99" s="63"/>
      <c r="D99" s="157"/>
      <c r="E99" s="63"/>
      <c r="F99" s="63"/>
      <c r="G99" s="63"/>
      <c r="H99" s="63"/>
      <c r="I99" s="63"/>
      <c r="J99" s="63"/>
      <c r="K99" s="63"/>
      <c r="L99" s="63"/>
      <c r="M99" s="63"/>
      <c r="N99" s="63"/>
      <c r="O99" s="63"/>
      <c r="P99" s="63"/>
      <c r="Q99" s="63"/>
      <c r="R99" s="63"/>
      <c r="S99" s="63"/>
      <c r="T99" s="63"/>
      <c r="U99" s="63"/>
      <c r="V99" s="63"/>
      <c r="W99" s="63"/>
      <c r="X99" s="63"/>
      <c r="Y99" s="63"/>
      <c r="Z99" s="63"/>
      <c r="AA99" s="63"/>
      <c r="AB99" s="63"/>
    </row>
    <row r="100" spans="1:28" x14ac:dyDescent="0.2">
      <c r="A100" s="63"/>
      <c r="B100" s="63"/>
      <c r="C100" s="63"/>
      <c r="D100" s="157"/>
      <c r="E100" s="63"/>
      <c r="F100" s="63"/>
      <c r="G100" s="63"/>
      <c r="H100" s="63"/>
      <c r="I100" s="63"/>
      <c r="J100" s="63"/>
      <c r="K100" s="63"/>
      <c r="L100" s="63"/>
      <c r="M100" s="63"/>
      <c r="N100" s="63"/>
      <c r="O100" s="63"/>
      <c r="P100" s="63"/>
      <c r="Q100" s="63"/>
      <c r="R100" s="63"/>
      <c r="S100" s="63"/>
      <c r="T100" s="63"/>
      <c r="U100" s="63"/>
      <c r="V100" s="63"/>
      <c r="W100" s="63"/>
      <c r="X100" s="63"/>
      <c r="Y100" s="63"/>
      <c r="Z100" s="63"/>
      <c r="AA100" s="63"/>
      <c r="AB100" s="63"/>
    </row>
    <row r="101" spans="1:28" x14ac:dyDescent="0.2">
      <c r="A101" s="63"/>
      <c r="B101" s="63"/>
      <c r="C101" s="63"/>
      <c r="D101" s="157"/>
      <c r="E101" s="63"/>
      <c r="F101" s="63"/>
      <c r="G101" s="63"/>
      <c r="H101" s="63"/>
      <c r="I101" s="63"/>
      <c r="J101" s="63"/>
      <c r="K101" s="63"/>
      <c r="L101" s="63"/>
      <c r="M101" s="63"/>
      <c r="N101" s="63"/>
      <c r="O101" s="63"/>
      <c r="P101" s="63"/>
      <c r="Q101" s="63"/>
      <c r="R101" s="63"/>
      <c r="S101" s="63"/>
      <c r="T101" s="63"/>
      <c r="U101" s="63"/>
      <c r="V101" s="63"/>
      <c r="W101" s="63"/>
      <c r="X101" s="63"/>
      <c r="Y101" s="63"/>
      <c r="Z101" s="63"/>
      <c r="AA101" s="63"/>
      <c r="AB101" s="63"/>
    </row>
    <row r="102" spans="1:28" x14ac:dyDescent="0.2">
      <c r="A102" s="63"/>
      <c r="B102" s="63"/>
      <c r="C102" s="63"/>
      <c r="D102" s="157"/>
      <c r="E102" s="63"/>
      <c r="F102" s="63"/>
      <c r="G102" s="63"/>
      <c r="H102" s="63"/>
      <c r="I102" s="63"/>
      <c r="J102" s="63"/>
      <c r="K102" s="63"/>
      <c r="L102" s="63"/>
      <c r="M102" s="63"/>
      <c r="N102" s="63"/>
      <c r="O102" s="63"/>
      <c r="P102" s="63"/>
      <c r="Q102" s="63"/>
      <c r="R102" s="63"/>
      <c r="S102" s="63"/>
      <c r="T102" s="63"/>
      <c r="U102" s="63"/>
      <c r="V102" s="63"/>
      <c r="W102" s="63"/>
      <c r="X102" s="63"/>
      <c r="Y102" s="63"/>
      <c r="Z102" s="63"/>
      <c r="AA102" s="63"/>
      <c r="AB102" s="63"/>
    </row>
    <row r="103" spans="1:28" x14ac:dyDescent="0.2">
      <c r="A103" s="63"/>
      <c r="B103" s="63"/>
      <c r="C103" s="63"/>
      <c r="D103" s="157"/>
      <c r="E103" s="63"/>
      <c r="F103" s="63"/>
      <c r="G103" s="63"/>
      <c r="H103" s="63"/>
      <c r="I103" s="63"/>
      <c r="J103" s="63"/>
      <c r="K103" s="63"/>
      <c r="L103" s="63"/>
      <c r="M103" s="63"/>
      <c r="N103" s="63"/>
      <c r="O103" s="63"/>
      <c r="P103" s="63"/>
      <c r="Q103" s="63"/>
      <c r="R103" s="63"/>
      <c r="S103" s="63"/>
      <c r="T103" s="63"/>
      <c r="U103" s="63"/>
      <c r="V103" s="63"/>
      <c r="W103" s="63"/>
      <c r="X103" s="63"/>
      <c r="Y103" s="63"/>
      <c r="Z103" s="63"/>
      <c r="AA103" s="63"/>
      <c r="AB103" s="63"/>
    </row>
    <row r="104" spans="1:28" x14ac:dyDescent="0.2">
      <c r="A104" s="63"/>
      <c r="B104" s="63"/>
      <c r="C104" s="63"/>
      <c r="D104" s="157"/>
      <c r="E104" s="63"/>
      <c r="F104" s="63"/>
      <c r="G104" s="63"/>
      <c r="H104" s="63"/>
      <c r="I104" s="63"/>
      <c r="J104" s="63"/>
      <c r="K104" s="63"/>
      <c r="L104" s="63"/>
      <c r="M104" s="63"/>
      <c r="N104" s="63"/>
      <c r="O104" s="63"/>
      <c r="P104" s="63"/>
      <c r="Q104" s="63"/>
      <c r="R104" s="63"/>
      <c r="S104" s="63"/>
      <c r="T104" s="63"/>
      <c r="U104" s="63"/>
      <c r="V104" s="63"/>
      <c r="W104" s="63"/>
      <c r="X104" s="63"/>
      <c r="Y104" s="63"/>
      <c r="Z104" s="63"/>
      <c r="AA104" s="63"/>
      <c r="AB104" s="63"/>
    </row>
    <row r="105" spans="1:28" x14ac:dyDescent="0.2">
      <c r="A105" s="63"/>
      <c r="B105" s="63"/>
      <c r="C105" s="63"/>
      <c r="D105" s="157"/>
      <c r="E105" s="63"/>
      <c r="F105" s="63"/>
      <c r="G105" s="63"/>
      <c r="H105" s="63"/>
      <c r="I105" s="63"/>
      <c r="J105" s="63"/>
      <c r="K105" s="63"/>
      <c r="L105" s="63"/>
      <c r="M105" s="63"/>
      <c r="N105" s="63"/>
      <c r="O105" s="63"/>
      <c r="P105" s="63"/>
      <c r="Q105" s="63"/>
      <c r="R105" s="63"/>
      <c r="S105" s="63"/>
      <c r="T105" s="63"/>
      <c r="U105" s="63"/>
      <c r="V105" s="63"/>
      <c r="W105" s="63"/>
      <c r="X105" s="63"/>
      <c r="Y105" s="63"/>
      <c r="Z105" s="63"/>
      <c r="AA105" s="63"/>
      <c r="AB105" s="63"/>
    </row>
    <row r="106" spans="1:28" x14ac:dyDescent="0.2">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c r="AA106" s="63"/>
      <c r="AB106" s="63"/>
    </row>
    <row r="107" spans="1:28" x14ac:dyDescent="0.2">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c r="AA107" s="63"/>
      <c r="AB107" s="63"/>
    </row>
    <row r="108" spans="1:28" x14ac:dyDescent="0.2">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c r="AB108" s="63"/>
    </row>
    <row r="109" spans="1:28" x14ac:dyDescent="0.2">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c r="AA109" s="63"/>
      <c r="AB109" s="63"/>
    </row>
    <row r="110" spans="1:28" x14ac:dyDescent="0.2">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c r="AA110" s="63"/>
      <c r="AB110" s="63"/>
    </row>
    <row r="111" spans="1:28" x14ac:dyDescent="0.2">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c r="AA111" s="63"/>
      <c r="AB111" s="63"/>
    </row>
    <row r="112" spans="1:28" x14ac:dyDescent="0.2">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c r="AA112" s="63"/>
      <c r="AB112" s="63"/>
    </row>
    <row r="113" spans="1:28" x14ac:dyDescent="0.2">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c r="AA113" s="63"/>
      <c r="AB113" s="63"/>
    </row>
    <row r="114" spans="1:28" x14ac:dyDescent="0.2">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c r="AA114" s="63"/>
      <c r="AB114" s="63"/>
    </row>
  </sheetData>
  <sheetProtection password="CF76" sheet="1" objects="1" scenarios="1"/>
  <mergeCells count="2">
    <mergeCell ref="D65:D68"/>
    <mergeCell ref="E38:E41"/>
  </mergeCells>
  <phoneticPr fontId="1" type="noConversion"/>
  <dataValidations count="15">
    <dataValidation type="list" allowBlank="1" showInputMessage="1" showErrorMessage="1" sqref="C17">
      <formula1>TRCLK</formula1>
    </dataValidation>
    <dataValidation type="list" allowBlank="1" showInputMessage="1" showErrorMessage="1" sqref="C48 C40">
      <formula1>YESorNO</formula1>
    </dataValidation>
    <dataValidation type="list" allowBlank="1" showInputMessage="1" showErrorMessage="1" sqref="C47">
      <formula1>SelHeader</formula1>
    </dataValidation>
    <dataValidation type="list" allowBlank="1" showInputMessage="1" showErrorMessage="1" sqref="C45 C8">
      <formula1>OFFonly</formula1>
    </dataValidation>
    <dataValidation type="list" allowBlank="1" showInputMessage="1" showErrorMessage="1" sqref="C43">
      <formula1>man_prea_pol</formula1>
    </dataValidation>
    <dataValidation type="list" allowBlank="1" showInputMessage="1" showErrorMessage="1" sqref="C41">
      <formula1>CRCtype</formula1>
    </dataValidation>
    <dataValidation type="list" allowBlank="1" showInputMessage="1" showErrorMessage="1" sqref="C39">
      <formula1>NOonly</formula1>
    </dataValidation>
    <dataValidation type="list" allowBlank="1" showInputMessage="1" showErrorMessage="1" sqref="C22">
      <formula1>SYNCsize</formula1>
    </dataValidation>
    <dataValidation type="list" allowBlank="1" showInputMessage="1" showErrorMessage="1" errorTitle="Please select from Drop Menu!" sqref="C24:C27 C33:C36 C65:C68">
      <formula1>hex_0_to_FF</formula1>
    </dataValidation>
    <dataValidation type="list" errorStyle="warning" allowBlank="1" showInputMessage="1" showErrorMessage="1" errorTitle="Invalid Input!!" error="Valid Values are:  On/OFF" sqref="C12">
      <formula1>selectOnOff</formula1>
    </dataValidation>
    <dataValidation type="list" allowBlank="1" errorTitle="Invalid Input" error="Out of range" sqref="C61 C31">
      <formula1>range0_to_511</formula1>
    </dataValidation>
    <dataValidation type="list" allowBlank="1" showInputMessage="1" showErrorMessage="1" sqref="C63">
      <formula1>range0_to_255</formula1>
    </dataValidation>
    <dataValidation type="list" allowBlank="1" showInputMessage="1" showErrorMessage="1" sqref="C16">
      <formula1>Man_inv</formula1>
    </dataValidation>
    <dataValidation type="list" allowBlank="1" showInputMessage="1" showErrorMessage="1" sqref="C9">
      <formula1>LSBorMSB</formula1>
    </dataValidation>
    <dataValidation type="list" allowBlank="1" showInputMessage="1" showErrorMessage="1" sqref="C29">
      <formula1>range_0_15</formula1>
    </dataValidation>
  </dataValidation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pane ySplit="17" topLeftCell="A18" activePane="bottomLeft" state="frozen"/>
      <selection pane="bottomLeft" activeCell="B67" sqref="B18:C67"/>
    </sheetView>
  </sheetViews>
  <sheetFormatPr defaultRowHeight="12.75" x14ac:dyDescent="0.2"/>
  <cols>
    <col min="2" max="2" width="15.42578125" customWidth="1"/>
    <col min="3" max="3" width="20.42578125" customWidth="1"/>
    <col min="4" max="4" width="15.5703125" customWidth="1"/>
    <col min="5" max="5" width="33" customWidth="1"/>
    <col min="6" max="6" width="37.85546875" customWidth="1"/>
  </cols>
  <sheetData>
    <row r="1" spans="2:6" s="63" customFormat="1" x14ac:dyDescent="0.2"/>
    <row r="2" spans="2:6" s="63" customFormat="1" x14ac:dyDescent="0.2"/>
    <row r="3" spans="2:6" s="63" customFormat="1" x14ac:dyDescent="0.2">
      <c r="B3" s="179" t="s">
        <v>301</v>
      </c>
      <c r="C3" s="71"/>
      <c r="D3" s="71"/>
      <c r="E3" s="71"/>
      <c r="F3" s="71"/>
    </row>
    <row r="4" spans="2:6" s="63" customFormat="1" x14ac:dyDescent="0.2"/>
    <row r="5" spans="2:6" s="63" customFormat="1" ht="13.5" thickBot="1" x14ac:dyDescent="0.25">
      <c r="E5" s="180" t="s">
        <v>300</v>
      </c>
    </row>
    <row r="6" spans="2:6" s="63" customFormat="1" ht="16.5" thickBot="1" x14ac:dyDescent="0.3">
      <c r="E6" s="194" t="s">
        <v>279</v>
      </c>
    </row>
    <row r="7" spans="2:6" s="63" customFormat="1" x14ac:dyDescent="0.2"/>
    <row r="8" spans="2:6" s="63" customFormat="1" x14ac:dyDescent="0.2">
      <c r="B8" s="293" t="s">
        <v>408</v>
      </c>
    </row>
    <row r="9" spans="2:6" s="63" customFormat="1" ht="20.25" x14ac:dyDescent="0.3">
      <c r="B9" s="181" t="s">
        <v>409</v>
      </c>
      <c r="E9" s="182" t="str">
        <f>IF($E$6=PH_general!$G$43,(CONCATENATE(" ",'PH + FIFO MODE'!$C$5)),"")</f>
        <v xml:space="preserve"> &lt;PREAMBLE&gt;&lt;SYNC&gt;&lt;LENGTH&gt;&lt;DATA&gt;&lt;CRC&gt;</v>
      </c>
    </row>
    <row r="10" spans="2:6" s="63" customFormat="1" x14ac:dyDescent="0.2"/>
    <row r="11" spans="2:6" s="63" customFormat="1" x14ac:dyDescent="0.2"/>
    <row r="12" spans="2:6" s="63" customFormat="1" ht="13.5" thickBot="1" x14ac:dyDescent="0.25">
      <c r="E12" s="180" t="s">
        <v>289</v>
      </c>
    </row>
    <row r="13" spans="2:6" s="63" customFormat="1" ht="16.5" thickBot="1" x14ac:dyDescent="0.3">
      <c r="E13" s="183" t="str">
        <f>'Modem Registers Calculations'!A9</f>
        <v>FSK</v>
      </c>
      <c r="F13" s="184" t="s">
        <v>298</v>
      </c>
    </row>
    <row r="14" spans="2:6" s="63" customFormat="1" x14ac:dyDescent="0.2"/>
    <row r="15" spans="2:6" s="63" customFormat="1" x14ac:dyDescent="0.2"/>
    <row r="16" spans="2:6" s="63" customFormat="1" ht="13.5" thickBot="1" x14ac:dyDescent="0.25"/>
    <row r="17" spans="2:16" s="63" customFormat="1" ht="13.5" thickBot="1" x14ac:dyDescent="0.25">
      <c r="B17" s="185" t="s">
        <v>277</v>
      </c>
      <c r="C17" s="186" t="s">
        <v>280</v>
      </c>
      <c r="D17" s="187" t="s">
        <v>281</v>
      </c>
      <c r="E17" s="188" t="s">
        <v>294</v>
      </c>
      <c r="F17" s="188" t="s">
        <v>286</v>
      </c>
      <c r="K17" s="74"/>
      <c r="L17" s="74"/>
      <c r="M17" s="74"/>
      <c r="N17" s="74"/>
      <c r="O17" s="74"/>
      <c r="P17" s="74"/>
    </row>
    <row r="18" spans="2:16" s="63" customFormat="1" x14ac:dyDescent="0.2">
      <c r="B18" s="189" t="s">
        <v>284</v>
      </c>
      <c r="C18" s="189" t="str">
        <f>IF(EXACT($E$13,PH_general!$G$5),'Modem Registers Calculations'!L68,'Modem Registers Calculations'!L52)</f>
        <v>1B</v>
      </c>
      <c r="D18" s="189" t="str">
        <f>IF(EXACT($E$13,PH_general!$G$5),'Modem Registers Calculations'!M68,'Modem Registers Calculations'!M52)</f>
        <v>S2 9C1B</v>
      </c>
      <c r="E18" s="190" t="str">
        <f>IF(C18="01",PH_general!$G$53,"")</f>
        <v/>
      </c>
      <c r="F18" s="490" t="s">
        <v>285</v>
      </c>
      <c r="K18" s="74"/>
      <c r="L18" s="85"/>
      <c r="M18" s="85"/>
      <c r="N18" s="85"/>
      <c r="O18" s="74"/>
      <c r="P18" s="74"/>
    </row>
    <row r="19" spans="2:16" s="63" customFormat="1" x14ac:dyDescent="0.2">
      <c r="B19" s="77" t="s">
        <v>293</v>
      </c>
      <c r="C19" s="77" t="str">
        <f>IF('Modem Registers Calculations'!D55,"40","00")</f>
        <v>40</v>
      </c>
      <c r="D19" s="77" t="str">
        <f>IF('Modem Registers Calculations'!D55,"S2 9D40","S2 9D00")</f>
        <v>S2 9D40</v>
      </c>
      <c r="E19" s="190" t="str">
        <f>IF(C19="40",PH_general!$G$53,"")</f>
        <v>This is the Default Value after RESET</v>
      </c>
      <c r="F19" s="492"/>
      <c r="K19" s="74"/>
      <c r="L19" s="85"/>
      <c r="M19" s="85"/>
      <c r="N19" s="85"/>
      <c r="O19" s="74"/>
      <c r="P19" s="74"/>
    </row>
    <row r="20" spans="2:16" s="63" customFormat="1" ht="13.5" thickBot="1" x14ac:dyDescent="0.25">
      <c r="B20" s="77"/>
      <c r="C20" s="191"/>
      <c r="D20" s="77"/>
      <c r="E20" s="190"/>
      <c r="F20" s="491"/>
      <c r="K20" s="74"/>
      <c r="L20" s="85"/>
      <c r="M20" s="85"/>
      <c r="N20" s="85"/>
      <c r="O20" s="74"/>
      <c r="P20" s="74"/>
    </row>
    <row r="21" spans="2:16" s="63" customFormat="1" ht="13.5" thickBot="1" x14ac:dyDescent="0.25">
      <c r="E21" s="190" t="str">
        <f>IF(C21="01",PH_general!$G$53,"")</f>
        <v/>
      </c>
      <c r="K21" s="74"/>
      <c r="L21" s="85"/>
      <c r="M21" s="85"/>
      <c r="N21" s="85"/>
      <c r="O21" s="74"/>
      <c r="P21" s="74"/>
    </row>
    <row r="22" spans="2:16" s="63" customFormat="1" x14ac:dyDescent="0.2">
      <c r="B22" s="77">
        <v>20</v>
      </c>
      <c r="C22" s="77" t="str">
        <f>IF(EXACT($E$13,PH_general!$G$5),'Modem Registers Calculations'!L69,'Modem Registers Calculations'!L53)</f>
        <v>A1</v>
      </c>
      <c r="D22" s="77" t="str">
        <f>IF(EXACT($E$13,PH_general!$G$5),'Modem Registers Calculations'!M69,'Modem Registers Calculations'!M53)</f>
        <v>S2 A0A1</v>
      </c>
      <c r="E22" s="190" t="str">
        <f>IF(C22="64",PH_general!$G$53,"")</f>
        <v/>
      </c>
      <c r="F22" s="490" t="s">
        <v>285</v>
      </c>
      <c r="K22" s="74"/>
      <c r="L22" s="85"/>
      <c r="M22" s="85"/>
      <c r="N22" s="85"/>
      <c r="O22" s="74"/>
      <c r="P22" s="74"/>
    </row>
    <row r="23" spans="2:16" s="63" customFormat="1" x14ac:dyDescent="0.2">
      <c r="B23" s="77">
        <v>21</v>
      </c>
      <c r="C23" s="77" t="str">
        <f>IF(EXACT($E$13,PH_general!$G$5),'Modem Registers Calculations'!L70,'Modem Registers Calculations'!L54)</f>
        <v>20</v>
      </c>
      <c r="D23" s="77" t="str">
        <f>IF(EXACT($E$13,PH_general!$G$5),'Modem Registers Calculations'!M70,'Modem Registers Calculations'!M54)</f>
        <v>S2 A120</v>
      </c>
      <c r="E23" s="190" t="str">
        <f>IF(C23="01",PH_general!$G$53,"")</f>
        <v/>
      </c>
      <c r="F23" s="492"/>
      <c r="K23" s="74"/>
      <c r="L23" s="85"/>
      <c r="M23" s="85"/>
      <c r="N23" s="85"/>
      <c r="O23" s="74"/>
      <c r="P23" s="74"/>
    </row>
    <row r="24" spans="2:16" s="63" customFormat="1" x14ac:dyDescent="0.2">
      <c r="B24" s="77">
        <v>22</v>
      </c>
      <c r="C24" s="77" t="str">
        <f>IF(EXACT($E$13,PH_general!$G$5),'Modem Registers Calculations'!L71,'Modem Registers Calculations'!L55)</f>
        <v>27</v>
      </c>
      <c r="D24" s="77" t="str">
        <f>IF(EXACT($E$13,PH_general!$G$5),'Modem Registers Calculations'!M71,'Modem Registers Calculations'!M55)</f>
        <v>S2 A227</v>
      </c>
      <c r="E24" s="190" t="str">
        <f>IF(C24="47",PH_general!$G$53,"")</f>
        <v/>
      </c>
      <c r="F24" s="492"/>
      <c r="K24" s="74"/>
      <c r="L24" s="85"/>
      <c r="M24" s="85"/>
      <c r="N24" s="85"/>
      <c r="O24" s="74"/>
      <c r="P24" s="74"/>
    </row>
    <row r="25" spans="2:16" s="63" customFormat="1" x14ac:dyDescent="0.2">
      <c r="B25" s="77">
        <v>23</v>
      </c>
      <c r="C25" s="77" t="str">
        <f>IF(EXACT($E$13,PH_general!$G$5),'Modem Registers Calculations'!L72,'Modem Registers Calculations'!L56)</f>
        <v>52</v>
      </c>
      <c r="D25" s="77" t="str">
        <f>IF(EXACT($E$13,PH_general!$G$5),'Modem Registers Calculations'!M72,'Modem Registers Calculations'!M56)</f>
        <v>S2 A352</v>
      </c>
      <c r="E25" s="190" t="str">
        <f>IF(C25="AE",PH_general!$G$53,"")</f>
        <v/>
      </c>
      <c r="F25" s="492"/>
      <c r="K25" s="74"/>
      <c r="L25" s="74"/>
      <c r="M25" s="74"/>
      <c r="N25" s="74"/>
      <c r="O25" s="74"/>
      <c r="P25" s="74"/>
    </row>
    <row r="26" spans="2:16" s="63" customFormat="1" x14ac:dyDescent="0.2">
      <c r="B26" s="77">
        <v>24</v>
      </c>
      <c r="C26" s="77" t="str">
        <f>IF(EXACT($E$13,PH_general!$G$5),'Modem Registers Calculations'!L73,'Modem Registers Calculations'!L57)</f>
        <v>10</v>
      </c>
      <c r="D26" s="77" t="str">
        <f>IF(EXACT($E$13,PH_general!$G$5),'Modem Registers Calculations'!M73,'Modem Registers Calculations'!M57)</f>
        <v>S2 A410</v>
      </c>
      <c r="E26" s="190"/>
      <c r="F26" s="492"/>
      <c r="G26" s="85"/>
      <c r="K26" s="74"/>
      <c r="L26" s="74"/>
      <c r="M26" s="74"/>
      <c r="N26" s="74"/>
      <c r="O26" s="74"/>
      <c r="P26" s="74"/>
    </row>
    <row r="27" spans="2:16" s="63" customFormat="1" x14ac:dyDescent="0.2">
      <c r="B27" s="77">
        <v>25</v>
      </c>
      <c r="C27" s="77" t="str">
        <f>IF(EXACT($E$13,PH_general!$G$5),'Modem Registers Calculations'!L74,'Modem Registers Calculations'!L58)</f>
        <v>20</v>
      </c>
      <c r="D27" s="77" t="str">
        <f>IF(EXACT($E$13,PH_general!$G$5),'Modem Registers Calculations'!M74,'Modem Registers Calculations'!M58)</f>
        <v>S2 A520</v>
      </c>
      <c r="E27" s="190" t="str">
        <f>IF(C27="8F",PH_general!$G$53,"")</f>
        <v/>
      </c>
      <c r="F27" s="492"/>
      <c r="K27" s="74"/>
      <c r="L27" s="74"/>
      <c r="M27" s="74"/>
      <c r="N27" s="74"/>
      <c r="O27" s="74"/>
      <c r="P27" s="74"/>
    </row>
    <row r="28" spans="2:16" s="63" customFormat="1" x14ac:dyDescent="0.2">
      <c r="B28" s="77" t="s">
        <v>342</v>
      </c>
      <c r="C28" s="191" t="str">
        <f>'Modem Registers Calculations'!L61</f>
        <v>37</v>
      </c>
      <c r="D28" s="257" t="str">
        <f>CONCATENATE("S2 AA",C28)</f>
        <v>S2 AA37</v>
      </c>
      <c r="E28" s="190" t="str">
        <f>IF(C28="00",PH_general!$G$53,"")</f>
        <v/>
      </c>
      <c r="F28" s="492"/>
      <c r="K28" s="74"/>
      <c r="L28" s="74"/>
      <c r="M28" s="74"/>
      <c r="N28" s="74"/>
      <c r="O28" s="74"/>
      <c r="P28" s="74"/>
    </row>
    <row r="29" spans="2:16" s="63" customFormat="1" x14ac:dyDescent="0.2">
      <c r="B29" s="77" t="s">
        <v>369</v>
      </c>
      <c r="C29" s="191" t="str">
        <f>'Modem Registers Calculations'!L75</f>
        <v>19</v>
      </c>
      <c r="D29" s="257" t="str">
        <f>IF('Modem Registers Calculations'!$A$9="OOK",(CONCATENATE("S2 AC",C29)),"N/A")</f>
        <v>N/A</v>
      </c>
      <c r="E29" s="190" t="str">
        <f>IF(('Modem Registers Calculations'!$A$9="OOK"),(IF((C29="18"),PH_general!$G$53,"")),"This setting is relevant only in OOK")</f>
        <v>This setting is relevant only in OOK</v>
      </c>
      <c r="F29" s="492"/>
      <c r="K29" s="74"/>
      <c r="L29" s="74"/>
      <c r="M29" s="74"/>
      <c r="N29" s="74"/>
      <c r="O29" s="74"/>
      <c r="P29" s="74"/>
    </row>
    <row r="30" spans="2:16" s="63" customFormat="1" x14ac:dyDescent="0.2">
      <c r="B30" s="77" t="s">
        <v>86</v>
      </c>
      <c r="C30" s="191" t="str">
        <f>'Modem Registers Calculations'!L76</f>
        <v>04</v>
      </c>
      <c r="D30" s="257" t="str">
        <f>IF('Modem Registers Calculations'!$A$9="OOK",(CONCATENATE("S2 AD",C30)),"N/A")</f>
        <v>N/A</v>
      </c>
      <c r="E30" s="190" t="str">
        <f>IF(('Modem Registers Calculations'!$A$9="OOK"),(IF((C30="BC"),PH_general!$G$53,"")),"This setting is relevant only in OOK")</f>
        <v>This setting is relevant only in OOK</v>
      </c>
      <c r="F30" s="492"/>
      <c r="K30" s="74"/>
      <c r="L30" s="74"/>
      <c r="M30" s="74"/>
      <c r="N30" s="74"/>
      <c r="O30" s="74"/>
      <c r="P30" s="74"/>
    </row>
    <row r="31" spans="2:16" s="63" customFormat="1" ht="13.5" thickBot="1" x14ac:dyDescent="0.25">
      <c r="B31" s="77" t="s">
        <v>370</v>
      </c>
      <c r="C31" s="191" t="str">
        <f>'Modem Registers Calculations'!L77</f>
        <v>2B</v>
      </c>
      <c r="D31" s="257" t="str">
        <f>IF('Modem Registers Calculations'!$A$9="OOK",(CONCATENATE("S2 AE",C31)),"N/A")</f>
        <v>N/A</v>
      </c>
      <c r="E31" s="190" t="str">
        <f>IF(('Modem Registers Calculations'!$A$9="OOK"),(IF((C31="26"),PH_general!$G$53,"")),"This setting is relevant only in OOK")</f>
        <v>This setting is relevant only in OOK</v>
      </c>
      <c r="F31" s="491"/>
      <c r="K31" s="74"/>
      <c r="L31" s="74"/>
      <c r="M31" s="74"/>
      <c r="N31" s="74"/>
      <c r="O31" s="74"/>
      <c r="P31" s="74"/>
    </row>
    <row r="32" spans="2:16" s="63" customFormat="1" x14ac:dyDescent="0.2">
      <c r="E32" s="190"/>
      <c r="F32" s="192"/>
      <c r="K32" s="74"/>
      <c r="L32" s="74"/>
      <c r="M32" s="74"/>
      <c r="N32" s="74"/>
      <c r="O32" s="74"/>
      <c r="P32" s="74"/>
    </row>
    <row r="33" spans="2:14" s="63" customFormat="1" x14ac:dyDescent="0.2">
      <c r="B33" s="77">
        <v>30</v>
      </c>
      <c r="C33" s="77" t="str">
        <f>IF(EXACT($E$6,PH_general!$G$42),'FIFO MODE'!G9,'PH + FIFO MODE'!G10)</f>
        <v>AC</v>
      </c>
      <c r="D33" s="77" t="str">
        <f>IF(EXACT($E$6,PH_general!$G$42),'FIFO MODE'!H9,'PH + FIFO MODE'!H10)</f>
        <v>S2 B0AC</v>
      </c>
      <c r="E33" s="190" t="str">
        <f>IF(C33="8D",PH_general!$G$53,"")</f>
        <v/>
      </c>
    </row>
    <row r="34" spans="2:14" s="63" customFormat="1" x14ac:dyDescent="0.2">
      <c r="B34" s="77">
        <v>32</v>
      </c>
      <c r="C34" s="77" t="str">
        <f>IF(EXACT($E$6,PH_general!$G$42),"N/A",'PH + FIFO MODE'!G11)</f>
        <v>00</v>
      </c>
      <c r="D34" s="77" t="str">
        <f>IF(EXACT($E$6,PH_general!$G$42),"",'PH + FIFO MODE'!H11)</f>
        <v>S2 B200</v>
      </c>
      <c r="E34" s="190" t="str">
        <f>IF(C34="0C",PH_general!$G$53,"")</f>
        <v/>
      </c>
    </row>
    <row r="35" spans="2:14" s="63" customFormat="1" x14ac:dyDescent="0.2">
      <c r="B35" s="77">
        <v>33</v>
      </c>
      <c r="C35" s="77" t="str">
        <f>IF(EXACT($E$6,PH_general!$G$42),'FIFO MODE'!G10,'PH + FIFO MODE'!G12)</f>
        <v>02</v>
      </c>
      <c r="D35" s="77" t="str">
        <f>IF(EXACT($E$6,PH_general!$G$42),'FIFO MODE'!H10,'PH + FIFO MODE'!H12)</f>
        <v>S2 B302</v>
      </c>
      <c r="E35" s="190" t="str">
        <f>IF(C35="22",PH_general!$G$53,"")</f>
        <v/>
      </c>
      <c r="F35" s="180" t="str">
        <f>IF($E$6=PH_general!$G$42,"Relevant for RX settings Only","")</f>
        <v/>
      </c>
    </row>
    <row r="36" spans="2:14" s="63" customFormat="1" x14ac:dyDescent="0.2">
      <c r="B36" s="77">
        <v>34</v>
      </c>
      <c r="C36" s="77" t="str">
        <f>IF(EXACT($E$6,PH_general!$G$42),'FIFO MODE'!G11,'PH + FIFO MODE'!G13)</f>
        <v>04</v>
      </c>
      <c r="D36" s="77" t="str">
        <f>IF(EXACT($E$6,PH_general!$G$42),'FIFO MODE'!H11,'PH + FIFO MODE'!H13)</f>
        <v>S2 B404</v>
      </c>
      <c r="E36" s="190" t="str">
        <f>IF(C36="08",PH_general!$G$53,"")</f>
        <v/>
      </c>
      <c r="F36" s="180" t="str">
        <f>IF($E$6=PH_general!$G$42,"Relevant for RX settings Only","")</f>
        <v/>
      </c>
    </row>
    <row r="37" spans="2:14" s="63" customFormat="1" x14ac:dyDescent="0.2">
      <c r="B37" s="94">
        <v>35</v>
      </c>
      <c r="C37" s="77" t="str">
        <f>IF(EXACT($E$6,PH_general!$G$42),'FIFO MODE'!G12,'PH + FIFO MODE'!G14)</f>
        <v>22</v>
      </c>
      <c r="D37" s="77" t="str">
        <f>IF(EXACT($E$6,PH_general!$G$42),'FIFO MODE'!H12,'PH + FIFO MODE'!H14)</f>
        <v>S2 B522</v>
      </c>
      <c r="E37" s="190" t="str">
        <f>IF(C37="2A",PH_general!$G$53,"")</f>
        <v/>
      </c>
      <c r="F37" s="180" t="s">
        <v>295</v>
      </c>
    </row>
    <row r="38" spans="2:14" s="63" customFormat="1" x14ac:dyDescent="0.2">
      <c r="B38" s="77">
        <v>36</v>
      </c>
      <c r="C38" s="77" t="str">
        <f>IF(EXACT($E$6,PH_general!$G$42),'FIFO MODE'!G13,'PH + FIFO MODE'!G15)</f>
        <v>B5</v>
      </c>
      <c r="D38" s="77" t="str">
        <f>IF(EXACT($E$6,PH_general!$G$42),'FIFO MODE'!H13,'PH + FIFO MODE'!H15)</f>
        <v>S2 B6B5</v>
      </c>
      <c r="E38" s="190" t="str">
        <f>IF(C38="2D",PH_general!$G$53,"")</f>
        <v/>
      </c>
      <c r="F38" s="180" t="str">
        <f>IF($E$6=PH_general!$G$42,"Relevant for RX settings Only","")</f>
        <v/>
      </c>
    </row>
    <row r="39" spans="2:14" s="63" customFormat="1" x14ac:dyDescent="0.2">
      <c r="B39" s="77">
        <v>37</v>
      </c>
      <c r="C39" s="77" t="str">
        <f>IF(EXACT($E$6,PH_general!$G$42),'FIFO MODE'!G14,'PH + FIFO MODE'!G16)</f>
        <v>6B</v>
      </c>
      <c r="D39" s="77" t="str">
        <f>IF(EXACT($E$6,PH_general!$G$42),'FIFO MODE'!H14,'PH + FIFO MODE'!H16)</f>
        <v>S2 B76B</v>
      </c>
      <c r="E39" s="190" t="str">
        <f>IF(C39="D4",PH_general!$G$53,"")</f>
        <v/>
      </c>
      <c r="F39" s="180" t="str">
        <f>IF($E$6=PH_general!$G$42,"Relevant for RX settings Only","")</f>
        <v/>
      </c>
    </row>
    <row r="40" spans="2:14" s="63" customFormat="1" x14ac:dyDescent="0.2">
      <c r="B40" s="77">
        <v>38</v>
      </c>
      <c r="C40" s="77" t="str">
        <f>IF(EXACT($E$6,PH_general!$G$42),'FIFO MODE'!G15,'PH + FIFO MODE'!G17)</f>
        <v>00</v>
      </c>
      <c r="D40" s="77" t="str">
        <f>IF(EXACT($E$6,PH_general!$G$42),'FIFO MODE'!H15,'PH + FIFO MODE'!H17)</f>
        <v>S2 B800</v>
      </c>
      <c r="E40" s="190" t="str">
        <f>IF(C40="00",PH_general!$G$53,"")</f>
        <v>This is the Default Value after RESET</v>
      </c>
      <c r="F40" s="180" t="str">
        <f>IF($E$6=PH_general!$G$42,"Relevant for RX settings Only","")</f>
        <v/>
      </c>
    </row>
    <row r="41" spans="2:14" s="63" customFormat="1" x14ac:dyDescent="0.2">
      <c r="B41" s="77">
        <v>39</v>
      </c>
      <c r="C41" s="77" t="str">
        <f>IF(EXACT($E$6,PH_general!$G$42),'FIFO MODE'!G16,'PH + FIFO MODE'!G18)</f>
        <v>00</v>
      </c>
      <c r="D41" s="77" t="str">
        <f>IF(EXACT($E$6,PH_general!$G$42),'FIFO MODE'!H16,'PH + FIFO MODE'!H18)</f>
        <v>S2 B900</v>
      </c>
      <c r="E41" s="190" t="str">
        <f>IF(C41="00",PH_general!$G$53,"")</f>
        <v>This is the Default Value after RESET</v>
      </c>
      <c r="F41" s="180" t="str">
        <f>IF($E$6=PH_general!$G$42,"Relevant for RX settings Only","")</f>
        <v/>
      </c>
    </row>
    <row r="42" spans="2:14" s="63" customFormat="1" x14ac:dyDescent="0.2">
      <c r="B42" s="77" t="s">
        <v>87</v>
      </c>
      <c r="C42" s="77" t="str">
        <f>IF(EXACT($E$6,PH_general!$G$42),"N/A",'PH + FIFO MODE'!G19)</f>
        <v>00</v>
      </c>
      <c r="D42" s="77" t="str">
        <f>IF(EXACT($E$6,PH_general!$G$42),"",'PH + FIFO MODE'!H19)</f>
        <v>S2 BA00</v>
      </c>
      <c r="E42" s="190" t="str">
        <f>IF(C42="00",PH_general!$G$53,"")</f>
        <v>This is the Default Value after RESET</v>
      </c>
      <c r="F42" s="173" t="str">
        <f>IF($E$6=PH_general!$G$42,"","Relevant for TX settings Only")</f>
        <v>Relevant for TX settings Only</v>
      </c>
    </row>
    <row r="43" spans="2:14" s="63" customFormat="1" x14ac:dyDescent="0.2">
      <c r="B43" s="77" t="s">
        <v>88</v>
      </c>
      <c r="C43" s="77" t="str">
        <f>IF(EXACT($E$6,PH_general!$G$42),"N/A",'PH + FIFO MODE'!G20)</f>
        <v>00</v>
      </c>
      <c r="D43" s="77" t="str">
        <f>IF(EXACT($E$6,PH_general!$G$42),"",'PH + FIFO MODE'!H20)</f>
        <v>S2 BB00</v>
      </c>
      <c r="E43" s="190" t="str">
        <f>IF(C43="00",PH_general!$G$53,"")</f>
        <v>This is the Default Value after RESET</v>
      </c>
      <c r="F43" s="173" t="str">
        <f>IF($E$6=PH_general!$G$42,"","Relevant for TX settings Only")</f>
        <v>Relevant for TX settings Only</v>
      </c>
    </row>
    <row r="44" spans="2:14" s="63" customFormat="1" x14ac:dyDescent="0.2">
      <c r="B44" s="77" t="s">
        <v>89</v>
      </c>
      <c r="C44" s="77" t="str">
        <f>IF(EXACT($E$6,PH_general!$G$42),"N/A",'PH + FIFO MODE'!G21)</f>
        <v>00</v>
      </c>
      <c r="D44" s="77" t="str">
        <f>IF(EXACT($E$6,PH_general!$G$42),"",'PH + FIFO MODE'!H21)</f>
        <v>S2 BC00</v>
      </c>
      <c r="E44" s="190" t="str">
        <f>IF(C44="00",PH_general!$G$53,"")</f>
        <v>This is the Default Value after RESET</v>
      </c>
      <c r="F44" s="173" t="str">
        <f>IF($E$6=PH_general!$G$42,"","Relevant for TX settings Only")</f>
        <v>Relevant for TX settings Only</v>
      </c>
    </row>
    <row r="45" spans="2:14" s="63" customFormat="1" x14ac:dyDescent="0.2">
      <c r="B45" s="77" t="s">
        <v>90</v>
      </c>
      <c r="C45" s="77" t="str">
        <f>IF(EXACT($E$6,PH_general!$G$42),"N/A",'PH + FIFO MODE'!G22)</f>
        <v>00</v>
      </c>
      <c r="D45" s="77" t="str">
        <f>IF(EXACT($E$6,PH_general!$G$42),"",'PH + FIFO MODE'!H22)</f>
        <v>S2 BD00</v>
      </c>
      <c r="E45" s="190" t="str">
        <f>IF(C45="00",PH_general!$G$53,"")</f>
        <v>This is the Default Value after RESET</v>
      </c>
      <c r="F45" s="173" t="str">
        <f>IF($E$6=PH_general!$G$42,"","Relevant for TX settings Only")</f>
        <v>Relevant for TX settings Only</v>
      </c>
      <c r="L45" s="77" t="str">
        <f>'Modem Registers Calculations'!K43</f>
        <v>reg.72</v>
      </c>
      <c r="M45" s="77" t="str">
        <f>'Modem Registers Calculations'!L43</f>
        <v>28</v>
      </c>
      <c r="N45" s="77" t="str">
        <f>'Modem Registers Calculations'!M43</f>
        <v>S2 F228</v>
      </c>
    </row>
    <row r="46" spans="2:14" s="63" customFormat="1" x14ac:dyDescent="0.2">
      <c r="B46" s="77" t="s">
        <v>91</v>
      </c>
      <c r="C46" s="77" t="str">
        <f>IF(EXACT($E$6,PH_general!$G$42),"N/A",'PH + FIFO MODE'!G23)</f>
        <v>01</v>
      </c>
      <c r="D46" s="77" t="str">
        <f>IF(EXACT($E$6,PH_general!$G$42),"",'PH + FIFO MODE'!H23)</f>
        <v>S2 BE01</v>
      </c>
      <c r="E46" s="190" t="str">
        <f>IF(C46="00",PH_general!$G$53,"")</f>
        <v/>
      </c>
      <c r="F46" s="173"/>
    </row>
    <row r="47" spans="2:14" s="63" customFormat="1" x14ac:dyDescent="0.2">
      <c r="B47" s="77" t="s">
        <v>95</v>
      </c>
      <c r="C47" s="77" t="str">
        <f>IF(EXACT($E$6,PH_general!$G$42),"N/A",'PH + FIFO MODE'!G24)</f>
        <v>00</v>
      </c>
      <c r="D47" s="77" t="str">
        <f>IF(EXACT($E$6,PH_general!$G$42),"",'PH + FIFO MODE'!H24)</f>
        <v>S2 BF00</v>
      </c>
      <c r="E47" s="190" t="str">
        <f>IF(C47="00",PH_general!$G$53,"")</f>
        <v>This is the Default Value after RESET</v>
      </c>
      <c r="F47" s="180" t="str">
        <f>IF($E$6=PH_general!$G$42,"","Relevant for RX settings Only")</f>
        <v>Relevant for RX settings Only</v>
      </c>
      <c r="L47" s="77" t="str">
        <f>'Modem Registers Calculations'!K24</f>
        <v>reg.75</v>
      </c>
      <c r="M47" s="77" t="str">
        <f>'Modem Registers Calculations'!L24</f>
        <v>53</v>
      </c>
      <c r="N47" s="77" t="str">
        <f>'Modem Registers Calculations'!M24</f>
        <v>S2 F553</v>
      </c>
    </row>
    <row r="48" spans="2:14" s="63" customFormat="1" x14ac:dyDescent="0.2">
      <c r="B48" s="77">
        <v>40</v>
      </c>
      <c r="C48" s="77" t="str">
        <f>IF(EXACT($E$6,PH_general!$G$42),"N/A",'PH + FIFO MODE'!G25)</f>
        <v>00</v>
      </c>
      <c r="D48" s="77" t="str">
        <f>IF(EXACT($E$6,PH_general!$G$42),"",'PH + FIFO MODE'!H25)</f>
        <v>S2 C000</v>
      </c>
      <c r="E48" s="190" t="str">
        <f>IF(C48="00",PH_general!$G$53,"")</f>
        <v>This is the Default Value after RESET</v>
      </c>
      <c r="F48" s="180" t="str">
        <f>IF($E$6=PH_general!$G$42,"","Relevant for RX settings Only")</f>
        <v>Relevant for RX settings Only</v>
      </c>
      <c r="L48" s="77" t="str">
        <f>'Modem Registers Calculations'!K25</f>
        <v>reg.76</v>
      </c>
      <c r="M48" s="77" t="str">
        <f>'Modem Registers Calculations'!L25</f>
        <v>5F</v>
      </c>
      <c r="N48" s="77" t="str">
        <f>'Modem Registers Calculations'!M25</f>
        <v>S2 F65F</v>
      </c>
    </row>
    <row r="49" spans="2:14" s="63" customFormat="1" x14ac:dyDescent="0.2">
      <c r="B49" s="77">
        <v>41</v>
      </c>
      <c r="C49" s="77" t="str">
        <f>IF(EXACT($E$6,PH_general!$G$42),"N/A",'PH + FIFO MODE'!G26)</f>
        <v>00</v>
      </c>
      <c r="D49" s="77" t="str">
        <f>IF(EXACT($E$6,PH_general!$G$42),"",'PH + FIFO MODE'!H26)</f>
        <v>S2 C100</v>
      </c>
      <c r="E49" s="190" t="str">
        <f>IF(C49="00",PH_general!$G$53,"")</f>
        <v>This is the Default Value after RESET</v>
      </c>
      <c r="F49" s="180" t="str">
        <f>IF($E$6=PH_general!$G$42,"","Relevant for RX settings Only")</f>
        <v>Relevant for RX settings Only</v>
      </c>
      <c r="L49" s="77" t="str">
        <f>'Modem Registers Calculations'!K26</f>
        <v>reg.77</v>
      </c>
      <c r="M49" s="77" t="str">
        <f>'Modem Registers Calculations'!L26</f>
        <v>40</v>
      </c>
      <c r="N49" s="77" t="str">
        <f>'Modem Registers Calculations'!M26</f>
        <v>S2 F740</v>
      </c>
    </row>
    <row r="50" spans="2:14" s="63" customFormat="1" x14ac:dyDescent="0.2">
      <c r="B50" s="77">
        <v>42</v>
      </c>
      <c r="C50" s="77" t="str">
        <f>IF(EXACT($E$6,PH_general!$G$42),"N/A",'PH + FIFO MODE'!G27)</f>
        <v>00</v>
      </c>
      <c r="D50" s="77" t="str">
        <f>IF(EXACT($E$6,PH_general!$G$42),"",'PH + FIFO MODE'!H27)</f>
        <v>S2 C200</v>
      </c>
      <c r="E50" s="190" t="str">
        <f>IF(C50="00",PH_general!$G$53,"")</f>
        <v>This is the Default Value after RESET</v>
      </c>
      <c r="F50" s="180" t="str">
        <f>IF($E$6=PH_general!$G$42,"","Relevant for RX settings Only")</f>
        <v>Relevant for RX settings Only</v>
      </c>
    </row>
    <row r="51" spans="2:14" s="63" customFormat="1" x14ac:dyDescent="0.2">
      <c r="B51" s="77">
        <v>43</v>
      </c>
      <c r="C51" s="77" t="str">
        <f>IF(EXACT($E$6,PH_general!$G$42),"N/A",'PH + FIFO MODE'!G28)</f>
        <v>FF</v>
      </c>
      <c r="D51" s="77" t="str">
        <f>IF(EXACT($E$6,PH_general!$G$42),"",'PH + FIFO MODE'!H28)</f>
        <v>S2 C3FF</v>
      </c>
      <c r="E51" s="190" t="str">
        <f>IF(C51="FF",PH_general!$G$53,"")</f>
        <v>This is the Default Value after RESET</v>
      </c>
      <c r="F51" s="180" t="str">
        <f>IF($E$6=PH_general!$G$42,"","Relevant for RX settings Only")</f>
        <v>Relevant for RX settings Only</v>
      </c>
    </row>
    <row r="52" spans="2:14" s="63" customFormat="1" x14ac:dyDescent="0.2">
      <c r="B52" s="77">
        <v>44</v>
      </c>
      <c r="C52" s="77" t="str">
        <f>IF(EXACT($E$6,PH_general!$G$42),"N/A",'PH + FIFO MODE'!G29)</f>
        <v>FF</v>
      </c>
      <c r="D52" s="77" t="str">
        <f>IF(EXACT($E$6,PH_general!$G$42),"",'PH + FIFO MODE'!H29)</f>
        <v>S2 C4FF</v>
      </c>
      <c r="E52" s="190" t="str">
        <f>IF(C52="FF",PH_general!$G$53,"")</f>
        <v>This is the Default Value after RESET</v>
      </c>
      <c r="F52" s="180" t="str">
        <f>IF($E$6=PH_general!$G$42,"","Relevant for RX settings Only")</f>
        <v>Relevant for RX settings Only</v>
      </c>
    </row>
    <row r="53" spans="2:14" s="63" customFormat="1" x14ac:dyDescent="0.2">
      <c r="B53" s="77">
        <v>45</v>
      </c>
      <c r="C53" s="77" t="str">
        <f>IF(EXACT($E$6,PH_general!$G$42),"N/A",'PH + FIFO MODE'!G30)</f>
        <v>FF</v>
      </c>
      <c r="D53" s="77" t="str">
        <f>IF(EXACT($E$6,PH_general!$G$42),"",'PH + FIFO MODE'!H30)</f>
        <v>S2 C5FF</v>
      </c>
      <c r="E53" s="190" t="str">
        <f>IF(C53="FF",PH_general!$G$53,"")</f>
        <v>This is the Default Value after RESET</v>
      </c>
      <c r="F53" s="180" t="str">
        <f>IF($E$6=PH_general!$G$42,"","Relevant for RX settings Only")</f>
        <v>Relevant for RX settings Only</v>
      </c>
    </row>
    <row r="54" spans="2:14" s="63" customFormat="1" x14ac:dyDescent="0.2">
      <c r="B54" s="77">
        <v>46</v>
      </c>
      <c r="C54" s="77" t="str">
        <f>IF(EXACT($E$6,PH_general!$G$42),"N/A",'PH + FIFO MODE'!G31)</f>
        <v>FF</v>
      </c>
      <c r="D54" s="77" t="str">
        <f>IF(EXACT($E$6,PH_general!$G$42),"",'PH + FIFO MODE'!H31)</f>
        <v>S2 C6FF</v>
      </c>
      <c r="E54" s="190" t="str">
        <f>IF(C54="FF",PH_general!$G$53,"")</f>
        <v>This is the Default Value after RESET</v>
      </c>
      <c r="F54" s="180" t="str">
        <f>IF($E$6=PH_general!$G$42,"","Relevant for RX settings Only")</f>
        <v>Relevant for RX settings Only</v>
      </c>
    </row>
    <row r="55" spans="2:14" s="63" customFormat="1" x14ac:dyDescent="0.2">
      <c r="B55" s="277"/>
      <c r="C55" s="277"/>
      <c r="D55" s="277"/>
      <c r="E55" s="190"/>
      <c r="F55" s="180"/>
    </row>
    <row r="56" spans="2:14" s="63" customFormat="1" x14ac:dyDescent="0.2">
      <c r="D56" s="85"/>
      <c r="E56" s="190"/>
      <c r="F56" s="180"/>
    </row>
    <row r="57" spans="2:14" s="63" customFormat="1" ht="13.5" thickBot="1" x14ac:dyDescent="0.25">
      <c r="B57" s="85"/>
      <c r="C57" s="85"/>
      <c r="D57" s="85"/>
      <c r="E57" s="190"/>
    </row>
    <row r="58" spans="2:14" s="63" customFormat="1" x14ac:dyDescent="0.2">
      <c r="B58" s="77" t="s">
        <v>287</v>
      </c>
      <c r="C58" s="77" t="str">
        <f>'Modem Registers Calculations'!L34</f>
        <v>13</v>
      </c>
      <c r="D58" s="77" t="str">
        <f>'Modem Registers Calculations'!M34</f>
        <v>S2 EE13</v>
      </c>
      <c r="E58" s="190" t="str">
        <f>IF(C58="0A",PH_general!$G$53,"")</f>
        <v/>
      </c>
      <c r="F58" s="490" t="s">
        <v>291</v>
      </c>
    </row>
    <row r="59" spans="2:14" s="63" customFormat="1" ht="13.5" thickBot="1" x14ac:dyDescent="0.25">
      <c r="B59" s="77" t="s">
        <v>288</v>
      </c>
      <c r="C59" s="77" t="str">
        <f>'Modem Registers Calculations'!L35</f>
        <v>A9</v>
      </c>
      <c r="D59" s="77" t="str">
        <f>'Modem Registers Calculations'!M35</f>
        <v>S2 EFA9</v>
      </c>
      <c r="E59" s="190" t="str">
        <f>IF(C59="3D",PH_general!$G$53,"")</f>
        <v/>
      </c>
      <c r="F59" s="491"/>
    </row>
    <row r="60" spans="2:14" s="63" customFormat="1" x14ac:dyDescent="0.2">
      <c r="E60" s="190"/>
    </row>
    <row r="61" spans="2:14" s="63" customFormat="1" x14ac:dyDescent="0.2">
      <c r="B61" s="77">
        <v>70</v>
      </c>
      <c r="C61" s="77" t="str">
        <f>IF(EXACT($E$6,PH_general!$G$42),'FIFO MODE'!G17,'PH + FIFO MODE'!G32)</f>
        <v>2A</v>
      </c>
      <c r="D61" s="77" t="str">
        <f>IF(EXACT($E$6,PH_general!$G$42),'FIFO MODE'!H17,'PH + FIFO MODE'!H32)</f>
        <v>S2 F02A</v>
      </c>
      <c r="E61" s="190" t="str">
        <f>IF(C61="0C",PH_general!$G$53,"")</f>
        <v/>
      </c>
    </row>
    <row r="62" spans="2:14" s="63" customFormat="1" ht="13.5" thickBot="1" x14ac:dyDescent="0.25">
      <c r="B62" s="77">
        <v>71</v>
      </c>
      <c r="C62" s="77" t="str">
        <f>IF(EXACT($E$6,PH_general!$G$42),'FIFO MODE'!G18,'PH + FIFO MODE'!G33)</f>
        <v>2A</v>
      </c>
      <c r="D62" s="77" t="str">
        <f>IF(EXACT($E$6,PH_general!$G$42),'FIFO MODE'!H18,'PH + FIFO MODE'!H33)</f>
        <v>S2 F12A</v>
      </c>
      <c r="E62" s="190" t="str">
        <f>IF(C62="00",PH_general!$G$53,"")</f>
        <v/>
      </c>
    </row>
    <row r="63" spans="2:14" s="63" customFormat="1" ht="13.5" thickBot="1" x14ac:dyDescent="0.25">
      <c r="B63" s="94">
        <v>72</v>
      </c>
      <c r="C63" s="77" t="str">
        <f>'Modem Registers Calculations'!L43</f>
        <v>28</v>
      </c>
      <c r="D63" s="77" t="str">
        <f>'Modem Registers Calculations'!M43</f>
        <v>S2 F228</v>
      </c>
      <c r="E63" s="190" t="str">
        <f>IF(C63="20",PH_general!$G$53,"")</f>
        <v/>
      </c>
      <c r="F63" s="193" t="s">
        <v>290</v>
      </c>
    </row>
    <row r="64" spans="2:14" s="63" customFormat="1" x14ac:dyDescent="0.2">
      <c r="B64" s="65"/>
      <c r="E64" s="190"/>
    </row>
    <row r="65" spans="1:18" s="63" customFormat="1" ht="13.5" thickBot="1" x14ac:dyDescent="0.25">
      <c r="B65" s="94">
        <v>75</v>
      </c>
      <c r="C65" s="77" t="str">
        <f>'Modem Registers Calculations'!L24</f>
        <v>53</v>
      </c>
      <c r="D65" s="77" t="str">
        <f>'Modem Registers Calculations'!M24</f>
        <v>S2 F553</v>
      </c>
      <c r="E65" s="190" t="str">
        <f>IF(C65="75",PH_general!$G$53,"")</f>
        <v/>
      </c>
    </row>
    <row r="66" spans="1:18" s="63" customFormat="1" x14ac:dyDescent="0.2">
      <c r="B66" s="94">
        <v>76</v>
      </c>
      <c r="C66" s="77" t="str">
        <f>'Modem Registers Calculations'!L25</f>
        <v>5F</v>
      </c>
      <c r="D66" s="77" t="str">
        <f>'Modem Registers Calculations'!M25</f>
        <v>S2 F65F</v>
      </c>
      <c r="E66" s="190" t="str">
        <f>IF(C66="BB",PH_general!$G$53,"")</f>
        <v/>
      </c>
      <c r="F66" s="490" t="s">
        <v>292</v>
      </c>
    </row>
    <row r="67" spans="1:18" s="63" customFormat="1" ht="13.5" thickBot="1" x14ac:dyDescent="0.25">
      <c r="B67" s="94">
        <v>77</v>
      </c>
      <c r="C67" s="77" t="str">
        <f>'Modem Registers Calculations'!L26</f>
        <v>40</v>
      </c>
      <c r="D67" s="77" t="str">
        <f>'Modem Registers Calculations'!M26</f>
        <v>S2 F740</v>
      </c>
      <c r="E67" s="190" t="str">
        <f>IF(C67="80",PH_general!$G$53,"")</f>
        <v/>
      </c>
      <c r="F67" s="491"/>
    </row>
    <row r="68" spans="1:18" s="63" customFormat="1" x14ac:dyDescent="0.2"/>
    <row r="69" spans="1:18" x14ac:dyDescent="0.2">
      <c r="A69" s="63"/>
      <c r="B69" s="63"/>
      <c r="C69" s="63"/>
      <c r="D69" s="63"/>
      <c r="E69" s="63"/>
      <c r="F69" s="63"/>
      <c r="G69" s="63"/>
      <c r="H69" s="63"/>
      <c r="I69" s="63"/>
      <c r="J69" s="63"/>
      <c r="K69" s="63"/>
      <c r="L69" s="63"/>
      <c r="M69" s="63"/>
      <c r="N69" s="63"/>
      <c r="O69" s="63"/>
      <c r="P69" s="63"/>
      <c r="Q69" s="63"/>
      <c r="R69" s="63"/>
    </row>
    <row r="70" spans="1:18" x14ac:dyDescent="0.2">
      <c r="A70" s="63"/>
      <c r="B70" s="63"/>
      <c r="C70" s="63"/>
      <c r="D70" s="63"/>
      <c r="E70" s="63"/>
      <c r="F70" s="63"/>
      <c r="G70" s="63"/>
      <c r="H70" s="63"/>
      <c r="I70" s="63"/>
      <c r="J70" s="63"/>
      <c r="K70" s="63"/>
      <c r="L70" s="63"/>
      <c r="M70" s="63"/>
      <c r="N70" s="63"/>
      <c r="O70" s="63"/>
      <c r="P70" s="63"/>
      <c r="Q70" s="63"/>
      <c r="R70" s="63"/>
    </row>
    <row r="71" spans="1:18" x14ac:dyDescent="0.2">
      <c r="A71" s="63"/>
      <c r="B71" s="63"/>
      <c r="C71" s="63"/>
      <c r="D71" s="63"/>
      <c r="E71" s="63"/>
      <c r="F71" s="63"/>
      <c r="G71" s="63"/>
      <c r="H71" s="63"/>
      <c r="I71" s="63"/>
      <c r="J71" s="63"/>
      <c r="K71" s="63"/>
      <c r="L71" s="63"/>
      <c r="M71" s="63"/>
      <c r="N71" s="63"/>
      <c r="O71" s="63"/>
      <c r="P71" s="63"/>
      <c r="Q71" s="63"/>
      <c r="R71" s="63"/>
    </row>
    <row r="72" spans="1:18" x14ac:dyDescent="0.2">
      <c r="A72" s="63"/>
      <c r="B72" s="63"/>
      <c r="C72" s="63"/>
      <c r="D72" s="63"/>
      <c r="E72" s="63"/>
      <c r="F72" s="63"/>
      <c r="G72" s="63"/>
      <c r="H72" s="63"/>
      <c r="I72" s="63"/>
      <c r="J72" s="63"/>
      <c r="K72" s="63"/>
      <c r="L72" s="63"/>
      <c r="M72" s="63"/>
      <c r="N72" s="63"/>
      <c r="O72" s="63"/>
      <c r="P72" s="63"/>
      <c r="Q72" s="63"/>
      <c r="R72" s="63"/>
    </row>
    <row r="73" spans="1:18" x14ac:dyDescent="0.2">
      <c r="A73" s="63"/>
      <c r="B73" s="63"/>
      <c r="C73" s="63"/>
      <c r="D73" s="63"/>
      <c r="E73" s="63"/>
      <c r="F73" s="63"/>
      <c r="G73" s="63"/>
      <c r="H73" s="63"/>
      <c r="I73" s="63"/>
      <c r="J73" s="63"/>
      <c r="K73" s="63"/>
      <c r="L73" s="63"/>
      <c r="M73" s="63"/>
      <c r="N73" s="63"/>
      <c r="O73" s="63"/>
      <c r="P73" s="63"/>
      <c r="Q73" s="63"/>
      <c r="R73" s="63"/>
    </row>
    <row r="74" spans="1:18" x14ac:dyDescent="0.2">
      <c r="A74" s="63"/>
      <c r="B74" s="63"/>
      <c r="C74" s="63"/>
      <c r="D74" s="63"/>
      <c r="E74" s="63"/>
      <c r="F74" s="63"/>
      <c r="G74" s="63"/>
      <c r="H74" s="63"/>
      <c r="I74" s="63"/>
      <c r="J74" s="63"/>
      <c r="K74" s="63"/>
      <c r="L74" s="63"/>
      <c r="M74" s="63"/>
      <c r="N74" s="63"/>
      <c r="O74" s="63"/>
      <c r="P74" s="63"/>
      <c r="Q74" s="63"/>
      <c r="R74" s="63"/>
    </row>
    <row r="75" spans="1:18" x14ac:dyDescent="0.2">
      <c r="A75" s="63"/>
      <c r="B75" s="63"/>
      <c r="C75" s="63"/>
      <c r="D75" s="63"/>
      <c r="E75" s="63"/>
      <c r="F75" s="63"/>
      <c r="G75" s="63"/>
      <c r="H75" s="63"/>
      <c r="I75" s="63"/>
      <c r="J75" s="63"/>
      <c r="K75" s="63"/>
      <c r="L75" s="63"/>
      <c r="M75" s="63"/>
      <c r="N75" s="63"/>
      <c r="O75" s="63"/>
      <c r="P75" s="63"/>
      <c r="Q75" s="63"/>
      <c r="R75" s="63"/>
    </row>
    <row r="76" spans="1:18" x14ac:dyDescent="0.2">
      <c r="A76" s="63"/>
      <c r="B76" s="63"/>
      <c r="C76" s="63"/>
      <c r="D76" s="63"/>
      <c r="E76" s="63"/>
      <c r="F76" s="63"/>
      <c r="G76" s="63"/>
      <c r="H76" s="63"/>
      <c r="I76" s="63"/>
      <c r="J76" s="63"/>
      <c r="K76" s="63"/>
      <c r="L76" s="63"/>
      <c r="M76" s="63"/>
      <c r="N76" s="63"/>
      <c r="O76" s="63"/>
      <c r="P76" s="63"/>
      <c r="Q76" s="63"/>
      <c r="R76" s="63"/>
    </row>
    <row r="77" spans="1:18" x14ac:dyDescent="0.2">
      <c r="A77" s="63"/>
      <c r="B77" s="63"/>
      <c r="C77" s="63"/>
      <c r="D77" s="63"/>
      <c r="E77" s="63"/>
      <c r="F77" s="63"/>
      <c r="G77" s="63"/>
      <c r="H77" s="63"/>
      <c r="I77" s="63"/>
      <c r="J77" s="63"/>
      <c r="K77" s="63"/>
      <c r="L77" s="63"/>
      <c r="M77" s="63"/>
      <c r="N77" s="63"/>
      <c r="O77" s="63"/>
      <c r="P77" s="63"/>
      <c r="Q77" s="63"/>
      <c r="R77" s="63"/>
    </row>
    <row r="78" spans="1:18" x14ac:dyDescent="0.2">
      <c r="A78" s="63"/>
      <c r="B78" s="63"/>
      <c r="C78" s="63"/>
      <c r="D78" s="63"/>
      <c r="E78" s="63"/>
      <c r="F78" s="63"/>
      <c r="G78" s="63"/>
      <c r="H78" s="63"/>
      <c r="I78" s="63"/>
      <c r="J78" s="63"/>
      <c r="K78" s="63"/>
      <c r="L78" s="63"/>
      <c r="M78" s="63"/>
      <c r="N78" s="63"/>
      <c r="O78" s="63"/>
      <c r="P78" s="63"/>
      <c r="Q78" s="63"/>
      <c r="R78" s="63"/>
    </row>
    <row r="79" spans="1:18" x14ac:dyDescent="0.2">
      <c r="A79" s="63"/>
      <c r="B79" s="63"/>
      <c r="C79" s="63"/>
      <c r="D79" s="63"/>
      <c r="E79" s="63"/>
      <c r="F79" s="63"/>
      <c r="G79" s="63"/>
      <c r="H79" s="63"/>
      <c r="I79" s="63"/>
      <c r="J79" s="63"/>
      <c r="K79" s="63"/>
      <c r="L79" s="63"/>
      <c r="M79" s="63"/>
      <c r="N79" s="63"/>
      <c r="O79" s="63"/>
      <c r="P79" s="63"/>
      <c r="Q79" s="63"/>
      <c r="R79" s="63"/>
    </row>
    <row r="80" spans="1:18" x14ac:dyDescent="0.2">
      <c r="A80" s="63"/>
      <c r="B80" s="63"/>
      <c r="C80" s="63"/>
      <c r="D80" s="63"/>
      <c r="E80" s="63"/>
      <c r="F80" s="63"/>
      <c r="G80" s="63"/>
      <c r="H80" s="63"/>
      <c r="I80" s="63"/>
      <c r="J80" s="63"/>
      <c r="K80" s="63"/>
      <c r="L80" s="63"/>
      <c r="M80" s="63"/>
      <c r="N80" s="63"/>
      <c r="O80" s="63"/>
      <c r="P80" s="63"/>
      <c r="Q80" s="63"/>
      <c r="R80" s="63"/>
    </row>
    <row r="81" spans="1:18" x14ac:dyDescent="0.2">
      <c r="A81" s="63"/>
      <c r="B81" s="63"/>
      <c r="C81" s="63"/>
      <c r="D81" s="63"/>
      <c r="E81" s="63"/>
      <c r="F81" s="63"/>
      <c r="G81" s="63"/>
      <c r="H81" s="63"/>
      <c r="I81" s="63"/>
      <c r="J81" s="63"/>
      <c r="K81" s="63"/>
      <c r="L81" s="63"/>
      <c r="M81" s="63"/>
      <c r="N81" s="63"/>
      <c r="O81" s="63"/>
      <c r="P81" s="63"/>
      <c r="Q81" s="63"/>
      <c r="R81" s="63"/>
    </row>
    <row r="82" spans="1:18" x14ac:dyDescent="0.2">
      <c r="A82" s="63"/>
      <c r="B82" s="63"/>
      <c r="C82" s="63"/>
      <c r="D82" s="63"/>
      <c r="E82" s="63"/>
      <c r="F82" s="63"/>
      <c r="G82" s="63"/>
      <c r="H82" s="63"/>
      <c r="I82" s="63"/>
      <c r="J82" s="63"/>
      <c r="K82" s="63"/>
      <c r="L82" s="63"/>
      <c r="M82" s="63"/>
      <c r="N82" s="63"/>
      <c r="O82" s="63"/>
      <c r="P82" s="63"/>
      <c r="Q82" s="63"/>
      <c r="R82" s="63"/>
    </row>
    <row r="83" spans="1:18" x14ac:dyDescent="0.2">
      <c r="A83" s="63"/>
      <c r="B83" s="63"/>
      <c r="C83" s="63"/>
      <c r="D83" s="63"/>
      <c r="E83" s="63"/>
      <c r="F83" s="63"/>
      <c r="G83" s="63"/>
      <c r="H83" s="63"/>
      <c r="I83" s="63"/>
      <c r="J83" s="63"/>
      <c r="K83" s="63"/>
      <c r="L83" s="63"/>
      <c r="M83" s="63"/>
      <c r="N83" s="63"/>
      <c r="O83" s="63"/>
      <c r="P83" s="63"/>
      <c r="Q83" s="63"/>
      <c r="R83" s="63"/>
    </row>
    <row r="84" spans="1:18" x14ac:dyDescent="0.2">
      <c r="A84" s="63"/>
      <c r="B84" s="63"/>
      <c r="C84" s="63"/>
      <c r="D84" s="63"/>
      <c r="E84" s="63"/>
      <c r="F84" s="63"/>
      <c r="G84" s="63"/>
      <c r="H84" s="63"/>
      <c r="I84" s="63"/>
      <c r="J84" s="63"/>
      <c r="K84" s="63"/>
      <c r="L84" s="63"/>
      <c r="M84" s="63"/>
      <c r="N84" s="63"/>
      <c r="O84" s="63"/>
      <c r="P84" s="63"/>
      <c r="Q84" s="63"/>
      <c r="R84" s="63"/>
    </row>
    <row r="85" spans="1:18" x14ac:dyDescent="0.2">
      <c r="A85" s="63"/>
      <c r="B85" s="63"/>
      <c r="C85" s="63"/>
      <c r="D85" s="63"/>
      <c r="E85" s="63"/>
      <c r="F85" s="63"/>
      <c r="G85" s="63"/>
      <c r="H85" s="63"/>
      <c r="I85" s="63"/>
      <c r="J85" s="63"/>
      <c r="K85" s="63"/>
      <c r="L85" s="63"/>
      <c r="M85" s="63"/>
      <c r="N85" s="63"/>
      <c r="O85" s="63"/>
      <c r="P85" s="63"/>
      <c r="Q85" s="63"/>
      <c r="R85" s="63"/>
    </row>
    <row r="86" spans="1:18" x14ac:dyDescent="0.2">
      <c r="A86" s="63"/>
      <c r="B86" s="63"/>
      <c r="C86" s="63"/>
      <c r="D86" s="63"/>
      <c r="E86" s="63"/>
      <c r="F86" s="63"/>
      <c r="G86" s="63"/>
      <c r="H86" s="63"/>
      <c r="I86" s="63"/>
      <c r="J86" s="63"/>
      <c r="K86" s="63"/>
      <c r="L86" s="63"/>
      <c r="M86" s="63"/>
      <c r="N86" s="63"/>
      <c r="O86" s="63"/>
      <c r="P86" s="63"/>
      <c r="Q86" s="63"/>
      <c r="R86" s="63"/>
    </row>
    <row r="87" spans="1:18" x14ac:dyDescent="0.2">
      <c r="A87" s="63"/>
      <c r="B87" s="63"/>
      <c r="C87" s="63"/>
      <c r="D87" s="63"/>
      <c r="E87" s="63"/>
      <c r="F87" s="63"/>
      <c r="G87" s="63"/>
      <c r="H87" s="63"/>
      <c r="I87" s="63"/>
      <c r="J87" s="63"/>
      <c r="K87" s="63"/>
      <c r="L87" s="63"/>
      <c r="M87" s="63"/>
      <c r="N87" s="63"/>
      <c r="O87" s="63"/>
      <c r="P87" s="63"/>
      <c r="Q87" s="63"/>
      <c r="R87" s="63"/>
    </row>
    <row r="88" spans="1:18" x14ac:dyDescent="0.2">
      <c r="A88" s="63"/>
      <c r="B88" s="63"/>
      <c r="C88" s="63"/>
      <c r="D88" s="63"/>
      <c r="E88" s="63"/>
      <c r="F88" s="63"/>
      <c r="G88" s="63"/>
      <c r="H88" s="63"/>
      <c r="I88" s="63"/>
      <c r="J88" s="63"/>
      <c r="K88" s="63"/>
      <c r="L88" s="63"/>
      <c r="M88" s="63"/>
      <c r="N88" s="63"/>
      <c r="O88" s="63"/>
      <c r="P88" s="63"/>
      <c r="Q88" s="63"/>
      <c r="R88" s="63"/>
    </row>
    <row r="89" spans="1:18" x14ac:dyDescent="0.2">
      <c r="A89" s="63"/>
      <c r="B89" s="63"/>
      <c r="C89" s="63"/>
      <c r="D89" s="63"/>
      <c r="E89" s="63"/>
      <c r="F89" s="63"/>
      <c r="G89" s="63"/>
      <c r="H89" s="63"/>
      <c r="I89" s="63"/>
      <c r="J89" s="63"/>
      <c r="K89" s="63"/>
      <c r="L89" s="63"/>
      <c r="M89" s="63"/>
      <c r="N89" s="63"/>
      <c r="O89" s="63"/>
      <c r="P89" s="63"/>
      <c r="Q89" s="63"/>
      <c r="R89" s="63"/>
    </row>
    <row r="90" spans="1:18" x14ac:dyDescent="0.2">
      <c r="A90" s="63"/>
      <c r="B90" s="63"/>
      <c r="C90" s="63"/>
      <c r="D90" s="63"/>
      <c r="E90" s="63"/>
      <c r="F90" s="63"/>
      <c r="G90" s="63"/>
      <c r="H90" s="63"/>
      <c r="I90" s="63"/>
      <c r="J90" s="63"/>
      <c r="K90" s="63"/>
      <c r="L90" s="63"/>
      <c r="M90" s="63"/>
      <c r="N90" s="63"/>
      <c r="O90" s="63"/>
      <c r="P90" s="63"/>
      <c r="Q90" s="63"/>
      <c r="R90" s="63"/>
    </row>
    <row r="91" spans="1:18" x14ac:dyDescent="0.2">
      <c r="A91" s="63"/>
      <c r="B91" s="63"/>
      <c r="C91" s="63"/>
      <c r="D91" s="63"/>
      <c r="E91" s="63"/>
      <c r="F91" s="63"/>
      <c r="G91" s="63"/>
      <c r="H91" s="63"/>
      <c r="I91" s="63"/>
      <c r="J91" s="63"/>
      <c r="K91" s="63"/>
      <c r="L91" s="63"/>
      <c r="M91" s="63"/>
      <c r="N91" s="63"/>
      <c r="O91" s="63"/>
      <c r="P91" s="63"/>
      <c r="Q91" s="63"/>
      <c r="R91" s="63"/>
    </row>
    <row r="92" spans="1:18" x14ac:dyDescent="0.2">
      <c r="A92" s="63"/>
      <c r="B92" s="63"/>
      <c r="C92" s="63"/>
      <c r="D92" s="63"/>
      <c r="E92" s="63"/>
      <c r="F92" s="63"/>
      <c r="G92" s="63"/>
      <c r="H92" s="63"/>
      <c r="I92" s="63"/>
      <c r="J92" s="63"/>
      <c r="K92" s="63"/>
      <c r="L92" s="63"/>
      <c r="M92" s="63"/>
      <c r="N92" s="63"/>
      <c r="O92" s="63"/>
      <c r="P92" s="63"/>
      <c r="Q92" s="63"/>
      <c r="R92" s="63"/>
    </row>
    <row r="93" spans="1:18" x14ac:dyDescent="0.2">
      <c r="A93" s="63"/>
      <c r="B93" s="63"/>
      <c r="C93" s="63"/>
      <c r="D93" s="63"/>
      <c r="E93" s="63"/>
      <c r="F93" s="63"/>
      <c r="G93" s="63"/>
      <c r="H93" s="63"/>
      <c r="I93" s="63"/>
      <c r="J93" s="63"/>
      <c r="K93" s="63"/>
      <c r="L93" s="63"/>
      <c r="M93" s="63"/>
      <c r="N93" s="63"/>
      <c r="O93" s="63"/>
      <c r="P93" s="63"/>
      <c r="Q93" s="63"/>
      <c r="R93" s="63"/>
    </row>
    <row r="94" spans="1:18" x14ac:dyDescent="0.2">
      <c r="A94" s="63"/>
      <c r="B94" s="63"/>
      <c r="C94" s="63"/>
      <c r="D94" s="63"/>
      <c r="E94" s="63"/>
      <c r="F94" s="63"/>
      <c r="G94" s="63"/>
      <c r="H94" s="63"/>
      <c r="I94" s="63"/>
      <c r="J94" s="63"/>
      <c r="K94" s="63"/>
      <c r="L94" s="63"/>
      <c r="M94" s="63"/>
      <c r="N94" s="63"/>
      <c r="O94" s="63"/>
      <c r="P94" s="63"/>
      <c r="Q94" s="63"/>
      <c r="R94" s="63"/>
    </row>
    <row r="95" spans="1:18" x14ac:dyDescent="0.2">
      <c r="A95" s="63"/>
      <c r="B95" s="63"/>
      <c r="C95" s="63"/>
      <c r="D95" s="63"/>
      <c r="E95" s="63"/>
      <c r="F95" s="63"/>
      <c r="G95" s="63"/>
      <c r="H95" s="63"/>
      <c r="I95" s="63"/>
      <c r="J95" s="63"/>
      <c r="K95" s="63"/>
      <c r="L95" s="63"/>
      <c r="M95" s="63"/>
      <c r="N95" s="63"/>
      <c r="O95" s="63"/>
      <c r="P95" s="63"/>
      <c r="Q95" s="63"/>
      <c r="R95" s="63"/>
    </row>
    <row r="96" spans="1:18" x14ac:dyDescent="0.2">
      <c r="A96" s="63"/>
      <c r="B96" s="63"/>
      <c r="C96" s="63"/>
      <c r="D96" s="63"/>
      <c r="E96" s="63"/>
      <c r="F96" s="63"/>
      <c r="G96" s="63"/>
      <c r="H96" s="63"/>
      <c r="I96" s="63"/>
      <c r="J96" s="63"/>
      <c r="K96" s="63"/>
      <c r="L96" s="63"/>
      <c r="M96" s="63"/>
      <c r="N96" s="63"/>
      <c r="O96" s="63"/>
      <c r="P96" s="63"/>
      <c r="Q96" s="63"/>
      <c r="R96" s="63"/>
    </row>
    <row r="97" spans="1:18" x14ac:dyDescent="0.2">
      <c r="A97" s="63"/>
      <c r="B97" s="63"/>
      <c r="C97" s="63"/>
      <c r="D97" s="63"/>
      <c r="E97" s="63"/>
      <c r="F97" s="63"/>
      <c r="G97" s="63"/>
      <c r="H97" s="63"/>
      <c r="I97" s="63"/>
      <c r="J97" s="63"/>
      <c r="K97" s="63"/>
      <c r="L97" s="63"/>
      <c r="M97" s="63"/>
      <c r="N97" s="63"/>
      <c r="O97" s="63"/>
      <c r="P97" s="63"/>
      <c r="Q97" s="63"/>
      <c r="R97" s="63"/>
    </row>
    <row r="98" spans="1:18" x14ac:dyDescent="0.2">
      <c r="A98" s="63"/>
      <c r="B98" s="63"/>
      <c r="C98" s="63"/>
      <c r="D98" s="63"/>
      <c r="E98" s="63"/>
      <c r="F98" s="63"/>
      <c r="G98" s="63"/>
      <c r="H98" s="63"/>
      <c r="I98" s="63"/>
      <c r="J98" s="63"/>
      <c r="K98" s="63"/>
      <c r="L98" s="63"/>
      <c r="M98" s="63"/>
      <c r="N98" s="63"/>
      <c r="O98" s="63"/>
      <c r="P98" s="63"/>
      <c r="Q98" s="63"/>
      <c r="R98" s="63"/>
    </row>
    <row r="99" spans="1:18" x14ac:dyDescent="0.2">
      <c r="A99" s="63"/>
      <c r="B99" s="63"/>
      <c r="C99" s="63"/>
      <c r="D99" s="63"/>
      <c r="E99" s="63"/>
      <c r="F99" s="63"/>
      <c r="G99" s="63"/>
      <c r="H99" s="63"/>
      <c r="I99" s="63"/>
      <c r="J99" s="63"/>
      <c r="K99" s="63"/>
      <c r="L99" s="63"/>
      <c r="M99" s="63"/>
      <c r="N99" s="63"/>
      <c r="O99" s="63"/>
      <c r="P99" s="63"/>
      <c r="Q99" s="63"/>
      <c r="R99" s="63"/>
    </row>
    <row r="100" spans="1:18" x14ac:dyDescent="0.2">
      <c r="A100" s="63"/>
      <c r="B100" s="63"/>
      <c r="C100" s="63"/>
      <c r="D100" s="63"/>
      <c r="E100" s="63"/>
      <c r="F100" s="63"/>
      <c r="G100" s="63"/>
      <c r="H100" s="63"/>
      <c r="I100" s="63"/>
      <c r="J100" s="63"/>
      <c r="K100" s="63"/>
      <c r="L100" s="63"/>
      <c r="M100" s="63"/>
      <c r="N100" s="63"/>
      <c r="O100" s="63"/>
      <c r="P100" s="63"/>
      <c r="Q100" s="63"/>
      <c r="R100" s="63"/>
    </row>
    <row r="101" spans="1:18" x14ac:dyDescent="0.2">
      <c r="A101" s="63"/>
      <c r="B101" s="63"/>
      <c r="C101" s="63"/>
      <c r="D101" s="63"/>
      <c r="E101" s="63"/>
      <c r="F101" s="63"/>
      <c r="G101" s="63"/>
      <c r="H101" s="63"/>
      <c r="I101" s="63"/>
      <c r="J101" s="63"/>
      <c r="K101" s="63"/>
      <c r="L101" s="63"/>
      <c r="M101" s="63"/>
      <c r="N101" s="63"/>
      <c r="O101" s="63"/>
      <c r="P101" s="63"/>
      <c r="Q101" s="63"/>
      <c r="R101" s="63"/>
    </row>
  </sheetData>
  <sheetProtection password="CF76" sheet="1"/>
  <mergeCells count="4">
    <mergeCell ref="F58:F59"/>
    <mergeCell ref="F66:F67"/>
    <mergeCell ref="F18:F20"/>
    <mergeCell ref="F22:F31"/>
  </mergeCells>
  <phoneticPr fontId="1" type="noConversion"/>
  <dataValidations count="1">
    <dataValidation type="list" allowBlank="1" showInputMessage="1" showErrorMessage="1" sqref="E6">
      <formula1>WorkMode</formula1>
    </dataValidation>
  </dataValidations>
  <pageMargins left="0.75" right="0.75" top="1" bottom="1" header="0.5" footer="0.5"/>
  <pageSetup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F7273147D759594097640F8394324FD2" ma:contentTypeVersion="31" ma:contentTypeDescription="Create a new document." ma:contentTypeScope="" ma:versionID="1855b2edbae862ba8fb0600c2837acc7">
  <xsd:schema xmlns:xsd="http://www.w3.org/2001/XMLSchema" xmlns:xs="http://www.w3.org/2001/XMLSchema" xmlns:p="http://schemas.microsoft.com/office/2006/metadata/properties" xmlns:ns1="http://schemas.microsoft.com/sharepoint/v3" xmlns:ns2="3b91a693-012a-4b98-8a3b-446ed82b7ef8" xmlns:ns3="d0bec0e0-b0bd-4b04-a2e5-c16613175021" xmlns:ns4="http://schemas.microsoft.com/sharepoint/v3/fields" targetNamespace="http://schemas.microsoft.com/office/2006/metadata/properties" ma:root="true" ma:fieldsID="3b7cd261a3609ea94b639a22fa21c700" ns1:_="" ns2:_="" ns3:_="" ns4:_="">
    <xsd:import namespace="http://schemas.microsoft.com/sharepoint/v3"/>
    <xsd:import namespace="3b91a693-012a-4b98-8a3b-446ed82b7ef8"/>
    <xsd:import namespace="d0bec0e0-b0bd-4b04-a2e5-c16613175021"/>
    <xsd:import namespace="http://schemas.microsoft.com/sharepoint/v3/fields"/>
    <xsd:element name="properties">
      <xsd:complexType>
        <xsd:sequence>
          <xsd:element name="documentManagement">
            <xsd:complexType>
              <xsd:all>
                <xsd:element ref="ns2:DocType"/>
                <xsd:element ref="ns2:RequiresNDA" minOccurs="0"/>
                <xsd:element ref="ns3:AuthInd" minOccurs="0"/>
                <xsd:element ref="ns3:Product_x0020_Line" minOccurs="0"/>
                <xsd:element ref="ns3:Product_x0020_Family" minOccurs="0"/>
                <xsd:element ref="ns3:Part_x0020_Number" minOccurs="0"/>
                <xsd:element ref="ns4:_Revision" minOccurs="0"/>
                <xsd:element ref="ns3:Document_x0020_Revision_x0020_Date" minOccurs="0"/>
                <xsd:element ref="ns1:PublishingStartDate" minOccurs="0"/>
                <xsd:element ref="ns1:PublishingExpirationDate" minOccurs="0"/>
                <xsd:element ref="ns3:IncludeInAutoNotify"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Scheduling Start Date" ma:description="" ma:internalName="PublishingStartDate">
      <xsd:simpleType>
        <xsd:restriction base="dms:Unknown"/>
      </xsd:simpleType>
    </xsd:element>
    <xsd:element name="PublishingExpirationDate" ma:index="12" nillable="true" ma:displayName="Scheduling End Date" ma:description=""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b91a693-012a-4b98-8a3b-446ed82b7ef8" elementFormDefault="qualified">
    <xsd:import namespace="http://schemas.microsoft.com/office/2006/documentManagement/types"/>
    <xsd:import namespace="http://schemas.microsoft.com/office/infopath/2007/PartnerControls"/>
    <xsd:element name="DocType" ma:index="2" ma:displayName="DocType" ma:description="Source is Support Document Type List" ma:list="5f7f04e0-dede-4830-94ca-fee28c18bf8b" ma:internalName="DocType" ma:readOnly="false" ma:showField="Title" ma:web="d0bec0e0-b0bd-4b04-a2e5-c16613175021">
      <xsd:simpleType>
        <xsd:restriction base="dms:Lookup"/>
      </xsd:simpleType>
    </xsd:element>
    <xsd:element name="RequiresNDA" ma:index="3" nillable="true" ma:displayName="Requires NDA" ma:default="0" ma:description="Checked means NDA is required, blank means it is not" ma:internalName="RequiresNDA">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d0bec0e0-b0bd-4b04-a2e5-c16613175021" elementFormDefault="qualified">
    <xsd:import namespace="http://schemas.microsoft.com/office/2006/documentManagement/types"/>
    <xsd:import namespace="http://schemas.microsoft.com/office/infopath/2007/PartnerControls"/>
    <xsd:element name="AuthInd" ma:index="4" nillable="true" ma:displayName="AuthInd" ma:default="Public" ma:description="Indicates the access needed to be authenticated to view this document" ma:format="Dropdown" ma:internalName="AuthInd">
      <xsd:simpleType>
        <xsd:restriction base="dms:Choice">
          <xsd:enumeration value="Public"/>
          <xsd:enumeration value="Registration"/>
          <xsd:enumeration value="Confidential"/>
        </xsd:restriction>
      </xsd:simpleType>
    </xsd:element>
    <xsd:element name="Product_x0020_Line" ma:index="5" nillable="true" ma:displayName="Product Line" ma:description="Source is Product Line List" ma:list="275667dc-adb1-4e4b-823f-b21a06c03290" ma:internalName="Product_x0020_Line" ma:showField="Title" ma:web="d0bec0e0-b0bd-4b04-a2e5-c16613175021">
      <xsd:simpleType>
        <xsd:restriction base="dms:Lookup"/>
      </xsd:simpleType>
    </xsd:element>
    <xsd:element name="Product_x0020_Family" ma:index="6" nillable="true" ma:displayName="Product Family" ma:description="Source is Product Family List" ma:list="96371608-8006-463d-acf6-217c8e92bdc3" ma:internalName="Product_x0020_Family" ma:showField="Title" ma:web="d0bec0e0-b0bd-4b04-a2e5-c16613175021">
      <xsd:simpleType>
        <xsd:restriction base="dms:Lookup"/>
      </xsd:simpleType>
    </xsd:element>
    <xsd:element name="Part_x0020_Number" ma:index="7" nillable="true" ma:displayName="Part Number" ma:description="Source is Part Number List" ma:list="5b0f5c1a-d6c5-4d3e-b637-3b5263afdc54" ma:internalName="Part_x0020_Number" ma:showField="Title" ma:web="d0bec0e0-b0bd-4b04-a2e5-c16613175021">
      <xsd:complexType>
        <xsd:complexContent>
          <xsd:extension base="dms:MultiChoiceLookup">
            <xsd:sequence>
              <xsd:element name="Value" type="dms:Lookup" maxOccurs="unbounded" minOccurs="0" nillable="true"/>
            </xsd:sequence>
          </xsd:extension>
        </xsd:complexContent>
      </xsd:complexType>
    </xsd:element>
    <xsd:element name="Document_x0020_Revision_x0020_Date" ma:index="9" nillable="true" ma:displayName="Revision Date" ma:default="" ma:format="DateTime" ma:internalName="Document_x0020_Revision_x0020_Date">
      <xsd:simpleType>
        <xsd:restriction base="dms:DateTime"/>
      </xsd:simpleType>
    </xsd:element>
    <xsd:element name="IncludeInAutoNotify" ma:index="19" nillable="true" ma:displayName="Include In Auto Notify" ma:default="Yes" ma:description="Flag indicating whether an updated doc should be included in the auto-notify email or not." ma:format="Dropdown" ma:internalName="IncludeInAutoNotify">
      <xsd:simpleType>
        <xsd:restriction base="dms:Choice">
          <xsd:enumeration value="Yes"/>
          <xsd:enumeration value="No"/>
        </xsd:restriction>
      </xsd:simpleType>
    </xsd:element>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Revision" ma:index="8" nillable="true" ma:displayName="Revision" ma:internalName="_Revi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xsd:element ref="dc:title" minOccurs="0" maxOccurs="1" ma:index="1"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documentManagement>
    <Document_x0020_Revision_x0020_Date xmlns="d0bec0e0-b0bd-4b04-a2e5-c16613175021">1999-11-29T23:00:00+00:00</Document_x0020_Revision_x0020_Date>
    <DocType xmlns="3b91a693-012a-4b98-8a3b-446ed82b7ef8">3</DocType>
    <Part_x0020_Number xmlns="d0bec0e0-b0bd-4b04-a2e5-c16613175021">
      <Value xmlns="d0bec0e0-b0bd-4b04-a2e5-c16613175021">433</Value>
      <Value xmlns="d0bec0e0-b0bd-4b04-a2e5-c16613175021">432</Value>
      <Value xmlns="d0bec0e0-b0bd-4b04-a2e5-c16613175021">434</Value>
    </Part_x0020_Number>
    <AuthInd xmlns="d0bec0e0-b0bd-4b04-a2e5-c16613175021">Public</AuthInd>
    <Product_x0020_Line xmlns="d0bec0e0-b0bd-4b04-a2e5-c16613175021">8</Product_x0020_Line>
    <RequiresNDA xmlns="3b91a693-012a-4b98-8a3b-446ed82b7ef8">false</RequiresNDA>
    <IncludeInAutoNotify xmlns="d0bec0e0-b0bd-4b04-a2e5-c16613175021">No</IncludeInAutoNotify>
    <_Revision xmlns="http://schemas.microsoft.com/sharepoint/v3/fields">5.0</_Revision>
    <PublishingExpirationDate xmlns="http://schemas.microsoft.com/sharepoint/v3" xsi:nil="true"/>
    <PublishingStartDate xmlns="http://schemas.microsoft.com/sharepoint/v3" xsi:nil="true"/>
    <Product_x0020_Family xmlns="d0bec0e0-b0bd-4b04-a2e5-c16613175021">49</Product_x0020_Family>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B9E84D-7980-4F80-B4C2-FB1840E1B9ED}">
  <ds:schemaRefs>
    <ds:schemaRef ds:uri="http://schemas.microsoft.com/sharepoint/events"/>
  </ds:schemaRefs>
</ds:datastoreItem>
</file>

<file path=customXml/itemProps2.xml><?xml version="1.0" encoding="utf-8"?>
<ds:datastoreItem xmlns:ds="http://schemas.openxmlformats.org/officeDocument/2006/customXml" ds:itemID="{5CFD1B4A-B0CC-4E0B-A503-C752774567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b91a693-012a-4b98-8a3b-446ed82b7ef8"/>
    <ds:schemaRef ds:uri="d0bec0e0-b0bd-4b04-a2e5-c16613175021"/>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E10F6F-4D0B-4C79-ACE0-FE2620B112A8}">
  <ds:schemaRefs>
    <ds:schemaRef ds:uri="http://schemas.microsoft.com/office/2006/metadata/longProperties"/>
  </ds:schemaRefs>
</ds:datastoreItem>
</file>

<file path=customXml/itemProps4.xml><?xml version="1.0" encoding="utf-8"?>
<ds:datastoreItem xmlns:ds="http://schemas.openxmlformats.org/officeDocument/2006/customXml" ds:itemID="{654B6755-DF43-47AA-9A33-6A1C0F2C9B89}">
  <ds:schemaRefs>
    <ds:schemaRef ds:uri="http://schemas.microsoft.com/office/infopath/2007/PartnerControls"/>
    <ds:schemaRef ds:uri="http://schemas.microsoft.com/office/2006/metadata/properties"/>
    <ds:schemaRef ds:uri="http://www.w3.org/XML/1998/namespace"/>
    <ds:schemaRef ds:uri="http://schemas.openxmlformats.org/package/2006/metadata/core-properties"/>
    <ds:schemaRef ds:uri="http://schemas.microsoft.com/office/2006/documentManagement/types"/>
    <ds:schemaRef ds:uri="d0bec0e0-b0bd-4b04-a2e5-c16613175021"/>
    <ds:schemaRef ds:uri="http://purl.org/dc/terms/"/>
    <ds:schemaRef ds:uri="http://schemas.microsoft.com/sharepoint/v3/fields"/>
    <ds:schemaRef ds:uri="http://purl.org/dc/elements/1.1/"/>
    <ds:schemaRef ds:uri="3b91a693-012a-4b98-8a3b-446ed82b7ef8"/>
    <ds:schemaRef ds:uri="http://schemas.microsoft.com/sharepoint/v3"/>
    <ds:schemaRef ds:uri="http://purl.org/dc/dcmitype/"/>
  </ds:schemaRefs>
</ds:datastoreItem>
</file>

<file path=customXml/itemProps5.xml><?xml version="1.0" encoding="utf-8"?>
<ds:datastoreItem xmlns:ds="http://schemas.openxmlformats.org/officeDocument/2006/customXml" ds:itemID="{F50D73B6-E2CD-43EC-AA17-893A72B6F5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34</vt:i4>
      </vt:variant>
    </vt:vector>
  </HeadingPairs>
  <TitlesOfParts>
    <vt:vector size="45" baseType="lpstr">
      <vt:lpstr>Modem Registers Calculations</vt:lpstr>
      <vt:lpstr>BWtable</vt:lpstr>
      <vt:lpstr>Hidden calc</vt:lpstr>
      <vt:lpstr>ook_table</vt:lpstr>
      <vt:lpstr>Tables for DS</vt:lpstr>
      <vt:lpstr>stal harmonics</vt:lpstr>
      <vt:lpstr>PH + FIFO MODE</vt:lpstr>
      <vt:lpstr>FIFO MODE</vt:lpstr>
      <vt:lpstr>REGISTERS Settings SUMMARY</vt:lpstr>
      <vt:lpstr>VERSIONS CHANGES</vt:lpstr>
      <vt:lpstr>PH_general</vt:lpstr>
      <vt:lpstr>CRCtype</vt:lpstr>
      <vt:lpstr>EnableDisable</vt:lpstr>
      <vt:lpstr>hex_0_to_FF</vt:lpstr>
      <vt:lpstr>LSBorMSB</vt:lpstr>
      <vt:lpstr>Man_inv</vt:lpstr>
      <vt:lpstr>man_prea_pol</vt:lpstr>
      <vt:lpstr>ModemSet</vt:lpstr>
      <vt:lpstr>nn</vt:lpstr>
      <vt:lpstr>NOonly</vt:lpstr>
      <vt:lpstr>OFFonly</vt:lpstr>
      <vt:lpstr>ON_only</vt:lpstr>
      <vt:lpstr>ONorOFF</vt:lpstr>
      <vt:lpstr>ONorOFF1</vt:lpstr>
      <vt:lpstr>option</vt:lpstr>
      <vt:lpstr>PerBer</vt:lpstr>
      <vt:lpstr>percentage</vt:lpstr>
      <vt:lpstr>range_0_15</vt:lpstr>
      <vt:lpstr>range0_to_255</vt:lpstr>
      <vt:lpstr>range0_to_511</vt:lpstr>
      <vt:lpstr>range1_to_511</vt:lpstr>
      <vt:lpstr>selectOnOff</vt:lpstr>
      <vt:lpstr>SelHeader</vt:lpstr>
      <vt:lpstr>SYNCsize</vt:lpstr>
      <vt:lpstr>tolerance</vt:lpstr>
      <vt:lpstr>TRCLK</vt:lpstr>
      <vt:lpstr>ValidMods</vt:lpstr>
      <vt:lpstr>ValidModulations</vt:lpstr>
      <vt:lpstr>verison_status</vt:lpstr>
      <vt:lpstr>version_number</vt:lpstr>
      <vt:lpstr>WorkMode</vt:lpstr>
      <vt:lpstr>xtal</vt:lpstr>
      <vt:lpstr>xtal_tol</vt:lpstr>
      <vt:lpstr>YESonly</vt:lpstr>
      <vt:lpstr>YESorNO</vt:lpstr>
    </vt:vector>
  </TitlesOfParts>
  <Company>us-integration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EZRadioPRO™ Register Calculator (B1 Silicon)</dc:title>
  <dc:creator>sharonm</dc:creator>
  <cp:lastModifiedBy>pc</cp:lastModifiedBy>
  <dcterms:created xsi:type="dcterms:W3CDTF">2008-08-20T18:57:38Z</dcterms:created>
  <dcterms:modified xsi:type="dcterms:W3CDTF">2013-09-09T07:16:37Z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ip Version">
    <vt:lpwstr>SI4431, SI4432</vt:lpwstr>
  </property>
  <property fmtid="{D5CDD505-2E9C-101B-9397-08002B2CF9AE}" pid="3" name="ContentType">
    <vt:lpwstr>Document</vt:lpwstr>
  </property>
  <property fmtid="{D5CDD505-2E9C-101B-9397-08002B2CF9AE}" pid="4" name="Description0">
    <vt:lpwstr/>
  </property>
</Properties>
</file>