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garrm/FORCE/use_cases/LWR_FT_2023/run/"/>
    </mc:Choice>
  </mc:AlternateContent>
  <xr:revisionPtr revIDLastSave="0" documentId="13_ncr:1_{4AFC338F-EDCC-0548-8EEB-5716155597F3}" xr6:coauthVersionLast="47" xr6:coauthVersionMax="47" xr10:uidLastSave="{00000000-0000-0000-0000-000000000000}"/>
  <bookViews>
    <workbookView xWindow="0" yWindow="500" windowWidth="35840" windowHeight="20320" activeTab="2" xr2:uid="{00000000-000D-0000-FFFF-FFFF00000000}"/>
  </bookViews>
  <sheets>
    <sheet name="arma validation" sheetId="1" r:id="rId1"/>
    <sheet name="cases" sheetId="2" r:id="rId2"/>
    <sheet name="cashflow_comparison" sheetId="3" r:id="rId3"/>
    <sheet name="tallies" sheetId="4" r:id="rId4"/>
    <sheet name="data" sheetId="5" r:id="rId5"/>
    <sheet name="braidwood_SA" sheetId="6" r:id="rId6"/>
    <sheet name="braidwood_h2ptc" sheetId="7" r:id="rId7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25" i="3" l="1"/>
  <c r="E26" i="3"/>
  <c r="E27" i="3"/>
  <c r="E28" i="3"/>
  <c r="E24" i="3"/>
  <c r="D26" i="3"/>
  <c r="B25" i="3"/>
  <c r="C25" i="3"/>
  <c r="D25" i="3"/>
  <c r="B26" i="3"/>
  <c r="C26" i="3"/>
  <c r="B27" i="3"/>
  <c r="C27" i="3"/>
  <c r="D27" i="3"/>
  <c r="B28" i="3"/>
  <c r="C28" i="3"/>
  <c r="D28" i="3"/>
  <c r="C24" i="3"/>
  <c r="D24" i="3"/>
  <c r="B24" i="3"/>
  <c r="F25" i="3"/>
  <c r="F26" i="3"/>
  <c r="F27" i="3"/>
  <c r="F28" i="3"/>
  <c r="A25" i="3"/>
  <c r="A26" i="3"/>
  <c r="A27" i="3"/>
  <c r="A28" i="3"/>
  <c r="A24" i="3"/>
  <c r="F24" i="3"/>
  <c r="D21" i="3"/>
  <c r="C21" i="3"/>
  <c r="C18" i="3"/>
  <c r="C19" i="3"/>
  <c r="C20" i="3"/>
  <c r="E21" i="3"/>
  <c r="B17" i="3"/>
  <c r="B21" i="3"/>
  <c r="D18" i="3"/>
  <c r="D19" i="3"/>
  <c r="D20" i="3"/>
  <c r="D17" i="3"/>
  <c r="C17" i="3"/>
  <c r="B18" i="3"/>
  <c r="B19" i="3"/>
  <c r="B20" i="3"/>
  <c r="E18" i="3"/>
  <c r="E19" i="3"/>
  <c r="E20" i="3"/>
  <c r="E17" i="3"/>
  <c r="A18" i="3"/>
  <c r="A19" i="3"/>
  <c r="A20" i="3"/>
  <c r="A21" i="3"/>
  <c r="A17" i="3"/>
  <c r="G14" i="3"/>
  <c r="C14" i="3"/>
  <c r="C10" i="3"/>
  <c r="B11" i="3"/>
  <c r="C11" i="3"/>
  <c r="D11" i="3"/>
  <c r="E11" i="3"/>
  <c r="F11" i="3"/>
  <c r="G11" i="3"/>
  <c r="H11" i="3"/>
  <c r="I11" i="3"/>
  <c r="J11" i="3"/>
  <c r="B12" i="3"/>
  <c r="C12" i="3"/>
  <c r="D12" i="3"/>
  <c r="E12" i="3"/>
  <c r="F12" i="3"/>
  <c r="G12" i="3"/>
  <c r="H12" i="3"/>
  <c r="I12" i="3"/>
  <c r="J12" i="3"/>
  <c r="B13" i="3"/>
  <c r="C13" i="3"/>
  <c r="D13" i="3"/>
  <c r="E13" i="3"/>
  <c r="F13" i="3"/>
  <c r="G13" i="3"/>
  <c r="H13" i="3"/>
  <c r="I13" i="3"/>
  <c r="J13" i="3"/>
  <c r="B14" i="3"/>
  <c r="D14" i="3"/>
  <c r="E14" i="3"/>
  <c r="F14" i="3"/>
  <c r="H14" i="3"/>
  <c r="I14" i="3"/>
  <c r="J14" i="3"/>
  <c r="D10" i="3"/>
  <c r="E10" i="3"/>
  <c r="F10" i="3"/>
  <c r="G10" i="3"/>
  <c r="H10" i="3"/>
  <c r="I10" i="3"/>
  <c r="J10" i="3"/>
  <c r="B10" i="3"/>
  <c r="L4" i="2"/>
  <c r="L5" i="2"/>
  <c r="L6" i="2"/>
  <c r="N6" i="2" s="1"/>
  <c r="P6" i="2" s="1"/>
  <c r="L7" i="2"/>
  <c r="L3" i="2"/>
  <c r="F3" i="2"/>
  <c r="D3" i="2"/>
  <c r="K4" i="2"/>
  <c r="K5" i="2"/>
  <c r="K6" i="2"/>
  <c r="K7" i="2"/>
  <c r="K3" i="2"/>
  <c r="M3" i="2" s="1"/>
  <c r="O3" i="2" s="1"/>
  <c r="N4" i="2"/>
  <c r="P4" i="2" s="1"/>
  <c r="M5" i="2"/>
  <c r="O5" i="2" s="1"/>
  <c r="N5" i="2"/>
  <c r="P5" i="2" s="1"/>
  <c r="M6" i="2"/>
  <c r="O6" i="2" s="1"/>
  <c r="M7" i="2"/>
  <c r="O7" i="2" s="1"/>
  <c r="N7" i="2"/>
  <c r="P7" i="2" s="1"/>
  <c r="N3" i="2"/>
  <c r="P3" i="2" s="1"/>
  <c r="G4" i="2"/>
  <c r="G5" i="2"/>
  <c r="G6" i="2"/>
  <c r="G7" i="2"/>
  <c r="G3" i="2"/>
  <c r="F4" i="2"/>
  <c r="F5" i="2"/>
  <c r="F6" i="2"/>
  <c r="F7" i="2"/>
  <c r="C4" i="2"/>
  <c r="D4" i="2"/>
  <c r="E4" i="2" s="1"/>
  <c r="C5" i="2"/>
  <c r="D5" i="2"/>
  <c r="E5" i="2" s="1"/>
  <c r="C6" i="2"/>
  <c r="D6" i="2"/>
  <c r="C7" i="2"/>
  <c r="D7" i="2"/>
  <c r="E7" i="2" s="1"/>
  <c r="C3" i="2"/>
  <c r="A13" i="7"/>
  <c r="A12" i="7"/>
  <c r="A11" i="7"/>
  <c r="E8" i="7"/>
  <c r="D8" i="7"/>
  <c r="B13" i="7" s="1"/>
  <c r="E7" i="7"/>
  <c r="D7" i="7"/>
  <c r="B12" i="7" s="1"/>
  <c r="E6" i="7"/>
  <c r="D6" i="7"/>
  <c r="B11" i="7" s="1"/>
  <c r="E5" i="7"/>
  <c r="D5" i="7"/>
  <c r="E23" i="6"/>
  <c r="D23" i="6"/>
  <c r="D20" i="6"/>
  <c r="C20" i="6"/>
  <c r="B20" i="6"/>
  <c r="D19" i="6"/>
  <c r="F15" i="6"/>
  <c r="E15" i="6"/>
  <c r="C23" i="6" s="1"/>
  <c r="D15" i="6"/>
  <c r="F14" i="6"/>
  <c r="E14" i="6"/>
  <c r="B23" i="6" s="1"/>
  <c r="D14" i="6"/>
  <c r="F13" i="6"/>
  <c r="E18" i="6" s="1"/>
  <c r="E13" i="6"/>
  <c r="C18" i="6" s="1"/>
  <c r="D13" i="6"/>
  <c r="F12" i="6"/>
  <c r="E12" i="6"/>
  <c r="B18" i="6" s="1"/>
  <c r="D12" i="6"/>
  <c r="F11" i="6"/>
  <c r="E22" i="6" s="1"/>
  <c r="E11" i="6"/>
  <c r="G11" i="6" s="1"/>
  <c r="D11" i="6"/>
  <c r="F10" i="6"/>
  <c r="D22" i="6" s="1"/>
  <c r="E10" i="6"/>
  <c r="B22" i="6" s="1"/>
  <c r="D10" i="6"/>
  <c r="F9" i="6"/>
  <c r="E19" i="6" s="1"/>
  <c r="E9" i="6"/>
  <c r="C19" i="6" s="1"/>
  <c r="D9" i="6"/>
  <c r="F8" i="6"/>
  <c r="G8" i="6" s="1"/>
  <c r="E8" i="6"/>
  <c r="B19" i="6" s="1"/>
  <c r="D8" i="6"/>
  <c r="F7" i="6"/>
  <c r="E7" i="6"/>
  <c r="C21" i="6" s="1"/>
  <c r="D7" i="6"/>
  <c r="F6" i="6"/>
  <c r="D21" i="6" s="1"/>
  <c r="E6" i="6"/>
  <c r="B21" i="6" s="1"/>
  <c r="D6" i="6"/>
  <c r="F5" i="6"/>
  <c r="E5" i="6"/>
  <c r="D5" i="6"/>
  <c r="F4" i="6"/>
  <c r="E4" i="6"/>
  <c r="D4" i="6"/>
  <c r="F3" i="6"/>
  <c r="E3" i="6"/>
  <c r="D3" i="6"/>
  <c r="F2" i="6"/>
  <c r="G2" i="6" s="1"/>
  <c r="E2" i="6"/>
  <c r="D2" i="6"/>
  <c r="F19" i="4"/>
  <c r="E19" i="4"/>
  <c r="D19" i="4"/>
  <c r="C19" i="4"/>
  <c r="B19" i="4"/>
  <c r="C16" i="2"/>
  <c r="M4" i="2"/>
  <c r="O4" i="2" s="1"/>
  <c r="G7" i="6" l="1"/>
  <c r="G12" i="6"/>
  <c r="G3" i="6"/>
  <c r="G14" i="6"/>
  <c r="G4" i="6"/>
  <c r="G5" i="6"/>
  <c r="Q6" i="2"/>
  <c r="E3" i="2"/>
  <c r="H3" i="2" s="1"/>
  <c r="Q4" i="2"/>
  <c r="E6" i="2"/>
  <c r="H4" i="2"/>
  <c r="Q3" i="2"/>
  <c r="H6" i="2"/>
  <c r="Q7" i="2"/>
  <c r="Q5" i="2"/>
  <c r="H5" i="2"/>
  <c r="H7" i="2"/>
  <c r="G9" i="6"/>
  <c r="G6" i="6"/>
  <c r="G10" i="6"/>
  <c r="E20" i="6"/>
  <c r="G13" i="6"/>
  <c r="G15" i="6"/>
  <c r="E21" i="6"/>
  <c r="C22" i="6"/>
  <c r="D18" i="6"/>
</calcChain>
</file>

<file path=xl/sharedStrings.xml><?xml version="1.0" encoding="utf-8"?>
<sst xmlns="http://schemas.openxmlformats.org/spreadsheetml/2006/main" count="291" uniqueCount="175">
  <si>
    <t>Braidwood</t>
  </si>
  <si>
    <t>Cooper</t>
  </si>
  <si>
    <t>Davis-Besse</t>
  </si>
  <si>
    <t>Prairie-Island</t>
  </si>
  <si>
    <t>South Texas Project</t>
  </si>
  <si>
    <t>Historical</t>
  </si>
  <si>
    <t>Synthetic</t>
  </si>
  <si>
    <t>mean</t>
  </si>
  <si>
    <t>std</t>
  </si>
  <si>
    <t>min</t>
  </si>
  <si>
    <t>25%</t>
  </si>
  <si>
    <t>50%</t>
  </si>
  <si>
    <t>75%</t>
  </si>
  <si>
    <t>max</t>
  </si>
  <si>
    <t>kurtosis</t>
  </si>
  <si>
    <t>skewness</t>
  </si>
  <si>
    <t>Components Capacities</t>
  </si>
  <si>
    <t>Location</t>
  </si>
  <si>
    <t>NPP (MWe)</t>
  </si>
  <si>
    <t>HTSE (MWe)</t>
  </si>
  <si>
    <t>HTSE (ton-H2/h)</t>
  </si>
  <si>
    <t>FT (ton-H2/h)</t>
  </si>
  <si>
    <t>H2 storage (ton-H2)</t>
  </si>
  <si>
    <t>Storage/HTSE(day) ratio</t>
  </si>
  <si>
    <t>Baseline NPV</t>
  </si>
  <si>
    <t>Std baseline NPV</t>
  </si>
  <si>
    <t>Opt NPV</t>
  </si>
  <si>
    <t>Std opt NPV</t>
  </si>
  <si>
    <t>Delta NPV</t>
  </si>
  <si>
    <t>Std Delta NPV</t>
  </si>
  <si>
    <t>Delta NPV (M$)</t>
  </si>
  <si>
    <t>2Std Delta NPV (M$)</t>
  </si>
  <si>
    <t>Standardized added value (M$/MWh)</t>
  </si>
  <si>
    <t>HTSE</t>
  </si>
  <si>
    <t>Inputs</t>
  </si>
  <si>
    <t>Electricity</t>
  </si>
  <si>
    <t>kWh/kg-H2</t>
  </si>
  <si>
    <t>Outputs</t>
  </si>
  <si>
    <t>H2</t>
  </si>
  <si>
    <t>kg-H2/kWh</t>
  </si>
  <si>
    <t>kg-H2/MWh</t>
  </si>
  <si>
    <t>ton-h2/MWh</t>
  </si>
  <si>
    <t>Capacity (MWe)</t>
  </si>
  <si>
    <t>npv</t>
  </si>
  <si>
    <t>co2_shipping</t>
  </si>
  <si>
    <t>h2_ptc</t>
  </si>
  <si>
    <t>STP</t>
  </si>
  <si>
    <t>CO2</t>
  </si>
  <si>
    <t>H2 PTC</t>
  </si>
  <si>
    <t>Diesel</t>
  </si>
  <si>
    <t>Jet fuel</t>
  </si>
  <si>
    <t>Yearly average production/consumption</t>
  </si>
  <si>
    <t>Unit</t>
  </si>
  <si>
    <t>DIESEL_MARKET PRODUCTION DIESEL SUM</t>
  </si>
  <si>
    <t>bbl</t>
  </si>
  <si>
    <t>ELECTRICITY_MARKET PRODUCTION ELECTRICITY SUM</t>
  </si>
  <si>
    <t>MWh</t>
  </si>
  <si>
    <t>FT PRODUCTION DIESEL SUM</t>
  </si>
  <si>
    <t>FT PRODUCTION H2 SUM</t>
  </si>
  <si>
    <t>kg-H2</t>
  </si>
  <si>
    <t>FT PRODUCTION JET_FUEL SUM</t>
  </si>
  <si>
    <t>FT PRODUCTION NAPHTHA SUM</t>
  </si>
  <si>
    <t>FT_ELEC_CONSUMPTION PRODUCTION ELECTRICITY STD</t>
  </si>
  <si>
    <t>FT_ELEC_CONSUMPTION PRODUCTION ELECTRICITY SUM</t>
  </si>
  <si>
    <t>H2_STORAGE CHARGE H2 SUM</t>
  </si>
  <si>
    <t>H2_STORAGE DISCHARGE H2 SUM</t>
  </si>
  <si>
    <t>H2_STORAGE LEVEL H2 SUM</t>
  </si>
  <si>
    <t>HTSE PRODUCTION ELECTRICITY SUM</t>
  </si>
  <si>
    <t>HTSE PRODUCTION H2 SUM</t>
  </si>
  <si>
    <t>JET_FUEL_MARKET PRODUCTION JET_FUEL SUM</t>
  </si>
  <si>
    <t>NAPHTHA_MARKET PRODUCTION NAPHTHA SUM</t>
  </si>
  <si>
    <t>NPP PRODUCTION ELECTRICITY SUM</t>
  </si>
  <si>
    <t>Synfuel product</t>
  </si>
  <si>
    <t>Naphtha</t>
  </si>
  <si>
    <t>case</t>
  </si>
  <si>
    <t>npp_capacity</t>
  </si>
  <si>
    <t>htse_capacity</t>
  </si>
  <si>
    <t>ft_capacity</t>
  </si>
  <si>
    <t>ft_elec_consumption_capacity</t>
  </si>
  <si>
    <t>electricity_market_capacity</t>
  </si>
  <si>
    <t>naphtha_market_capacity</t>
  </si>
  <si>
    <t>jet_fuel_market_capacity</t>
  </si>
  <si>
    <t>diesel_market_capacity</t>
  </si>
  <si>
    <t>h2_storage_capacity</t>
  </si>
  <si>
    <t>scenario_label</t>
  </si>
  <si>
    <t>location_label</t>
  </si>
  <si>
    <t>fuel_region_label</t>
  </si>
  <si>
    <t>elec_data_label</t>
  </si>
  <si>
    <t>mean_NPV</t>
  </si>
  <si>
    <t>std_NPV</t>
  </si>
  <si>
    <t>med_NPV</t>
  </si>
  <si>
    <t>max_NPV</t>
  </si>
  <si>
    <t>min_NPV</t>
  </si>
  <si>
    <t>perc_5_NPV</t>
  </si>
  <si>
    <t>perc_95_NPV</t>
  </si>
  <si>
    <t>samp_NPV</t>
  </si>
  <si>
    <t>var_NPV</t>
  </si>
  <si>
    <t>prefix</t>
  </si>
  <si>
    <t>ProbabilityWeight-ft_capacity</t>
  </si>
  <si>
    <t>ProbabilityWeight</t>
  </si>
  <si>
    <t>ProbabilityWeight-h2_storage_capacity</t>
  </si>
  <si>
    <t>ProbabilityWeight-htse_capacity</t>
  </si>
  <si>
    <t>PointProbability</t>
  </si>
  <si>
    <t>braidwood</t>
  </si>
  <si>
    <t>ref</t>
  </si>
  <si>
    <t>illinois</t>
  </si>
  <si>
    <t>covid</t>
  </si>
  <si>
    <t>braidwood_sweep</t>
  </si>
  <si>
    <t>cooper</t>
  </si>
  <si>
    <t>nebraska</t>
  </si>
  <si>
    <t>cooper_sweep</t>
  </si>
  <si>
    <t>davis_besse</t>
  </si>
  <si>
    <t>ohio</t>
  </si>
  <si>
    <t>davis_besse_sweep</t>
  </si>
  <si>
    <t>prairie_island</t>
  </si>
  <si>
    <t>minnesota</t>
  </si>
  <si>
    <t>prairie_island_sweep</t>
  </si>
  <si>
    <t>south_texas_project</t>
  </si>
  <si>
    <t>west_south_central</t>
  </si>
  <si>
    <t>stp_sweep</t>
  </si>
  <si>
    <t>Case</t>
  </si>
  <si>
    <t>Mean NPV</t>
  </si>
  <si>
    <t>Std NPV</t>
  </si>
  <si>
    <t>Std NPv (%)</t>
  </si>
  <si>
    <t>Std delta NPV</t>
  </si>
  <si>
    <t>Std delta NPV (%)</t>
  </si>
  <si>
    <t>Low</t>
  </si>
  <si>
    <t>High</t>
  </si>
  <si>
    <t>Std low</t>
  </si>
  <si>
    <t>Std high</t>
  </si>
  <si>
    <t>BAU</t>
  </si>
  <si>
    <t>Synfuel Price</t>
  </si>
  <si>
    <t>Reference</t>
  </si>
  <si>
    <t>CAPEX</t>
  </si>
  <si>
    <t>synfuel 0.75</t>
  </si>
  <si>
    <t>CO2 Cost</t>
  </si>
  <si>
    <t>synfuel 1.25</t>
  </si>
  <si>
    <t>O&amp;M</t>
  </si>
  <si>
    <t>capex 0.75</t>
  </si>
  <si>
    <t>capex 1.25</t>
  </si>
  <si>
    <t>co2 cost med</t>
  </si>
  <si>
    <t>co2 cost high</t>
  </si>
  <si>
    <t>o&amp;m 0.75</t>
  </si>
  <si>
    <t>o&amp;m1.25</t>
  </si>
  <si>
    <t>ptc100</t>
  </si>
  <si>
    <t>ptc270</t>
  </si>
  <si>
    <t>elec0.75</t>
  </si>
  <si>
    <t>elec1.25</t>
  </si>
  <si>
    <t>Elec. Price</t>
  </si>
  <si>
    <t>STD Delta NPV</t>
  </si>
  <si>
    <t>PTC value</t>
  </si>
  <si>
    <t>$3/kg (ref)</t>
  </si>
  <si>
    <t>$0/kg</t>
  </si>
  <si>
    <t xml:space="preserve">$1/kg </t>
  </si>
  <si>
    <t>$2.7/kg</t>
  </si>
  <si>
    <t>PTC variation (%)</t>
  </si>
  <si>
    <t>Delta NPV variation</t>
  </si>
  <si>
    <t>b</t>
  </si>
  <si>
    <t>c</t>
  </si>
  <si>
    <t>h2_import_capacity</t>
  </si>
  <si>
    <t>h2_export_capacity</t>
  </si>
  <si>
    <t>capex</t>
  </si>
  <si>
    <t>om</t>
  </si>
  <si>
    <t>electricity_market</t>
  </si>
  <si>
    <t>naphtha_market</t>
  </si>
  <si>
    <t>jet_fuel</t>
  </si>
  <si>
    <t>diesel_market</t>
  </si>
  <si>
    <t>elec_cap</t>
  </si>
  <si>
    <t>Jet Fuel</t>
  </si>
  <si>
    <t>Capacity market</t>
  </si>
  <si>
    <t>Normalized cashflows ($/MWe)</t>
  </si>
  <si>
    <t>Percentage Revenues</t>
  </si>
  <si>
    <t>Synfuel</t>
  </si>
  <si>
    <t>Total</t>
  </si>
  <si>
    <t>Percentage Costs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</si>
</sst>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(&quot;$&quot;* #,##0.00_);_(&quot;$&quot;* \(#,##0.00\);_(&quot;$&quot;* &quot;-&quot;??_);_(@_)"/>
    <numFmt numFmtId="164" formatCode="0.0%"/>
    <numFmt numFmtId="165" formatCode="0.0"/>
    <numFmt numFmtId="166" formatCode="_(&quot;$&quot;* #,##0_);_(&quot;$&quot;* \(#,##0\);_(&quot;$&quot;* &quot;-&quot;??_);_(@_)"/>
  </numFmts>
  <fonts count="6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1"/>
      <name val="Calibri"/>
      <family val="2"/>
    </font>
    <font>
      <sz val="11"/>
      <color rgb="FF000000"/>
      <name val="Calibri"/>
      <family val="2"/>
      <scheme val="minor"/>
    </font>
    <font>
      <b/>
      <sz val="12"/>
      <name val="Calibri"/>
      <family val="2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indexed="64"/>
      </top>
      <bottom style="thin">
        <color auto="1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auto="1"/>
      </right>
      <top/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auto="1"/>
      </right>
      <top style="thin">
        <color indexed="64"/>
      </top>
      <bottom style="thin">
        <color auto="1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44" fontId="1" fillId="0" borderId="0"/>
    <xf numFmtId="9" fontId="1" fillId="0" borderId="0"/>
  </cellStyleXfs>
  <cellXfs count="33">
    <xf numFmtId="0" fontId="0" fillId="0" borderId="0" xfId="0"/>
    <xf numFmtId="44" fontId="0" fillId="0" borderId="0" xfId="1" applyFont="1"/>
    <xf numFmtId="164" fontId="0" fillId="0" borderId="0" xfId="2" applyNumberFormat="1" applyFont="1"/>
    <xf numFmtId="0" fontId="2" fillId="0" borderId="0" xfId="0" applyFont="1"/>
    <xf numFmtId="44" fontId="0" fillId="0" borderId="0" xfId="0" applyNumberFormat="1"/>
    <xf numFmtId="9" fontId="0" fillId="0" borderId="0" xfId="2" applyFont="1"/>
    <xf numFmtId="0" fontId="0" fillId="0" borderId="0" xfId="0" applyAlignment="1">
      <alignment horizontal="center"/>
    </xf>
    <xf numFmtId="165" fontId="0" fillId="0" borderId="0" xfId="0" applyNumberFormat="1"/>
    <xf numFmtId="1" fontId="0" fillId="0" borderId="0" xfId="0" applyNumberFormat="1"/>
    <xf numFmtId="166" fontId="2" fillId="0" borderId="0" xfId="0" applyNumberFormat="1" applyFont="1"/>
    <xf numFmtId="0" fontId="3" fillId="0" borderId="1" xfId="0" applyFont="1" applyBorder="1" applyAlignment="1">
      <alignment horizontal="center" vertical="top"/>
    </xf>
    <xf numFmtId="165" fontId="4" fillId="0" borderId="0" xfId="0" applyNumberFormat="1" applyFont="1"/>
    <xf numFmtId="165" fontId="4" fillId="0" borderId="5" xfId="0" applyNumberFormat="1" applyFont="1" applyBorder="1"/>
    <xf numFmtId="165" fontId="0" fillId="0" borderId="3" xfId="0" applyNumberFormat="1" applyBorder="1"/>
    <xf numFmtId="165" fontId="4" fillId="0" borderId="3" xfId="0" applyNumberFormat="1" applyFont="1" applyBorder="1"/>
    <xf numFmtId="165" fontId="4" fillId="0" borderId="6" xfId="0" applyNumberFormat="1" applyFont="1" applyBorder="1"/>
    <xf numFmtId="0" fontId="5" fillId="0" borderId="11" xfId="0" applyFont="1" applyBorder="1" applyAlignment="1">
      <alignment horizontal="center" vertical="top"/>
    </xf>
    <xf numFmtId="165" fontId="0" fillId="0" borderId="0" xfId="2" applyNumberFormat="1" applyFont="1"/>
    <xf numFmtId="11" fontId="0" fillId="0" borderId="0" xfId="0" applyNumberFormat="1"/>
    <xf numFmtId="2" fontId="0" fillId="0" borderId="0" xfId="0" applyNumberFormat="1"/>
    <xf numFmtId="44" fontId="1" fillId="0" borderId="0" xfId="1"/>
    <xf numFmtId="0" fontId="0" fillId="0" borderId="8" xfId="0" applyBorder="1" applyAlignment="1">
      <alignment horizontal="center"/>
    </xf>
    <xf numFmtId="0" fontId="0" fillId="0" borderId="8" xfId="0" applyBorder="1"/>
    <xf numFmtId="0" fontId="0" fillId="0" borderId="9" xfId="0" applyBorder="1" applyAlignment="1">
      <alignment horizontal="center"/>
    </xf>
    <xf numFmtId="0" fontId="0" fillId="0" borderId="7" xfId="0" applyBorder="1"/>
    <xf numFmtId="0" fontId="0" fillId="0" borderId="10" xfId="0" applyBorder="1" applyAlignment="1">
      <alignment horizontal="center"/>
    </xf>
    <xf numFmtId="0" fontId="0" fillId="0" borderId="2" xfId="0" applyBorder="1"/>
    <xf numFmtId="0" fontId="0" fillId="0" borderId="4" xfId="0" applyBorder="1" applyAlignment="1">
      <alignment horizontal="center"/>
    </xf>
    <xf numFmtId="0" fontId="0" fillId="0" borderId="4" xfId="0" applyBorder="1"/>
    <xf numFmtId="0" fontId="0" fillId="0" borderId="0" xfId="0" applyAlignment="1">
      <alignment horizontal="center"/>
    </xf>
    <xf numFmtId="0" fontId="0" fillId="0" borderId="0" xfId="0"/>
    <xf numFmtId="0" fontId="2" fillId="0" borderId="0" xfId="0" applyFont="1" applyAlignment="1">
      <alignment horizontal="center"/>
    </xf>
    <xf numFmtId="9" fontId="1" fillId="0" borderId="0" xfId="2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</c:title>
    <c:autoTitleDeleted val="0"/>
    <c:plotArea>
      <c:layout/>
      <c:barChart>
        <c:barDir val="bar"/>
        <c:grouping val="clustered"/>
        <c:varyColors val="0"/>
        <c:ser>
          <c:idx val="0"/>
          <c:order val="0"/>
          <c:tx>
            <c:strRef>
              <c:f>cases!$O$2</c:f>
              <c:strCache>
                <c:ptCount val="1"/>
                <c:pt idx="0">
                  <c:v>Delta NPV (M$)</c:v>
                </c:pt>
              </c:strCache>
            </c:strRef>
          </c:tx>
          <c:spPr>
            <a:solidFill>
              <a:schemeClr val="accent6"/>
            </a:solidFill>
            <a:ln>
              <a:noFill/>
              <a:prstDash val="solid"/>
            </a:ln>
          </c:spPr>
          <c:invertIfNegative val="0"/>
          <c:dLbls>
            <c:numFmt formatCode="&quot;$&quot;#,##0.00" sourceLinked="0"/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0"/>
              </c:ext>
            </c:extLst>
          </c:dLbls>
          <c:errBars>
            <c:errBarType val="both"/>
            <c:errValType val="cust"/>
            <c:noEndCap val="0"/>
            <c:plus>
              <c:numRef>
                <c:f>cases!$P$3:$P$7</c:f>
                <c:numCache>
                  <c:formatCode>General</c:formatCode>
                  <c:ptCount val="5"/>
                  <c:pt idx="0">
                    <c:v>21033677.934552897</c:v>
                  </c:pt>
                  <c:pt idx="1">
                    <c:v>59715548.340558067</c:v>
                  </c:pt>
                  <c:pt idx="2">
                    <c:v>49325.395239999998</c:v>
                  </c:pt>
                  <c:pt idx="3">
                    <c:v>1107938.389021104</c:v>
                  </c:pt>
                  <c:pt idx="4">
                    <c:v>174310501.6662392</c:v>
                  </c:pt>
                </c:numCache>
              </c:numRef>
            </c:plus>
            <c:minus>
              <c:numRef>
                <c:f>cases!$P$3:$P$7</c:f>
                <c:numCache>
                  <c:formatCode>General</c:formatCode>
                  <c:ptCount val="5"/>
                  <c:pt idx="0">
                    <c:v>21033677.934552897</c:v>
                  </c:pt>
                  <c:pt idx="1">
                    <c:v>59715548.340558067</c:v>
                  </c:pt>
                  <c:pt idx="2">
                    <c:v>49325.395239999998</c:v>
                  </c:pt>
                  <c:pt idx="3">
                    <c:v>1107938.389021104</c:v>
                  </c:pt>
                  <c:pt idx="4">
                    <c:v>174310501.6662392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prstDash val="solid"/>
                <a:round/>
              </a:ln>
            </c:spPr>
          </c:errBars>
          <c:cat>
            <c:strRef>
              <c:f>cases!$A$3:$A$7</c:f>
              <c:strCache>
                <c:ptCount val="5"/>
                <c:pt idx="0">
                  <c:v>Braidwood</c:v>
                </c:pt>
                <c:pt idx="1">
                  <c:v>Cooper</c:v>
                </c:pt>
                <c:pt idx="2">
                  <c:v>Davis-Besse</c:v>
                </c:pt>
                <c:pt idx="3">
                  <c:v>Prairie-Island</c:v>
                </c:pt>
                <c:pt idx="4">
                  <c:v>South Texas Project</c:v>
                </c:pt>
              </c:strCache>
            </c:strRef>
          </c:cat>
          <c:val>
            <c:numRef>
              <c:f>cases!$O$3:$O$7</c:f>
              <c:numCache>
                <c:formatCode>_("$"* #,##0.00_);_("$"* \(#,##0.00\);_("$"* "-"??_);_(@_)</c:formatCode>
                <c:ptCount val="5"/>
                <c:pt idx="0">
                  <c:v>974521482.11999989</c:v>
                </c:pt>
                <c:pt idx="1">
                  <c:v>761023865.84000003</c:v>
                </c:pt>
                <c:pt idx="2">
                  <c:v>544202455.4000001</c:v>
                </c:pt>
                <c:pt idx="3">
                  <c:v>910353321.898</c:v>
                </c:pt>
                <c:pt idx="4">
                  <c:v>-223366239.48000002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C05-2847-A89F-34F1A44F951F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82"/>
        <c:axId val="2124376752"/>
        <c:axId val="2124379024"/>
      </c:barChart>
      <c:catAx>
        <c:axId val="2124376752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8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9024"/>
        <c:crosses val="autoZero"/>
        <c:auto val="1"/>
        <c:lblAlgn val="ctr"/>
        <c:lblOffset val="100"/>
        <c:noMultiLvlLbl val="0"/>
      </c:catAx>
      <c:valAx>
        <c:axId val="2124379024"/>
        <c:scaling>
          <c:orientation val="minMax"/>
          <c:max val="125000000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6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124376752"/>
        <c:crosses val="autoZero"/>
        <c:crossBetween val="between"/>
        <c:majorUnit val="25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6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1876018574601251"/>
          <c:y val="0.13282057494292501"/>
          <c:w val="0.79406840298808801"/>
          <c:h val="0.79854037180263715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braidwood_SA!$B$18:$B$23</c:f>
              <c:numCache>
                <c:formatCode>General</c:formatCode>
                <c:ptCount val="6"/>
                <c:pt idx="0">
                  <c:v>-961918169.88000011</c:v>
                </c:pt>
                <c:pt idx="1">
                  <c:v>895251155.11999989</c:v>
                </c:pt>
                <c:pt idx="2">
                  <c:v>972148741.11999989</c:v>
                </c:pt>
                <c:pt idx="3">
                  <c:v>1233608328.1900001</c:v>
                </c:pt>
                <c:pt idx="4">
                  <c:v>1488604013.21</c:v>
                </c:pt>
                <c:pt idx="5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D68-0848-9FD0-43ECB5042124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braidwood_SA!$A$18:$A$23</c:f>
              <c:strCache>
                <c:ptCount val="6"/>
                <c:pt idx="0">
                  <c:v>H2 PTC</c:v>
                </c:pt>
                <c:pt idx="1">
                  <c:v>CO2 Cost</c:v>
                </c:pt>
                <c:pt idx="2">
                  <c:v>Synfuel Price</c:v>
                </c:pt>
                <c:pt idx="3">
                  <c:v>CAPEX</c:v>
                </c:pt>
                <c:pt idx="4">
                  <c:v>O&amp;M</c:v>
                </c:pt>
                <c:pt idx="5">
                  <c:v>Elec. Price</c:v>
                </c:pt>
              </c:strCache>
            </c:strRef>
          </c:cat>
          <c:val>
            <c:numRef>
              <c:f>braidwood_SA!$C$18:$C$23</c:f>
              <c:numCache>
                <c:formatCode>General</c:formatCode>
                <c:ptCount val="6"/>
                <c:pt idx="0">
                  <c:v>827867987.11999989</c:v>
                </c:pt>
                <c:pt idx="1">
                  <c:v>484608226.83999968</c:v>
                </c:pt>
                <c:pt idx="2">
                  <c:v>1639645614.7599998</c:v>
                </c:pt>
                <c:pt idx="3">
                  <c:v>825515371.5999999</c:v>
                </c:pt>
                <c:pt idx="4">
                  <c:v>1123191151.1199999</c:v>
                </c:pt>
                <c:pt idx="5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D68-0848-9FD0-43ECB50421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026673178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2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608696499571221"/>
          <c:y val="0.17025369489241651"/>
          <c:w val="0.77674163873080226"/>
          <c:h val="0.76110720451387437"/>
        </c:manualLayout>
      </c:layout>
      <c:barChart>
        <c:barDir val="bar"/>
        <c:grouping val="clustered"/>
        <c:varyColors val="0"/>
        <c:ser>
          <c:idx val="0"/>
          <c:order val="0"/>
          <c:tx>
            <c:v>Low</c:v>
          </c:tx>
          <c:spPr>
            <a:pattFill prst="wdDnDiag">
              <a:fgClr>
                <a:schemeClr val="accent1"/>
              </a:fgClr>
              <a:bgClr>
                <a:schemeClr val="bg1"/>
              </a:bgClr>
            </a:pattFill>
            <a:ln w="31750">
              <a:solidFill>
                <a:schemeClr val="accent1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braidwood_SA!$B$19:$B$23</c:f>
              <c:numCache>
                <c:formatCode>General</c:formatCode>
                <c:ptCount val="5"/>
                <c:pt idx="0">
                  <c:v>895251155.11999989</c:v>
                </c:pt>
                <c:pt idx="1">
                  <c:v>972148741.11999989</c:v>
                </c:pt>
                <c:pt idx="2">
                  <c:v>1233608328.1900001</c:v>
                </c:pt>
                <c:pt idx="3">
                  <c:v>1488604013.21</c:v>
                </c:pt>
                <c:pt idx="4">
                  <c:v>1305852886.8399997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60C-DE40-8B5F-1DBD179F959E}"/>
            </c:ext>
          </c:extLst>
        </c:ser>
        <c:ser>
          <c:idx val="1"/>
          <c:order val="1"/>
          <c:tx>
            <c:strRef>
              <c:f>braidwood_SA!$C$17</c:f>
              <c:strCache>
                <c:ptCount val="1"/>
                <c:pt idx="0">
                  <c:v>High</c:v>
                </c:pt>
              </c:strCache>
            </c:strRef>
          </c:tx>
          <c:spPr>
            <a:solidFill>
              <a:schemeClr val="accent6">
                <a:alpha val="47000"/>
              </a:schemeClr>
            </a:solidFill>
            <a:ln w="28575">
              <a:solidFill>
                <a:schemeClr val="accent6"/>
              </a:solidFill>
              <a:prstDash val="solid"/>
            </a:ln>
          </c:spPr>
          <c:invertIfNegative val="0"/>
          <c:cat>
            <c:strRef>
              <c:f>braidwood_SA!$A$19:$A$23</c:f>
              <c:strCache>
                <c:ptCount val="5"/>
                <c:pt idx="0">
                  <c:v>CO2 Cost</c:v>
                </c:pt>
                <c:pt idx="1">
                  <c:v>Synfuel Price</c:v>
                </c:pt>
                <c:pt idx="2">
                  <c:v>CAPEX</c:v>
                </c:pt>
                <c:pt idx="3">
                  <c:v>O&amp;M</c:v>
                </c:pt>
                <c:pt idx="4">
                  <c:v>Elec. Price</c:v>
                </c:pt>
              </c:strCache>
            </c:strRef>
          </c:cat>
          <c:val>
            <c:numRef>
              <c:f>braidwood_SA!$C$19:$C$23</c:f>
              <c:numCache>
                <c:formatCode>General</c:formatCode>
                <c:ptCount val="5"/>
                <c:pt idx="0">
                  <c:v>484608226.83999968</c:v>
                </c:pt>
                <c:pt idx="1">
                  <c:v>1639645614.7599998</c:v>
                </c:pt>
                <c:pt idx="2">
                  <c:v>825515371.5999999</c:v>
                </c:pt>
                <c:pt idx="3">
                  <c:v>1123191151.1199999</c:v>
                </c:pt>
                <c:pt idx="4">
                  <c:v>1305941269.1199999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60C-DE40-8B5F-1DBD179F95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82"/>
        <c:overlap val="100"/>
        <c:axId val="414221104"/>
        <c:axId val="1796024143"/>
      </c:barChart>
      <c:catAx>
        <c:axId val="414221104"/>
        <c:scaling>
          <c:orientation val="maxMin"/>
        </c:scaling>
        <c:delete val="0"/>
        <c:axPos val="l"/>
        <c:numFmt formatCode="General" sourceLinked="1"/>
        <c:majorTickMark val="none"/>
        <c:minorTickMark val="none"/>
        <c:tickLblPos val="low"/>
        <c:spPr>
          <a:noFill/>
          <a:ln w="19050" cap="flat" cmpd="sng" algn="ctr">
            <a:solidFill>
              <a:srgbClr val="C00000"/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96024143"/>
        <c:crossesAt val="1026673178"/>
        <c:auto val="1"/>
        <c:lblAlgn val="ctr"/>
        <c:lblOffset val="100"/>
        <c:noMultiLvlLbl val="0"/>
      </c:catAx>
      <c:valAx>
        <c:axId val="1796024143"/>
        <c:scaling>
          <c:orientation val="minMax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4221104"/>
        <c:crosses val="autoZero"/>
        <c:crossBetween val="between"/>
        <c:majorUnit val="200000000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braidwood_h2ptc!$D$4</c:f>
              <c:strCache>
                <c:ptCount val="1"/>
                <c:pt idx="0">
                  <c:v>Delta NPV</c:v>
                </c:pt>
              </c:strCache>
            </c:strRef>
          </c:tx>
          <c:spPr>
            <a:solidFill>
              <a:schemeClr val="accent1"/>
            </a:solidFill>
            <a:ln>
              <a:noFill/>
              <a:prstDash val="solid"/>
            </a:ln>
          </c:spPr>
          <c:invertIfNegative val="0"/>
          <c:cat>
            <c:strRef>
              <c:f>braidwood_h2ptc!$A$5:$A$8</c:f>
              <c:strCache>
                <c:ptCount val="4"/>
                <c:pt idx="0">
                  <c:v>$3/kg (ref)</c:v>
                </c:pt>
                <c:pt idx="1">
                  <c:v>$0/kg</c:v>
                </c:pt>
                <c:pt idx="2">
                  <c:v>$1/kg </c:v>
                </c:pt>
                <c:pt idx="3">
                  <c:v>$2.7/kg</c:v>
                </c:pt>
              </c:strCache>
            </c:strRef>
          </c:cat>
          <c:val>
            <c:numRef>
              <c:f>braidwood_h2ptc!$D$5:$D$8</c:f>
              <c:numCache>
                <c:formatCode>General</c:formatCode>
                <c:ptCount val="4"/>
                <c:pt idx="0">
                  <c:v>1305897263.1300001</c:v>
                </c:pt>
                <c:pt idx="1">
                  <c:v>-1491865800.48</c:v>
                </c:pt>
                <c:pt idx="2">
                  <c:v>-961918169.88000011</c:v>
                </c:pt>
                <c:pt idx="3">
                  <c:v>827867987.11999989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ADC-F14F-980C-A98AB89D8B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00"/>
        <c:axId val="1507324639"/>
        <c:axId val="1507326639"/>
      </c:barChart>
      <c:catAx>
        <c:axId val="150732463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Hydrogen PTC</a:t>
                </a:r>
                <a:r>
                  <a:rPr lang="en-US" sz="1400" baseline="0"/>
                  <a:t> value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6639"/>
        <c:crosses val="autoZero"/>
        <c:auto val="1"/>
        <c:lblAlgn val="ctr"/>
        <c:lblOffset val="100"/>
        <c:noMultiLvlLbl val="0"/>
      </c:catAx>
      <c:valAx>
        <c:axId val="15073266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400"/>
                  <a:t>𝞓(NPV)</a:t>
                </a:r>
                <a:r>
                  <a:rPr lang="en-US" sz="1400" baseline="0"/>
                  <a:t> (USD(2020))</a:t>
                </a:r>
                <a:endParaRPr lang="en-US" sz="1400"/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General" sourceLinked="1"/>
        <c:majorTickMark val="out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14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07324639"/>
        <c:crosses val="autoZero"/>
        <c:crossBetween val="between"/>
        <c:dispUnits>
          <c:builtInUnit val="billions"/>
          <c:dispUnitsLbl>
            <c:spPr>
              <a:noFill/>
              <a:ln>
                <a:noFill/>
                <a:prstDash val="solid"/>
              </a:ln>
            </c:spPr>
            <c:txPr>
              <a:bodyPr rot="-5400000" spcFirstLastPara="1" vertOverflow="ellipsis" vert="horz" wrap="square" anchor="ctr" anchorCtr="1"/>
              <a:lstStyle/>
              <a:p>
                <a:pPr>
                  <a:defRPr sz="14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</c:dispUnitsLbl>
        </c:dispUnits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r>
              <a:t>None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braidwood_h2ptc!$B$10</c:f>
              <c:strCache>
                <c:ptCount val="1"/>
                <c:pt idx="0">
                  <c:v>Delta NPV variation</c:v>
                </c:pt>
              </c:strCache>
            </c:strRef>
          </c:tx>
          <c:spPr>
            <a:ln w="19050" cap="rnd">
              <a:noFill/>
              <a:prstDash val="solid"/>
              <a:round/>
            </a:ln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prstDash val="solid"/>
              </a:ln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</c:spPr>
            <c:trendlineType val="linear"/>
            <c:dispRSqr val="1"/>
            <c:dispEq val="1"/>
            <c:trendlineLbl>
              <c:numFmt formatCode="General" sourceLinked="0"/>
              <c:spPr>
                <a:noFill/>
                <a:ln>
                  <a:noFill/>
                  <a:prstDash val="solid"/>
                </a:ln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braidwood_h2ptc!$A$11:$A$13</c:f>
              <c:numCache>
                <c:formatCode>0%</c:formatCode>
                <c:ptCount val="3"/>
                <c:pt idx="0">
                  <c:v>-1</c:v>
                </c:pt>
                <c:pt idx="1">
                  <c:v>-0.66666666666666663</c:v>
                </c:pt>
                <c:pt idx="2">
                  <c:v>-9.9999999999999936E-2</c:v>
                </c:pt>
              </c:numCache>
            </c:numRef>
          </c:xVal>
          <c:yVal>
            <c:numRef>
              <c:f>braidwood_h2ptc!$B$11:$B$13</c:f>
              <c:numCache>
                <c:formatCode>0%</c:formatCode>
                <c:ptCount val="3"/>
                <c:pt idx="0">
                  <c:v>-2.142406713453298</c:v>
                </c:pt>
                <c:pt idx="1">
                  <c:v>-1.7365955937256932</c:v>
                </c:pt>
                <c:pt idx="2">
                  <c:v>-0.36605427509990357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EA0-3F4A-AC21-D9933483D38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84100703"/>
        <c:axId val="1484168847"/>
      </c:scatterChart>
      <c:valAx>
        <c:axId val="148410070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68847"/>
        <c:crosses val="autoZero"/>
        <c:crossBetween val="midCat"/>
      </c:valAx>
      <c:valAx>
        <c:axId val="14841688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minorGridlines>
          <c: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c:spPr>
        </c:minorGridlines>
        <c:title>
          <c:tx>
            <c:rich>
              <a:bodyPr/>
              <a:lstStyle/>
              <a:p>
                <a:r>
                  <a:t>None</a:t>
                </a:r>
              </a:p>
            </c:rich>
          </c:tx>
          <c:overlay val="0"/>
          <c:spPr>
            <a:noFill/>
            <a:ln>
              <a:noFill/>
              <a:prstDash val="solid"/>
            </a:ln>
          </c:spPr>
        </c:title>
        <c:numFmt formatCode="0%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84100703"/>
        <c:crosses val="autoZero"/>
        <c:crossBetween val="midCat"/>
      </c:valAx>
    </c:plotArea>
    <c:legend>
      <c:legendPos val="r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977900</xdr:colOff>
      <xdr:row>14</xdr:row>
      <xdr:rowOff>190500</xdr:rowOff>
    </xdr:from>
    <xdr:to>
      <xdr:col>14</xdr:col>
      <xdr:colOff>647700</xdr:colOff>
      <xdr:row>36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495300</xdr:colOff>
      <xdr:row>13</xdr:row>
      <xdr:rowOff>114300</xdr:rowOff>
    </xdr:from>
    <xdr:to>
      <xdr:col>23</xdr:col>
      <xdr:colOff>76200</xdr:colOff>
      <xdr:row>38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901700</xdr:colOff>
      <xdr:row>29</xdr:row>
      <xdr:rowOff>165100</xdr:rowOff>
    </xdr:from>
    <xdr:to>
      <xdr:col>12</xdr:col>
      <xdr:colOff>546100</xdr:colOff>
      <xdr:row>53</xdr:row>
      <xdr:rowOff>38100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285750</xdr:colOff>
      <xdr:row>2</xdr:row>
      <xdr:rowOff>82550</xdr:rowOff>
    </xdr:from>
    <xdr:to>
      <xdr:col>11</xdr:col>
      <xdr:colOff>584200</xdr:colOff>
      <xdr:row>26</xdr:row>
      <xdr:rowOff>190500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12</xdr:col>
      <xdr:colOff>330200</xdr:colOff>
      <xdr:row>3</xdr:row>
      <xdr:rowOff>127000</xdr:rowOff>
    </xdr:from>
    <xdr:to>
      <xdr:col>21</xdr:col>
      <xdr:colOff>533400</xdr:colOff>
      <xdr:row>24</xdr:row>
      <xdr:rowOff>158750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6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1"/>
  <sheetViews>
    <sheetView workbookViewId="0">
      <selection activeCell="Q20" sqref="Q20"/>
    </sheetView>
  </sheetViews>
  <sheetFormatPr baseColWidth="10" defaultRowHeight="16" x14ac:dyDescent="0.2"/>
  <cols>
    <col min="2" max="3" width="11" bestFit="1" customWidth="1"/>
    <col min="4" max="5" width="11.6640625" bestFit="1" customWidth="1"/>
    <col min="6" max="9" width="11" bestFit="1" customWidth="1"/>
    <col min="10" max="11" width="11.6640625" bestFit="1" customWidth="1"/>
  </cols>
  <sheetData>
    <row r="1" spans="1:11" x14ac:dyDescent="0.2">
      <c r="A1" s="23"/>
      <c r="B1" s="25" t="s">
        <v>0</v>
      </c>
      <c r="C1" s="26"/>
      <c r="D1" s="25" t="s">
        <v>1</v>
      </c>
      <c r="E1" s="26"/>
      <c r="F1" s="27" t="s">
        <v>2</v>
      </c>
      <c r="G1" s="28"/>
      <c r="H1" s="25" t="s">
        <v>3</v>
      </c>
      <c r="I1" s="26"/>
      <c r="J1" s="21" t="s">
        <v>4</v>
      </c>
      <c r="K1" s="22"/>
    </row>
    <row r="2" spans="1:11" x14ac:dyDescent="0.2">
      <c r="A2" s="24"/>
      <c r="B2" s="10" t="s">
        <v>5</v>
      </c>
      <c r="C2" s="10" t="s">
        <v>6</v>
      </c>
      <c r="D2" s="10" t="s">
        <v>5</v>
      </c>
      <c r="E2" s="10" t="s">
        <v>6</v>
      </c>
      <c r="F2" s="10" t="s">
        <v>5</v>
      </c>
      <c r="G2" s="10" t="s">
        <v>6</v>
      </c>
      <c r="H2" s="10" t="s">
        <v>5</v>
      </c>
      <c r="I2" s="10" t="s">
        <v>6</v>
      </c>
      <c r="J2" s="10" t="s">
        <v>5</v>
      </c>
      <c r="K2" s="10" t="s">
        <v>6</v>
      </c>
    </row>
    <row r="3" spans="1:11" x14ac:dyDescent="0.2">
      <c r="A3" s="10" t="s">
        <v>7</v>
      </c>
      <c r="B3" s="7">
        <v>32.977089726027593</v>
      </c>
      <c r="C3" s="7">
        <v>32.982069891257282</v>
      </c>
      <c r="D3" s="7">
        <v>25.821181279965732</v>
      </c>
      <c r="E3" s="7">
        <v>25.54626235988728</v>
      </c>
      <c r="F3" s="11">
        <v>32.977089999999997</v>
      </c>
      <c r="G3" s="11">
        <v>32.980620000000002</v>
      </c>
      <c r="H3" s="7">
        <v>9.3756191019787352</v>
      </c>
      <c r="I3" s="7">
        <v>9.375560755254849</v>
      </c>
      <c r="J3" s="11">
        <v>41.194870000000002</v>
      </c>
      <c r="K3" s="12">
        <v>41.570810000000002</v>
      </c>
    </row>
    <row r="4" spans="1:11" x14ac:dyDescent="0.2">
      <c r="A4" s="10" t="s">
        <v>8</v>
      </c>
      <c r="B4" s="7">
        <v>23.072473018716131</v>
      </c>
      <c r="C4" s="7">
        <v>23.14013174622033</v>
      </c>
      <c r="D4" s="7">
        <v>110.32042329668749</v>
      </c>
      <c r="E4" s="7">
        <v>110.57936084123359</v>
      </c>
      <c r="F4" s="11">
        <v>23.072469999999999</v>
      </c>
      <c r="G4" s="11">
        <v>23.11992</v>
      </c>
      <c r="H4" s="7">
        <v>15.093720414581179</v>
      </c>
      <c r="I4" s="7">
        <v>15.06729275093023</v>
      </c>
      <c r="J4" s="11">
        <v>290.6533</v>
      </c>
      <c r="K4" s="12">
        <v>290.52300000000002</v>
      </c>
    </row>
    <row r="5" spans="1:11" x14ac:dyDescent="0.2">
      <c r="A5" s="10" t="s">
        <v>9</v>
      </c>
      <c r="B5" s="7">
        <v>2.27</v>
      </c>
      <c r="C5" s="7">
        <v>2.27</v>
      </c>
      <c r="D5" s="7">
        <v>-65.109300000000005</v>
      </c>
      <c r="E5" s="7">
        <v>-65.109300000000005</v>
      </c>
      <c r="F5" s="11">
        <v>2.27</v>
      </c>
      <c r="G5" s="11">
        <v>2.27</v>
      </c>
      <c r="H5" s="7">
        <v>-66.2</v>
      </c>
      <c r="I5" s="7">
        <v>-66.2</v>
      </c>
      <c r="J5" s="11">
        <v>-20.2</v>
      </c>
      <c r="K5" s="12">
        <v>-20.2</v>
      </c>
    </row>
    <row r="6" spans="1:11" x14ac:dyDescent="0.2">
      <c r="A6" s="10" t="s">
        <v>10</v>
      </c>
      <c r="B6" s="7">
        <v>22.72</v>
      </c>
      <c r="C6" s="7">
        <v>22.643500327024999</v>
      </c>
      <c r="D6" s="7">
        <v>14.7645</v>
      </c>
      <c r="E6" s="7">
        <v>14.37777231055</v>
      </c>
      <c r="F6" s="11">
        <v>22.72</v>
      </c>
      <c r="G6" s="11">
        <v>22.64517</v>
      </c>
      <c r="H6" s="7">
        <v>-0.48</v>
      </c>
      <c r="I6" s="7">
        <v>-0.57533928877825002</v>
      </c>
      <c r="J6" s="11">
        <v>18.850000000000001</v>
      </c>
      <c r="K6" s="12">
        <v>16.82328</v>
      </c>
    </row>
    <row r="7" spans="1:11" x14ac:dyDescent="0.2">
      <c r="A7" s="10" t="s">
        <v>11</v>
      </c>
      <c r="B7" s="7">
        <v>28.84</v>
      </c>
      <c r="C7" s="7">
        <v>28.838039755650001</v>
      </c>
      <c r="D7" s="7">
        <v>19.299150000000001</v>
      </c>
      <c r="E7" s="7">
        <v>19.173366480049999</v>
      </c>
      <c r="F7" s="11">
        <v>28.84</v>
      </c>
      <c r="G7" s="11">
        <v>28.829719999999998</v>
      </c>
      <c r="H7" s="7">
        <v>0.46</v>
      </c>
      <c r="I7" s="7">
        <v>0.58024959424</v>
      </c>
      <c r="J7" s="11">
        <v>23.93</v>
      </c>
      <c r="K7" s="12">
        <v>24.394089999999998</v>
      </c>
    </row>
    <row r="8" spans="1:11" x14ac:dyDescent="0.2">
      <c r="A8" s="10" t="s">
        <v>12</v>
      </c>
      <c r="B8" s="7">
        <v>37</v>
      </c>
      <c r="C8" s="7">
        <v>37.050237273224987</v>
      </c>
      <c r="D8" s="7">
        <v>27.236725</v>
      </c>
      <c r="E8" s="7">
        <v>27.222851138425</v>
      </c>
      <c r="F8" s="11">
        <v>37</v>
      </c>
      <c r="G8" s="11">
        <v>37.050960000000003</v>
      </c>
      <c r="H8" s="7">
        <v>21.48</v>
      </c>
      <c r="I8" s="7">
        <v>21.463601906800001</v>
      </c>
      <c r="J8" s="11">
        <v>32.020000000000003</v>
      </c>
      <c r="K8" s="12">
        <v>36.356409999999997</v>
      </c>
    </row>
    <row r="9" spans="1:11" x14ac:dyDescent="0.2">
      <c r="A9" s="10" t="s">
        <v>13</v>
      </c>
      <c r="B9" s="7">
        <v>933.68</v>
      </c>
      <c r="C9" s="7">
        <v>933.68</v>
      </c>
      <c r="D9" s="7">
        <v>4230.9575999999997</v>
      </c>
      <c r="E9" s="7">
        <v>4230.9575999999997</v>
      </c>
      <c r="F9" s="11">
        <v>933.68</v>
      </c>
      <c r="G9" s="11">
        <v>933.68</v>
      </c>
      <c r="H9" s="7">
        <v>97</v>
      </c>
      <c r="I9" s="7">
        <v>97</v>
      </c>
      <c r="J9" s="11">
        <v>8996.83</v>
      </c>
      <c r="K9" s="12">
        <v>8996.83</v>
      </c>
    </row>
    <row r="10" spans="1:11" x14ac:dyDescent="0.2">
      <c r="A10" s="10" t="s">
        <v>14</v>
      </c>
      <c r="B10" s="7">
        <v>243.2975401419815</v>
      </c>
      <c r="C10" s="7">
        <v>241.7648380101034</v>
      </c>
      <c r="D10" s="7">
        <v>755.89628240068259</v>
      </c>
      <c r="E10" s="7">
        <v>749.96335094363985</v>
      </c>
      <c r="F10" s="11">
        <v>243.29750000000001</v>
      </c>
      <c r="G10" s="11">
        <v>241.2045</v>
      </c>
      <c r="H10" s="7">
        <v>1.2113442580170011</v>
      </c>
      <c r="I10" s="7">
        <v>1.2223387323406909</v>
      </c>
      <c r="J10" s="11">
        <v>699.61369999999999</v>
      </c>
      <c r="K10" s="12">
        <v>696.71950000000004</v>
      </c>
    </row>
    <row r="11" spans="1:11" x14ac:dyDescent="0.2">
      <c r="A11" s="10" t="s">
        <v>15</v>
      </c>
      <c r="B11" s="13">
        <v>10.85681406844434</v>
      </c>
      <c r="C11" s="13">
        <v>10.81196311074452</v>
      </c>
      <c r="D11" s="13">
        <v>26.76559217679149</v>
      </c>
      <c r="E11" s="13">
        <v>26.607204309125571</v>
      </c>
      <c r="F11" s="14">
        <v>10.856809999999999</v>
      </c>
      <c r="G11" s="14">
        <v>10.79345</v>
      </c>
      <c r="H11" s="13">
        <v>1.292473562594213</v>
      </c>
      <c r="I11" s="13">
        <v>1.297771260495596</v>
      </c>
      <c r="J11" s="14">
        <v>25.769310000000001</v>
      </c>
      <c r="K11" s="15">
        <v>25.698989999999998</v>
      </c>
    </row>
  </sheetData>
  <mergeCells count="6">
    <mergeCell ref="J1:K1"/>
    <mergeCell ref="A1:A2"/>
    <mergeCell ref="B1:C1"/>
    <mergeCell ref="D1:E1"/>
    <mergeCell ref="F1:G1"/>
    <mergeCell ref="H1:I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L32"/>
  <sheetViews>
    <sheetView workbookViewId="0">
      <selection activeCell="N12" sqref="N12"/>
    </sheetView>
  </sheetViews>
  <sheetFormatPr baseColWidth="10" defaultRowHeight="16" x14ac:dyDescent="0.2"/>
  <cols>
    <col min="1" max="1" width="17.33203125" bestFit="1" customWidth="1"/>
    <col min="2" max="2" width="17.33203125" customWidth="1"/>
    <col min="3" max="3" width="11.83203125" customWidth="1"/>
    <col min="4" max="4" width="11.6640625" bestFit="1" customWidth="1"/>
    <col min="5" max="5" width="17.5" customWidth="1"/>
    <col min="6" max="6" width="14.33203125" bestFit="1" customWidth="1"/>
    <col min="7" max="7" width="17.5" bestFit="1" customWidth="1"/>
    <col min="8" max="8" width="21" bestFit="1" customWidth="1"/>
    <col min="9" max="9" width="12.83203125" bestFit="1" customWidth="1"/>
    <col min="10" max="10" width="15.1640625" bestFit="1" customWidth="1"/>
    <col min="11" max="11" width="12.6640625" customWidth="1"/>
    <col min="12" max="13" width="12.1640625" bestFit="1" customWidth="1"/>
    <col min="14" max="14" width="12.6640625" bestFit="1" customWidth="1"/>
    <col min="15" max="15" width="20.6640625" customWidth="1"/>
    <col min="16" max="16" width="23.33203125" customWidth="1"/>
    <col min="17" max="17" width="17.5" bestFit="1" customWidth="1"/>
    <col min="18" max="19" width="17.6640625" bestFit="1" customWidth="1"/>
    <col min="30" max="30" width="16" bestFit="1" customWidth="1"/>
    <col min="31" max="31" width="12.83203125" bestFit="1" customWidth="1"/>
  </cols>
  <sheetData>
    <row r="1" spans="1:38" x14ac:dyDescent="0.2">
      <c r="C1" s="29" t="s">
        <v>16</v>
      </c>
      <c r="D1" s="30"/>
      <c r="E1" s="30"/>
      <c r="F1" s="30"/>
      <c r="G1" s="30"/>
      <c r="H1" s="6"/>
    </row>
    <row r="2" spans="1:38" x14ac:dyDescent="0.2">
      <c r="A2" t="s">
        <v>17</v>
      </c>
      <c r="B2" t="s">
        <v>74</v>
      </c>
      <c r="C2" t="s">
        <v>18</v>
      </c>
      <c r="D2" t="s">
        <v>19</v>
      </c>
      <c r="E2" t="s">
        <v>20</v>
      </c>
      <c r="F2" t="s">
        <v>21</v>
      </c>
      <c r="G2" t="s">
        <v>22</v>
      </c>
      <c r="H2" t="s">
        <v>23</v>
      </c>
      <c r="I2" t="s">
        <v>24</v>
      </c>
      <c r="J2" t="s">
        <v>25</v>
      </c>
      <c r="K2" t="s">
        <v>26</v>
      </c>
      <c r="L2" t="s">
        <v>27</v>
      </c>
      <c r="M2" t="s">
        <v>28</v>
      </c>
      <c r="N2" t="s">
        <v>29</v>
      </c>
      <c r="O2" t="s">
        <v>30</v>
      </c>
      <c r="P2" t="s">
        <v>31</v>
      </c>
      <c r="Q2" t="s">
        <v>32</v>
      </c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</row>
    <row r="3" spans="1:38" x14ac:dyDescent="0.2">
      <c r="A3" t="s">
        <v>0</v>
      </c>
      <c r="B3" t="s">
        <v>107</v>
      </c>
      <c r="C3" s="8">
        <f>LOOKUP($B3,data!$A:$A,data!B:B)</f>
        <v>1193</v>
      </c>
      <c r="D3" s="8">
        <f>LOOKUP($B3,data!$A:$A,data!C:C)</f>
        <v>-985</v>
      </c>
      <c r="E3" s="19">
        <f>ABS(D3)*$C$16</f>
        <v>24.748743718592966</v>
      </c>
      <c r="F3" s="19">
        <f>LOOKUP($B3,data!$A:$A,data!D:D)/1000</f>
        <v>-24.756</v>
      </c>
      <c r="G3" s="7">
        <f>LOOKUP($B3,data!$A:$A,data!J:J)/1000</f>
        <v>132.03</v>
      </c>
      <c r="H3" s="17">
        <f>G3/(24*E3)</f>
        <v>0.22228401015228424</v>
      </c>
      <c r="I3">
        <v>2102483898.8800001</v>
      </c>
      <c r="J3">
        <v>10442175</v>
      </c>
      <c r="K3">
        <f>LOOKUP($B3,data!$A:$A,data!Q:Q)</f>
        <v>3077005381</v>
      </c>
      <c r="L3">
        <f>LOOKUP($B3,data!$A:$A,data!R:R)</f>
        <v>1250952.8899999999</v>
      </c>
      <c r="M3">
        <f>K3-I3</f>
        <v>974521482.11999989</v>
      </c>
      <c r="N3">
        <f>SQRT(POWER(L3,2)+POWER(J3,2))</f>
        <v>10516838.967276448</v>
      </c>
      <c r="O3" s="1">
        <f>M3</f>
        <v>974521482.11999989</v>
      </c>
      <c r="P3" s="1">
        <f>2*N3</f>
        <v>21033677.934552897</v>
      </c>
      <c r="Q3" s="1">
        <f>O3/C3</f>
        <v>816866.28844928741</v>
      </c>
      <c r="R3" s="1"/>
      <c r="S3" s="5"/>
      <c r="T3" s="5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</row>
    <row r="4" spans="1:38" x14ac:dyDescent="0.2">
      <c r="A4" t="s">
        <v>1</v>
      </c>
      <c r="B4" t="s">
        <v>110</v>
      </c>
      <c r="C4" s="8">
        <f>LOOKUP($B4,data!$A:$A,data!B:B)</f>
        <v>769</v>
      </c>
      <c r="D4" s="8">
        <f>LOOKUP($B4,data!$A:$A,data!C:C)</f>
        <v>-680</v>
      </c>
      <c r="E4" s="19">
        <f>ABS(D4)*$C$16</f>
        <v>17.085427135678394</v>
      </c>
      <c r="F4" s="19">
        <f>LOOKUP($B4,data!$A:$A,data!D:D)/1000</f>
        <v>-17.082999999999998</v>
      </c>
      <c r="G4" s="7">
        <f>LOOKUP($B4,data!$A:$A,data!J:J)/1000</f>
        <v>0.01</v>
      </c>
      <c r="H4" s="17">
        <f>G4/(24*E4)</f>
        <v>2.4387254901960781E-5</v>
      </c>
      <c r="I4">
        <v>1058570571.16</v>
      </c>
      <c r="J4">
        <v>29664093.298599999</v>
      </c>
      <c r="K4">
        <f>LOOKUP($B4,data!$A:$A,data!Q:Q)</f>
        <v>1819594437</v>
      </c>
      <c r="L4">
        <f>LOOKUP($B4,data!$A:$A,data!R:R)</f>
        <v>3395327.2560000001</v>
      </c>
      <c r="M4">
        <f>K4-I4</f>
        <v>761023865.84000003</v>
      </c>
      <c r="N4">
        <f>SQRT(POWER(L4,2)+POWER(J4,2))</f>
        <v>29857774.170279033</v>
      </c>
      <c r="O4" s="1">
        <f>M4</f>
        <v>761023865.84000003</v>
      </c>
      <c r="P4" s="1">
        <f>2*N4</f>
        <v>59715548.340558067</v>
      </c>
      <c r="Q4" s="1">
        <f>O4/C4</f>
        <v>989627.91396618995</v>
      </c>
      <c r="R4" s="1"/>
      <c r="S4" s="5"/>
      <c r="T4" s="5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</row>
    <row r="5" spans="1:38" x14ac:dyDescent="0.2">
      <c r="A5" t="s">
        <v>2</v>
      </c>
      <c r="B5" t="s">
        <v>113</v>
      </c>
      <c r="C5" s="8">
        <f>LOOKUP($B5,data!$A:$A,data!B:B)</f>
        <v>894</v>
      </c>
      <c r="D5" s="8">
        <f>LOOKUP($B5,data!$A:$A,data!C:C)</f>
        <v>-879</v>
      </c>
      <c r="E5" s="19">
        <f>ABS(D5)*$C$16</f>
        <v>22.085427135678394</v>
      </c>
      <c r="F5" s="19">
        <f>LOOKUP($B5,data!$A:$A,data!D:D)/1000</f>
        <v>-22.091999999999999</v>
      </c>
      <c r="G5" s="7">
        <f>LOOKUP($B5,data!$A:$A,data!J:J)/1000</f>
        <v>117.82299999999999</v>
      </c>
      <c r="H5" s="17">
        <f>G5/(24*E5)</f>
        <v>0.22228647136897989</v>
      </c>
      <c r="I5">
        <v>1765764570.5999999</v>
      </c>
      <c r="J5">
        <v>0</v>
      </c>
      <c r="K5">
        <f>LOOKUP($B5,data!$A:$A,data!Q:Q)</f>
        <v>2309967026</v>
      </c>
      <c r="L5">
        <f>LOOKUP($B5,data!$A:$A,data!R:R)</f>
        <v>24662.697619999999</v>
      </c>
      <c r="M5">
        <f>K5-I5</f>
        <v>544202455.4000001</v>
      </c>
      <c r="N5">
        <f>SQRT(POWER(L5,2)+POWER(J5,2))</f>
        <v>24662.697619999999</v>
      </c>
      <c r="O5" s="1">
        <f>M5</f>
        <v>544202455.4000001</v>
      </c>
      <c r="P5" s="1">
        <f>2*N5</f>
        <v>49325.395239999998</v>
      </c>
      <c r="Q5" s="1">
        <f>O5/C5</f>
        <v>608727.57874720369</v>
      </c>
      <c r="R5" s="1"/>
      <c r="S5" s="5"/>
      <c r="T5" s="5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3"/>
    </row>
    <row r="6" spans="1:38" x14ac:dyDescent="0.2">
      <c r="A6" t="s">
        <v>3</v>
      </c>
      <c r="B6" t="s">
        <v>116</v>
      </c>
      <c r="C6" s="8">
        <f>LOOKUP($B6,data!$A:$A,data!B:B)</f>
        <v>522</v>
      </c>
      <c r="D6" s="8">
        <f>LOOKUP($B6,data!$A:$A,data!C:C)</f>
        <v>-507</v>
      </c>
      <c r="E6" s="19">
        <f>ABS(D6)*$C$16</f>
        <v>12.738693467336685</v>
      </c>
      <c r="F6" s="19">
        <f>LOOKUP($B6,data!$A:$A,data!D:D)/1000</f>
        <v>-12.743</v>
      </c>
      <c r="G6" s="7">
        <f>LOOKUP($B6,data!$A:$A,data!J:J)/1000</f>
        <v>33.981999999999999</v>
      </c>
      <c r="H6" s="17">
        <f>G6/(24*E6)</f>
        <v>0.1111508547008547</v>
      </c>
      <c r="I6">
        <v>262400619.102</v>
      </c>
      <c r="J6">
        <v>553965.52426600002</v>
      </c>
      <c r="K6">
        <f>LOOKUP($B6,data!$A:$A,data!Q:Q)</f>
        <v>1172753941</v>
      </c>
      <c r="L6">
        <f>LOOKUP($B6,data!$A:$A,data!R:R)</f>
        <v>2016.5295349999999</v>
      </c>
      <c r="M6">
        <f>K6-I6</f>
        <v>910353321.898</v>
      </c>
      <c r="N6">
        <f>SQRT(POWER(L6,2)+POWER(J6,2))</f>
        <v>553969.19451055198</v>
      </c>
      <c r="O6" s="1">
        <f>M6</f>
        <v>910353321.898</v>
      </c>
      <c r="P6" s="1">
        <f>2*N6</f>
        <v>1107938.389021104</v>
      </c>
      <c r="Q6" s="1">
        <f>O6/C6</f>
        <v>1743971.8810306513</v>
      </c>
      <c r="R6" s="1"/>
      <c r="S6" s="5"/>
      <c r="T6" s="5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3"/>
    </row>
    <row r="7" spans="1:38" x14ac:dyDescent="0.2">
      <c r="A7" t="s">
        <v>4</v>
      </c>
      <c r="B7" t="s">
        <v>119</v>
      </c>
      <c r="C7" s="8">
        <f>LOOKUP($B7,data!$A:$A,data!B:B)</f>
        <v>1280</v>
      </c>
      <c r="D7" s="8">
        <f>LOOKUP($B7,data!$A:$A,data!C:C)</f>
        <v>-985</v>
      </c>
      <c r="E7" s="19">
        <f>ABS(D7)*$C$16</f>
        <v>24.748743718592966</v>
      </c>
      <c r="F7" s="19">
        <f>LOOKUP($B7,data!$A:$A,data!D:D)/1000</f>
        <v>-22.242999999999999</v>
      </c>
      <c r="G7" s="7">
        <f>LOOKUP($B7,data!$A:$A,data!J:J)/1000</f>
        <v>0.01</v>
      </c>
      <c r="H7" s="17">
        <f>G7/(24*E7)</f>
        <v>1.6835871404399323E-5</v>
      </c>
      <c r="I7">
        <v>2742484812.48</v>
      </c>
      <c r="J7">
        <v>83894741.873400003</v>
      </c>
      <c r="K7">
        <f>LOOKUP($B7,data!$A:$A,data!Q:Q)</f>
        <v>2519118573</v>
      </c>
      <c r="L7">
        <f>LOOKUP($B7,data!$A:$A,data!R:R)</f>
        <v>23615885.199999999</v>
      </c>
      <c r="M7">
        <f>K7-I7</f>
        <v>-223366239.48000002</v>
      </c>
      <c r="N7">
        <f>SQRT(POWER(L7,2)+POWER(J7,2))</f>
        <v>87155250.833119601</v>
      </c>
      <c r="O7" s="1">
        <f>M7</f>
        <v>-223366239.48000002</v>
      </c>
      <c r="P7" s="1">
        <f>2*N7</f>
        <v>174310501.6662392</v>
      </c>
      <c r="Q7" s="1">
        <f>O7/C7</f>
        <v>-174504.87459375002</v>
      </c>
      <c r="R7" s="1"/>
      <c r="S7" s="5"/>
      <c r="T7" s="5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3"/>
    </row>
    <row r="8" spans="1:38" x14ac:dyDescent="0.2">
      <c r="O8" s="1"/>
      <c r="P8" s="1"/>
      <c r="Q8" s="1"/>
      <c r="R8" s="1"/>
      <c r="S8" s="4"/>
    </row>
    <row r="10" spans="1:38" x14ac:dyDescent="0.2">
      <c r="A10" t="s">
        <v>33</v>
      </c>
    </row>
    <row r="11" spans="1:38" x14ac:dyDescent="0.2">
      <c r="A11" t="s">
        <v>34</v>
      </c>
    </row>
    <row r="12" spans="1:38" x14ac:dyDescent="0.2">
      <c r="A12" t="s">
        <v>35</v>
      </c>
      <c r="C12">
        <v>39.799999999999997</v>
      </c>
      <c r="E12" t="s">
        <v>36</v>
      </c>
    </row>
    <row r="13" spans="1:38" x14ac:dyDescent="0.2">
      <c r="A13" t="s">
        <v>37</v>
      </c>
    </row>
    <row r="14" spans="1:38" x14ac:dyDescent="0.2">
      <c r="A14" t="s">
        <v>38</v>
      </c>
      <c r="C14">
        <v>2.5125628140703519E-2</v>
      </c>
      <c r="E14" t="s">
        <v>39</v>
      </c>
    </row>
    <row r="15" spans="1:38" x14ac:dyDescent="0.2">
      <c r="C15">
        <v>25.125628140703519</v>
      </c>
      <c r="E15" t="s">
        <v>40</v>
      </c>
    </row>
    <row r="16" spans="1:38" x14ac:dyDescent="0.2">
      <c r="C16">
        <f>C15/1000</f>
        <v>2.5125628140703519E-2</v>
      </c>
      <c r="E16" t="s">
        <v>41</v>
      </c>
    </row>
    <row r="22" spans="4:12" x14ac:dyDescent="0.2">
      <c r="D22" s="7"/>
      <c r="E22" s="7"/>
      <c r="F22" s="7"/>
      <c r="G22" s="7"/>
      <c r="H22" s="7"/>
      <c r="K22" s="7"/>
      <c r="L22" s="8"/>
    </row>
    <row r="23" spans="4:12" x14ac:dyDescent="0.2">
      <c r="D23" s="7"/>
      <c r="E23" s="7"/>
      <c r="F23" s="7"/>
      <c r="G23" s="7"/>
      <c r="H23" s="7"/>
      <c r="K23" s="7"/>
      <c r="L23" s="8"/>
    </row>
    <row r="24" spans="4:12" x14ac:dyDescent="0.2">
      <c r="D24" s="8"/>
      <c r="E24" s="8"/>
      <c r="F24" s="8"/>
      <c r="G24" s="8"/>
      <c r="H24" s="8"/>
      <c r="K24" s="7"/>
      <c r="L24" s="8"/>
    </row>
    <row r="25" spans="4:12" x14ac:dyDescent="0.2">
      <c r="K25" s="7"/>
      <c r="L25" s="8"/>
    </row>
    <row r="29" spans="4:12" x14ac:dyDescent="0.2">
      <c r="D29" s="7"/>
      <c r="E29" s="7"/>
      <c r="F29" s="8"/>
    </row>
    <row r="30" spans="4:12" x14ac:dyDescent="0.2">
      <c r="D30" s="7"/>
      <c r="E30" s="7"/>
      <c r="F30" s="8"/>
    </row>
    <row r="31" spans="4:12" x14ac:dyDescent="0.2">
      <c r="D31" s="7"/>
      <c r="E31" s="7"/>
      <c r="F31" s="8"/>
    </row>
    <row r="32" spans="4:12" x14ac:dyDescent="0.2">
      <c r="D32" s="7"/>
      <c r="E32" s="7"/>
      <c r="F32" s="8"/>
    </row>
  </sheetData>
  <mergeCells count="1">
    <mergeCell ref="C1:G1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M49"/>
  <sheetViews>
    <sheetView tabSelected="1" workbookViewId="0">
      <selection activeCell="I22" sqref="I22"/>
    </sheetView>
  </sheetViews>
  <sheetFormatPr baseColWidth="10" defaultRowHeight="16" x14ac:dyDescent="0.2"/>
  <cols>
    <col min="1" max="1" width="18.83203125" bestFit="1" customWidth="1"/>
    <col min="2" max="2" width="14.5" bestFit="1" customWidth="1"/>
    <col min="3" max="3" width="14.33203125" bestFit="1" customWidth="1"/>
    <col min="4" max="4" width="14.6640625" bestFit="1" customWidth="1"/>
    <col min="5" max="5" width="14" bestFit="1" customWidth="1"/>
    <col min="6" max="6" width="14.6640625" bestFit="1" customWidth="1"/>
    <col min="7" max="9" width="12.5" bestFit="1" customWidth="1"/>
    <col min="10" max="10" width="13.1640625" bestFit="1" customWidth="1"/>
  </cols>
  <sheetData>
    <row r="1" spans="1:13" x14ac:dyDescent="0.2">
      <c r="A1" s="3" t="s">
        <v>17</v>
      </c>
      <c r="B1" s="3" t="s">
        <v>42</v>
      </c>
      <c r="C1" s="3" t="s">
        <v>43</v>
      </c>
      <c r="D1" t="s">
        <v>24</v>
      </c>
      <c r="E1" t="s">
        <v>161</v>
      </c>
      <c r="F1" t="s">
        <v>162</v>
      </c>
      <c r="G1" t="s">
        <v>44</v>
      </c>
      <c r="H1" t="s">
        <v>45</v>
      </c>
      <c r="I1" t="s">
        <v>163</v>
      </c>
      <c r="J1" t="s">
        <v>164</v>
      </c>
      <c r="K1" t="s">
        <v>165</v>
      </c>
      <c r="L1" t="s">
        <v>166</v>
      </c>
      <c r="M1" t="s">
        <v>167</v>
      </c>
    </row>
    <row r="2" spans="1:13" x14ac:dyDescent="0.2">
      <c r="A2" s="3" t="s">
        <v>0</v>
      </c>
      <c r="B2" s="3">
        <v>1193</v>
      </c>
      <c r="C2" s="3">
        <v>3408382538</v>
      </c>
      <c r="D2">
        <v>2102483898.8800001</v>
      </c>
      <c r="E2">
        <v>-850276232.79747999</v>
      </c>
      <c r="F2">
        <v>-648578863.74762297</v>
      </c>
      <c r="G2">
        <v>-646374412.89226401</v>
      </c>
      <c r="H2">
        <v>3997579657.9047198</v>
      </c>
      <c r="I2">
        <v>345184025.36356503</v>
      </c>
      <c r="J2">
        <v>241978467.14636099</v>
      </c>
      <c r="K2">
        <v>596143859.129655</v>
      </c>
      <c r="L2">
        <v>278280502.35935098</v>
      </c>
      <c r="M2">
        <v>-237789425.16703999</v>
      </c>
    </row>
    <row r="3" spans="1:13" x14ac:dyDescent="0.2">
      <c r="A3" s="3" t="s">
        <v>1</v>
      </c>
      <c r="B3" s="3">
        <v>769</v>
      </c>
      <c r="C3">
        <v>1941429066.9816799</v>
      </c>
      <c r="D3">
        <v>1058570571.16</v>
      </c>
      <c r="E3">
        <v>-592273814.56093204</v>
      </c>
      <c r="F3">
        <v>-524892649.69864798</v>
      </c>
      <c r="G3">
        <v>-598331107.66438103</v>
      </c>
      <c r="H3">
        <v>2758549575.6982698</v>
      </c>
      <c r="I3">
        <v>101025867.63785701</v>
      </c>
      <c r="J3">
        <v>157926073.055112</v>
      </c>
      <c r="K3">
        <v>439522177.41517103</v>
      </c>
      <c r="L3">
        <v>240580055.152179</v>
      </c>
      <c r="M3">
        <v>-165256397.18829501</v>
      </c>
    </row>
    <row r="4" spans="1:13" x14ac:dyDescent="0.2">
      <c r="A4" s="3" t="s">
        <v>2</v>
      </c>
      <c r="B4" s="3">
        <v>894</v>
      </c>
      <c r="C4">
        <v>2357620907.3290401</v>
      </c>
      <c r="D4">
        <v>1765764570.5999999</v>
      </c>
      <c r="E4">
        <v>-808100549.90780103</v>
      </c>
      <c r="F4">
        <v>-627040149.95725405</v>
      </c>
      <c r="G4">
        <v>-890336666.71854901</v>
      </c>
      <c r="H4">
        <v>3567399006.3997002</v>
      </c>
      <c r="I4">
        <v>5354708.5146538904</v>
      </c>
      <c r="J4">
        <v>343922316.69889998</v>
      </c>
      <c r="K4">
        <v>607783513.62436104</v>
      </c>
      <c r="L4">
        <v>323551725.84004998</v>
      </c>
      <c r="M4">
        <v>-212581225.27934501</v>
      </c>
    </row>
    <row r="5" spans="1:13" x14ac:dyDescent="0.2">
      <c r="A5" s="3" t="s">
        <v>3</v>
      </c>
      <c r="B5" s="3">
        <v>522</v>
      </c>
      <c r="C5">
        <v>1186176051.1001599</v>
      </c>
      <c r="D5">
        <v>262400619.102</v>
      </c>
      <c r="E5">
        <v>-477011461.35084897</v>
      </c>
      <c r="F5">
        <v>-447525340.45968097</v>
      </c>
      <c r="G5">
        <v>-473323299.45169902</v>
      </c>
      <c r="H5">
        <v>2057729745.5437</v>
      </c>
      <c r="I5">
        <v>424965.240070356</v>
      </c>
      <c r="J5">
        <v>168100833.49279401</v>
      </c>
      <c r="K5">
        <v>296435011.320925</v>
      </c>
      <c r="L5">
        <v>172034347.15747201</v>
      </c>
      <c r="M5">
        <v>-124114712.46592499</v>
      </c>
    </row>
    <row r="6" spans="1:13" x14ac:dyDescent="0.2">
      <c r="A6" s="3" t="s">
        <v>46</v>
      </c>
      <c r="B6" s="3">
        <v>1280</v>
      </c>
      <c r="C6">
        <v>3281939427.7312298</v>
      </c>
      <c r="D6">
        <v>2742484812.48</v>
      </c>
      <c r="E6">
        <v>-813389535.78275394</v>
      </c>
      <c r="F6">
        <v>-655884241.28833497</v>
      </c>
      <c r="G6">
        <v>-1408612528.9723499</v>
      </c>
      <c r="H6">
        <v>3591782369.1539302</v>
      </c>
      <c r="I6">
        <v>774235610.60123003</v>
      </c>
      <c r="J6">
        <v>210438647.714158</v>
      </c>
      <c r="K6">
        <v>640502020.67253697</v>
      </c>
      <c r="L6">
        <v>365601367.673567</v>
      </c>
      <c r="M6">
        <v>-237789425.16703999</v>
      </c>
    </row>
    <row r="7" spans="1:13" x14ac:dyDescent="0.2">
      <c r="A7" s="3"/>
      <c r="B7" s="3"/>
    </row>
    <row r="8" spans="1:13" x14ac:dyDescent="0.2">
      <c r="A8" s="31" t="s">
        <v>170</v>
      </c>
      <c r="B8" s="31"/>
      <c r="C8" s="31"/>
      <c r="D8" s="31"/>
      <c r="E8" s="31"/>
      <c r="F8" s="31"/>
      <c r="G8" s="31"/>
      <c r="H8" s="31"/>
      <c r="I8" s="31"/>
      <c r="J8" s="31"/>
    </row>
    <row r="9" spans="1:13" x14ac:dyDescent="0.2">
      <c r="A9" s="3" t="s">
        <v>17</v>
      </c>
      <c r="B9" s="3" t="s">
        <v>133</v>
      </c>
      <c r="C9" s="3" t="s">
        <v>137</v>
      </c>
      <c r="D9" s="3" t="s">
        <v>47</v>
      </c>
      <c r="E9" s="3" t="s">
        <v>48</v>
      </c>
      <c r="F9" s="3" t="s">
        <v>35</v>
      </c>
      <c r="G9" s="3" t="s">
        <v>73</v>
      </c>
      <c r="H9" s="3" t="s">
        <v>168</v>
      </c>
      <c r="I9" s="3" t="s">
        <v>49</v>
      </c>
      <c r="J9" s="3" t="s">
        <v>169</v>
      </c>
    </row>
    <row r="10" spans="1:13" x14ac:dyDescent="0.2">
      <c r="A10" s="3" t="s">
        <v>0</v>
      </c>
      <c r="B10" s="20">
        <f>E2/$B2</f>
        <v>-712721.06688808044</v>
      </c>
      <c r="C10" s="20">
        <f>F2/$B2</f>
        <v>-543653.69970462949</v>
      </c>
      <c r="D10" s="20">
        <f>G2/$B2</f>
        <v>-541805.87836736301</v>
      </c>
      <c r="E10" s="20">
        <f>H2/$B2</f>
        <v>3350863.0829042075</v>
      </c>
      <c r="F10" s="20">
        <f>I2/$B2</f>
        <v>289341.17800801765</v>
      </c>
      <c r="G10" s="20">
        <f>J2/$B2</f>
        <v>202831.90875637971</v>
      </c>
      <c r="H10" s="20">
        <f>K2/$B2</f>
        <v>499701.47454287932</v>
      </c>
      <c r="I10" s="20">
        <f>L2/$B2</f>
        <v>233261.10843197902</v>
      </c>
      <c r="J10" s="20">
        <f>M2/$B2</f>
        <v>-199320.55755829002</v>
      </c>
    </row>
    <row r="11" spans="1:13" x14ac:dyDescent="0.2">
      <c r="A11" s="3" t="s">
        <v>1</v>
      </c>
      <c r="B11" s="20">
        <f t="shared" ref="B11:B14" si="0">E3/$B3</f>
        <v>-770187.01503372181</v>
      </c>
      <c r="C11" s="20">
        <f>F3/$B3</f>
        <v>-682565.21417249413</v>
      </c>
      <c r="D11" s="20">
        <f t="shared" ref="D11:D14" si="1">G3/$B3</f>
        <v>-778063.85912143171</v>
      </c>
      <c r="E11" s="20">
        <f t="shared" ref="E11:E14" si="2">H3/$B3</f>
        <v>3587190.6055894275</v>
      </c>
      <c r="F11" s="20">
        <f t="shared" ref="F11:F14" si="3">I3/$B3</f>
        <v>131373.03984116646</v>
      </c>
      <c r="G11" s="20">
        <f>J3/$B3</f>
        <v>205365.50462303252</v>
      </c>
      <c r="H11" s="20">
        <f t="shared" ref="H11:H14" si="4">K3/$B3</f>
        <v>571550.29572844086</v>
      </c>
      <c r="I11" s="20">
        <f t="shared" ref="I11:I14" si="5">L3/$B3</f>
        <v>312847.92607565538</v>
      </c>
      <c r="J11" s="20">
        <f t="shared" ref="J11:J14" si="6">M3/$B3</f>
        <v>-214897.78568048766</v>
      </c>
    </row>
    <row r="12" spans="1:13" x14ac:dyDescent="0.2">
      <c r="A12" s="3" t="s">
        <v>2</v>
      </c>
      <c r="B12" s="20">
        <f t="shared" si="0"/>
        <v>-903915.60392371484</v>
      </c>
      <c r="C12" s="20">
        <f>F4/$B4</f>
        <v>-701387.19234592177</v>
      </c>
      <c r="D12" s="20">
        <f t="shared" si="1"/>
        <v>-995902.31176571478</v>
      </c>
      <c r="E12" s="20">
        <f t="shared" si="2"/>
        <v>3990379.201789374</v>
      </c>
      <c r="F12" s="20">
        <f t="shared" si="3"/>
        <v>5989.6068396575956</v>
      </c>
      <c r="G12" s="20">
        <f>J4/$B4</f>
        <v>384700.57796297537</v>
      </c>
      <c r="H12" s="20">
        <f t="shared" si="4"/>
        <v>679847.33067601908</v>
      </c>
      <c r="I12" s="20">
        <f t="shared" si="5"/>
        <v>361914.68214770692</v>
      </c>
      <c r="J12" s="20">
        <f t="shared" si="6"/>
        <v>-237786.60545788033</v>
      </c>
    </row>
    <row r="13" spans="1:13" x14ac:dyDescent="0.2">
      <c r="A13" s="3" t="s">
        <v>3</v>
      </c>
      <c r="B13" s="20">
        <f t="shared" si="0"/>
        <v>-913815.0600590976</v>
      </c>
      <c r="C13" s="20">
        <f>F5/$B5</f>
        <v>-857328.23842850758</v>
      </c>
      <c r="D13" s="20">
        <f t="shared" si="1"/>
        <v>-906749.61580785247</v>
      </c>
      <c r="E13" s="20">
        <f t="shared" si="2"/>
        <v>3942011.0067886971</v>
      </c>
      <c r="F13" s="20">
        <f t="shared" si="3"/>
        <v>814.10965530719545</v>
      </c>
      <c r="G13" s="20">
        <f>J5/$B5</f>
        <v>322032.24807048659</v>
      </c>
      <c r="H13" s="20">
        <f t="shared" si="4"/>
        <v>567883.16345004784</v>
      </c>
      <c r="I13" s="20">
        <f t="shared" si="5"/>
        <v>329567.71486105752</v>
      </c>
      <c r="J13" s="20">
        <f t="shared" si="6"/>
        <v>-237767.64840215517</v>
      </c>
    </row>
    <row r="14" spans="1:13" x14ac:dyDescent="0.2">
      <c r="A14" s="3" t="s">
        <v>46</v>
      </c>
      <c r="B14" s="20">
        <f t="shared" si="0"/>
        <v>-635460.57483027654</v>
      </c>
      <c r="C14" s="20">
        <f>F6/$B6</f>
        <v>-512409.56350651168</v>
      </c>
      <c r="D14" s="20">
        <f t="shared" si="1"/>
        <v>-1100478.5382596483</v>
      </c>
      <c r="E14" s="20">
        <f t="shared" si="2"/>
        <v>2806079.9759015078</v>
      </c>
      <c r="F14" s="20">
        <f t="shared" si="3"/>
        <v>604871.57078221091</v>
      </c>
      <c r="G14" s="20">
        <f>J6/$B6</f>
        <v>164405.19352668594</v>
      </c>
      <c r="H14" s="20">
        <f t="shared" si="4"/>
        <v>500392.20365041948</v>
      </c>
      <c r="I14" s="20">
        <f t="shared" si="5"/>
        <v>285626.06849497423</v>
      </c>
      <c r="J14" s="20">
        <f t="shared" si="6"/>
        <v>-185772.98841175</v>
      </c>
    </row>
    <row r="15" spans="1:13" x14ac:dyDescent="0.2">
      <c r="A15" s="3"/>
      <c r="B15" s="9"/>
      <c r="C15" s="9"/>
    </row>
    <row r="16" spans="1:13" x14ac:dyDescent="0.2">
      <c r="A16" s="3" t="s">
        <v>171</v>
      </c>
      <c r="B16" s="3" t="s">
        <v>48</v>
      </c>
      <c r="C16" s="3" t="s">
        <v>172</v>
      </c>
      <c r="D16" s="3" t="s">
        <v>35</v>
      </c>
      <c r="E16" s="3" t="s">
        <v>173</v>
      </c>
    </row>
    <row r="17" spans="1:6" x14ac:dyDescent="0.2">
      <c r="A17" s="3" t="str">
        <f>A10</f>
        <v>Braidwood</v>
      </c>
      <c r="B17" s="32">
        <f>E10/$E17</f>
        <v>0.73226922996176103</v>
      </c>
      <c r="C17" s="32">
        <f>SUM(G10:I10)/$E17</f>
        <v>0.20450060026582137</v>
      </c>
      <c r="D17" s="32">
        <f>F10/$E17</f>
        <v>6.323016977241766E-2</v>
      </c>
      <c r="E17" s="4">
        <f>SUM(E10:I10)</f>
        <v>4575998.7526434632</v>
      </c>
    </row>
    <row r="18" spans="1:6" x14ac:dyDescent="0.2">
      <c r="A18" s="3" t="str">
        <f t="shared" ref="A18:A21" si="7">A11</f>
        <v>Cooper</v>
      </c>
      <c r="B18" s="32">
        <f t="shared" ref="B18:B20" si="8">E11/$E18</f>
        <v>0.7460370994255946</v>
      </c>
      <c r="C18" s="32">
        <f t="shared" ref="C18:C20" si="9">SUM(G11:I11)/$E18</f>
        <v>0.22664091733963881</v>
      </c>
      <c r="D18" s="32">
        <f t="shared" ref="D18:D21" si="10">F11/$E18</f>
        <v>2.732198323476669E-2</v>
      </c>
      <c r="E18" s="4">
        <f t="shared" ref="E18:E21" si="11">SUM(E11:I11)</f>
        <v>4808327.3718577223</v>
      </c>
    </row>
    <row r="19" spans="1:6" x14ac:dyDescent="0.2">
      <c r="A19" s="3" t="str">
        <f t="shared" si="7"/>
        <v>Davis-Besse</v>
      </c>
      <c r="B19" s="32">
        <f t="shared" si="8"/>
        <v>0.73584791926581106</v>
      </c>
      <c r="C19" s="32">
        <f t="shared" si="9"/>
        <v>0.26304756421901504</v>
      </c>
      <c r="D19" s="32">
        <f t="shared" si="10"/>
        <v>1.1045165151737759E-3</v>
      </c>
      <c r="E19" s="4">
        <f t="shared" si="11"/>
        <v>5422831.3994157333</v>
      </c>
    </row>
    <row r="20" spans="1:6" x14ac:dyDescent="0.2">
      <c r="A20" s="3" t="str">
        <f t="shared" si="7"/>
        <v>Prairie-Island</v>
      </c>
      <c r="B20" s="32">
        <f t="shared" si="8"/>
        <v>0.76361403104263925</v>
      </c>
      <c r="C20" s="32">
        <f t="shared" si="9"/>
        <v>0.23622826631408325</v>
      </c>
      <c r="D20" s="32">
        <f t="shared" si="10"/>
        <v>1.577026432775722E-4</v>
      </c>
      <c r="E20" s="4">
        <f t="shared" si="11"/>
        <v>5162308.2428255957</v>
      </c>
    </row>
    <row r="21" spans="1:6" x14ac:dyDescent="0.2">
      <c r="A21" s="3" t="str">
        <f t="shared" si="7"/>
        <v>STP</v>
      </c>
      <c r="B21" s="32">
        <f>E14/$E21</f>
        <v>0.64339341789042859</v>
      </c>
      <c r="C21" s="32">
        <f>SUM(G14:I14)/$E21</f>
        <v>0.2179183085562523</v>
      </c>
      <c r="D21" s="32">
        <f t="shared" si="10"/>
        <v>0.13868827355331897</v>
      </c>
      <c r="E21" s="4">
        <f t="shared" si="11"/>
        <v>4361375.0123557989</v>
      </c>
    </row>
    <row r="22" spans="1:6" x14ac:dyDescent="0.2">
      <c r="A22" s="3"/>
      <c r="B22" s="9"/>
      <c r="C22" s="9"/>
    </row>
    <row r="23" spans="1:6" x14ac:dyDescent="0.2">
      <c r="A23" s="3" t="s">
        <v>174</v>
      </c>
      <c r="B23" s="3" t="s">
        <v>133</v>
      </c>
      <c r="C23" s="3" t="s">
        <v>137</v>
      </c>
      <c r="D23" s="3" t="s">
        <v>47</v>
      </c>
      <c r="E23" s="3" t="s">
        <v>169</v>
      </c>
      <c r="F23" s="3" t="s">
        <v>173</v>
      </c>
    </row>
    <row r="24" spans="1:6" x14ac:dyDescent="0.2">
      <c r="A24" s="3" t="str">
        <f>A17</f>
        <v>Braidwood</v>
      </c>
      <c r="B24" s="32">
        <f>B10/$F24</f>
        <v>0.3568063268194846</v>
      </c>
      <c r="C24" s="32">
        <f t="shared" ref="C24:E24" si="12">C10/$F24</f>
        <v>0.27216689482800538</v>
      </c>
      <c r="D24" s="32">
        <f t="shared" si="12"/>
        <v>0.27124182838251998</v>
      </c>
      <c r="E24" s="32">
        <f>J10/$F24</f>
        <v>9.9784949969990169E-2</v>
      </c>
      <c r="F24" s="4">
        <f>SUM(B10:D10,J10)</f>
        <v>-1997501.2025183628</v>
      </c>
    </row>
    <row r="25" spans="1:6" x14ac:dyDescent="0.2">
      <c r="A25" s="3" t="str">
        <f t="shared" ref="A25:A28" si="13">A18</f>
        <v>Cooper</v>
      </c>
      <c r="B25" s="32">
        <f t="shared" ref="B25:E25" si="14">B11/$F25</f>
        <v>0.31491296803722507</v>
      </c>
      <c r="C25" s="32">
        <f t="shared" si="14"/>
        <v>0.27908629109335609</v>
      </c>
      <c r="D25" s="32">
        <f t="shared" si="14"/>
        <v>0.31813364081151041</v>
      </c>
      <c r="E25" s="32">
        <f t="shared" ref="E25:E28" si="15">J11/$F25</f>
        <v>8.7867100057908418E-2</v>
      </c>
      <c r="F25" s="4">
        <f t="shared" ref="F25:F28" si="16">SUM(B11:D11,J11)</f>
        <v>-2445713.8740081354</v>
      </c>
    </row>
    <row r="26" spans="1:6" x14ac:dyDescent="0.2">
      <c r="A26" s="3" t="str">
        <f t="shared" si="13"/>
        <v>Davis-Besse</v>
      </c>
      <c r="B26" s="32">
        <f t="shared" ref="B26:E26" si="17">B12/$F26</f>
        <v>0.31839318150439183</v>
      </c>
      <c r="C26" s="32">
        <f t="shared" si="17"/>
        <v>0.24705503331071765</v>
      </c>
      <c r="D26" s="32">
        <f>D12/$F26</f>
        <v>0.35079437077338588</v>
      </c>
      <c r="E26" s="32">
        <f t="shared" si="15"/>
        <v>8.3757414411504666E-2</v>
      </c>
      <c r="F26" s="4">
        <f t="shared" si="16"/>
        <v>-2838991.7134932317</v>
      </c>
    </row>
    <row r="27" spans="1:6" x14ac:dyDescent="0.2">
      <c r="A27" s="3" t="str">
        <f t="shared" si="13"/>
        <v>Prairie-Island</v>
      </c>
      <c r="B27" s="32">
        <f t="shared" ref="B27:E27" si="18">B13/$F27</f>
        <v>0.31341613346569475</v>
      </c>
      <c r="C27" s="32">
        <f t="shared" si="18"/>
        <v>0.29404254027269028</v>
      </c>
      <c r="D27" s="32">
        <f t="shared" si="18"/>
        <v>0.31099285952851596</v>
      </c>
      <c r="E27" s="32">
        <f t="shared" si="15"/>
        <v>8.1548466733099068E-2</v>
      </c>
      <c r="F27" s="4">
        <f t="shared" si="16"/>
        <v>-2915660.5626976127</v>
      </c>
    </row>
    <row r="28" spans="1:6" x14ac:dyDescent="0.2">
      <c r="A28" s="3" t="str">
        <f t="shared" si="13"/>
        <v>STP</v>
      </c>
      <c r="B28" s="32">
        <f t="shared" ref="B28:E28" si="19">B14/$F28</f>
        <v>0.26106360415971208</v>
      </c>
      <c r="C28" s="32">
        <f t="shared" si="19"/>
        <v>0.2105110729971619</v>
      </c>
      <c r="D28" s="32">
        <f t="shared" si="19"/>
        <v>0.45210498475882344</v>
      </c>
      <c r="E28" s="32">
        <f t="shared" si="15"/>
        <v>7.6320338084302441E-2</v>
      </c>
      <c r="F28" s="4">
        <f t="shared" si="16"/>
        <v>-2434121.6650081868</v>
      </c>
    </row>
    <row r="29" spans="1:6" x14ac:dyDescent="0.2">
      <c r="A29" s="3"/>
      <c r="B29" s="3"/>
      <c r="C29" s="3"/>
    </row>
    <row r="30" spans="1:6" x14ac:dyDescent="0.2">
      <c r="A30" s="3"/>
      <c r="B30" s="3"/>
      <c r="C30" s="3"/>
    </row>
    <row r="31" spans="1:6" x14ac:dyDescent="0.2">
      <c r="A31" s="3"/>
      <c r="B31" s="3"/>
      <c r="C31" s="3"/>
    </row>
    <row r="32" spans="1:6" x14ac:dyDescent="0.2">
      <c r="A32" s="3"/>
      <c r="B32" s="3"/>
      <c r="C32" s="3"/>
    </row>
    <row r="33" spans="1:3" x14ac:dyDescent="0.2">
      <c r="A33" s="3"/>
      <c r="B33" s="3"/>
      <c r="C33" s="3"/>
    </row>
    <row r="34" spans="1:3" x14ac:dyDescent="0.2">
      <c r="A34" s="3"/>
      <c r="B34" s="3"/>
      <c r="C34" s="3"/>
    </row>
    <row r="35" spans="1:3" x14ac:dyDescent="0.2">
      <c r="A35" s="3"/>
      <c r="B35" s="3"/>
      <c r="C35" s="3"/>
    </row>
    <row r="36" spans="1:3" x14ac:dyDescent="0.2">
      <c r="A36" s="3"/>
      <c r="B36" s="3"/>
      <c r="C36" s="3"/>
    </row>
    <row r="37" spans="1:3" x14ac:dyDescent="0.2">
      <c r="A37" s="3"/>
      <c r="B37" s="3"/>
      <c r="C37" s="3"/>
    </row>
    <row r="38" spans="1:3" x14ac:dyDescent="0.2">
      <c r="A38" s="3"/>
      <c r="B38" s="3"/>
      <c r="C38" s="3"/>
    </row>
    <row r="39" spans="1:3" x14ac:dyDescent="0.2">
      <c r="A39" s="3"/>
      <c r="B39" s="3"/>
      <c r="C39" s="3"/>
    </row>
    <row r="40" spans="1:3" x14ac:dyDescent="0.2">
      <c r="A40" s="3"/>
      <c r="B40" s="3"/>
      <c r="C40" s="3"/>
    </row>
    <row r="41" spans="1:3" x14ac:dyDescent="0.2">
      <c r="A41" s="3"/>
      <c r="B41" s="3"/>
      <c r="C41" s="3"/>
    </row>
    <row r="42" spans="1:3" x14ac:dyDescent="0.2">
      <c r="A42" s="3"/>
      <c r="B42" s="3"/>
      <c r="C42" s="3"/>
    </row>
    <row r="43" spans="1:3" x14ac:dyDescent="0.2">
      <c r="A43" s="3"/>
      <c r="B43" s="3"/>
      <c r="C43" s="3"/>
    </row>
    <row r="44" spans="1:3" x14ac:dyDescent="0.2">
      <c r="A44" s="3"/>
      <c r="B44" s="3"/>
      <c r="C44" s="3"/>
    </row>
    <row r="45" spans="1:3" x14ac:dyDescent="0.2">
      <c r="A45" s="3"/>
      <c r="B45" s="3"/>
      <c r="C45" s="3"/>
    </row>
    <row r="46" spans="1:3" x14ac:dyDescent="0.2">
      <c r="A46" s="3"/>
      <c r="B46" s="3"/>
      <c r="C46" s="3"/>
    </row>
    <row r="47" spans="1:3" x14ac:dyDescent="0.2">
      <c r="A47" s="3"/>
      <c r="B47" s="3"/>
      <c r="C47" s="3"/>
    </row>
    <row r="48" spans="1:3" x14ac:dyDescent="0.2">
      <c r="A48" s="3"/>
      <c r="B48" s="3"/>
      <c r="C48" s="3"/>
    </row>
    <row r="49" spans="1:3" x14ac:dyDescent="0.2">
      <c r="A49" s="3"/>
      <c r="B49" s="3"/>
      <c r="C49" s="3"/>
    </row>
  </sheetData>
  <mergeCells count="1">
    <mergeCell ref="A8:J8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G22"/>
  <sheetViews>
    <sheetView workbookViewId="0">
      <selection activeCell="I34" sqref="I34"/>
    </sheetView>
  </sheetViews>
  <sheetFormatPr baseColWidth="10" defaultRowHeight="16" x14ac:dyDescent="0.2"/>
  <cols>
    <col min="1" max="1" width="49.6640625" bestFit="1" customWidth="1"/>
    <col min="2" max="2" width="12.33203125" customWidth="1"/>
  </cols>
  <sheetData>
    <row r="1" spans="1:7" x14ac:dyDescent="0.2">
      <c r="A1" t="s">
        <v>51</v>
      </c>
      <c r="B1" t="s">
        <v>52</v>
      </c>
      <c r="C1" t="s">
        <v>0</v>
      </c>
      <c r="D1" t="s">
        <v>1</v>
      </c>
      <c r="E1" t="s">
        <v>2</v>
      </c>
      <c r="F1" t="s">
        <v>3</v>
      </c>
      <c r="G1" t="s">
        <v>4</v>
      </c>
    </row>
    <row r="2" spans="1:7" x14ac:dyDescent="0.2">
      <c r="A2" t="s">
        <v>53</v>
      </c>
      <c r="B2" t="s">
        <v>54</v>
      </c>
      <c r="C2">
        <v>-12036524.699999999</v>
      </c>
      <c r="D2">
        <v>-7704185.3195999796</v>
      </c>
      <c r="E2">
        <v>-8981303.8799999803</v>
      </c>
      <c r="F2">
        <v>-2590221.2736</v>
      </c>
      <c r="G2">
        <v>-6462643.5720000099</v>
      </c>
    </row>
    <row r="3" spans="1:7" x14ac:dyDescent="0.2">
      <c r="A3" t="s">
        <v>55</v>
      </c>
      <c r="B3" t="s">
        <v>56</v>
      </c>
      <c r="C3">
        <v>-88.977912595000106</v>
      </c>
      <c r="D3">
        <v>-89.628633839425007</v>
      </c>
      <c r="E3">
        <v>-97.757097254875006</v>
      </c>
      <c r="F3">
        <v>-180.02260447500001</v>
      </c>
      <c r="G3">
        <v>-551207.96090499696</v>
      </c>
    </row>
    <row r="4" spans="1:7" x14ac:dyDescent="0.2">
      <c r="A4" t="s">
        <v>57</v>
      </c>
      <c r="B4" t="s">
        <v>54</v>
      </c>
      <c r="C4">
        <v>12036524.699999999</v>
      </c>
      <c r="D4">
        <v>7704185.3195999796</v>
      </c>
      <c r="E4">
        <v>8981303.8799999803</v>
      </c>
      <c r="F4">
        <v>2590221.2736</v>
      </c>
      <c r="G4">
        <v>6462643.5720000099</v>
      </c>
    </row>
    <row r="5" spans="1:7" x14ac:dyDescent="0.2">
      <c r="A5" t="s">
        <v>58</v>
      </c>
      <c r="B5" t="s">
        <v>59</v>
      </c>
      <c r="C5">
        <v>-25932350.640000001</v>
      </c>
      <c r="D5">
        <v>-16598448</v>
      </c>
      <c r="E5">
        <v>-19349964</v>
      </c>
      <c r="F5">
        <v>-5580558</v>
      </c>
      <c r="G5">
        <v>-13923582</v>
      </c>
    </row>
    <row r="6" spans="1:7" x14ac:dyDescent="0.2">
      <c r="A6" t="s">
        <v>60</v>
      </c>
      <c r="B6" t="s">
        <v>54</v>
      </c>
      <c r="C6">
        <v>21724460.112</v>
      </c>
      <c r="D6">
        <v>13905115.043999899</v>
      </c>
      <c r="E6">
        <v>16210158.371999901</v>
      </c>
      <c r="F6">
        <v>4675033.2959999703</v>
      </c>
      <c r="G6">
        <v>11664283.83</v>
      </c>
    </row>
    <row r="7" spans="1:7" x14ac:dyDescent="0.2">
      <c r="A7" t="s">
        <v>61</v>
      </c>
      <c r="B7" t="s">
        <v>54</v>
      </c>
      <c r="C7">
        <v>17932465.475999899</v>
      </c>
      <c r="D7">
        <v>11477983.5959999</v>
      </c>
      <c r="E7">
        <v>13380682.752</v>
      </c>
      <c r="F7">
        <v>3859008.5046000001</v>
      </c>
      <c r="G7">
        <v>9628288.1340000108</v>
      </c>
    </row>
    <row r="8" spans="1:7" x14ac:dyDescent="0.2">
      <c r="A8" t="s">
        <v>62</v>
      </c>
      <c r="B8" t="s">
        <v>56</v>
      </c>
      <c r="C8">
        <v>0</v>
      </c>
      <c r="D8">
        <v>0</v>
      </c>
      <c r="E8">
        <v>0</v>
      </c>
      <c r="F8">
        <v>0</v>
      </c>
      <c r="G8">
        <v>0</v>
      </c>
    </row>
    <row r="9" spans="1:7" x14ac:dyDescent="0.2">
      <c r="A9" t="s">
        <v>63</v>
      </c>
      <c r="B9" t="s">
        <v>56</v>
      </c>
      <c r="C9">
        <v>-13052.4</v>
      </c>
      <c r="D9">
        <v>-13052.4</v>
      </c>
      <c r="E9">
        <v>-13052.4</v>
      </c>
      <c r="F9">
        <v>-6526.1999999999898</v>
      </c>
      <c r="G9">
        <v>-6526.1999999999698</v>
      </c>
    </row>
    <row r="10" spans="1:7" x14ac:dyDescent="0.2">
      <c r="A10" t="s">
        <v>64</v>
      </c>
      <c r="B10" t="s">
        <v>59</v>
      </c>
      <c r="C10">
        <v>0</v>
      </c>
      <c r="D10">
        <v>-11.475199999999999</v>
      </c>
      <c r="E10">
        <v>-158.99084999999999</v>
      </c>
      <c r="F10">
        <v>0</v>
      </c>
      <c r="G10">
        <v>-2178.7327849999901</v>
      </c>
    </row>
    <row r="11" spans="1:7" x14ac:dyDescent="0.2">
      <c r="A11" t="s">
        <v>65</v>
      </c>
      <c r="B11" t="s">
        <v>59</v>
      </c>
      <c r="C11">
        <v>34.626940449350101</v>
      </c>
      <c r="D11">
        <v>44.934775449999997</v>
      </c>
      <c r="E11">
        <v>177.71870544999899</v>
      </c>
      <c r="F11">
        <v>3462.6940450000102</v>
      </c>
      <c r="G11">
        <v>13852737.2037799</v>
      </c>
    </row>
    <row r="12" spans="1:7" x14ac:dyDescent="0.2">
      <c r="A12" t="s">
        <v>66</v>
      </c>
      <c r="B12" t="s">
        <v>59</v>
      </c>
      <c r="C12">
        <v>558.895000005253</v>
      </c>
      <c r="D12">
        <v>563.02830961756899</v>
      </c>
      <c r="E12">
        <v>1742.04927766377</v>
      </c>
      <c r="F12">
        <v>52275.388189815101</v>
      </c>
      <c r="G12">
        <v>168322427.55512899</v>
      </c>
    </row>
    <row r="13" spans="1:7" x14ac:dyDescent="0.2">
      <c r="A13" t="s">
        <v>67</v>
      </c>
      <c r="B13" t="s">
        <v>56</v>
      </c>
      <c r="C13">
        <v>-1031926.6202999901</v>
      </c>
      <c r="D13">
        <v>-660501.970557775</v>
      </c>
      <c r="E13">
        <v>-769993.843959825</v>
      </c>
      <c r="F13">
        <v>-221929.77743749999</v>
      </c>
      <c r="G13">
        <v>-2905.8385140400101</v>
      </c>
    </row>
    <row r="14" spans="1:7" x14ac:dyDescent="0.2">
      <c r="A14" t="s">
        <v>68</v>
      </c>
      <c r="B14" t="s">
        <v>59</v>
      </c>
      <c r="C14">
        <v>25932316.001499798</v>
      </c>
      <c r="D14">
        <v>16598414.5288649</v>
      </c>
      <c r="E14">
        <v>19349945.260584999</v>
      </c>
      <c r="F14">
        <v>5577095.29974999</v>
      </c>
      <c r="G14">
        <v>73023.722478000403</v>
      </c>
    </row>
    <row r="15" spans="1:7" x14ac:dyDescent="0.2">
      <c r="A15" t="s">
        <v>69</v>
      </c>
      <c r="B15" t="s">
        <v>54</v>
      </c>
      <c r="C15">
        <v>-21724460.112</v>
      </c>
      <c r="D15">
        <v>-13905115.043999899</v>
      </c>
      <c r="E15">
        <v>-16210158.371999901</v>
      </c>
      <c r="F15">
        <v>-4675033.2959999703</v>
      </c>
      <c r="G15">
        <v>-11664283.83</v>
      </c>
    </row>
    <row r="16" spans="1:7" x14ac:dyDescent="0.2">
      <c r="A16" t="s">
        <v>70</v>
      </c>
      <c r="B16" t="s">
        <v>54</v>
      </c>
      <c r="C16">
        <v>-17932465.475999899</v>
      </c>
      <c r="D16">
        <v>-11477983.5959999</v>
      </c>
      <c r="E16">
        <v>-13380682.752</v>
      </c>
      <c r="F16">
        <v>-3859008.5046000001</v>
      </c>
      <c r="G16">
        <v>-9628288.1340000108</v>
      </c>
    </row>
    <row r="17" spans="1:7" x14ac:dyDescent="0.2">
      <c r="A17" t="s">
        <v>71</v>
      </c>
      <c r="B17" t="s">
        <v>56</v>
      </c>
      <c r="C17">
        <v>1045068</v>
      </c>
      <c r="D17">
        <v>673644</v>
      </c>
      <c r="E17">
        <v>783144</v>
      </c>
      <c r="F17">
        <v>228636</v>
      </c>
      <c r="G17">
        <v>560640</v>
      </c>
    </row>
    <row r="19" spans="1:7" x14ac:dyDescent="0.2">
      <c r="A19" t="s">
        <v>72</v>
      </c>
      <c r="B19" t="str">
        <f>C1</f>
        <v>Braidwood</v>
      </c>
      <c r="C19" t="str">
        <f>D1</f>
        <v>Cooper</v>
      </c>
      <c r="D19" t="str">
        <f>E1</f>
        <v>Davis-Besse</v>
      </c>
      <c r="E19" t="str">
        <f>F1</f>
        <v>Prairie-Island</v>
      </c>
      <c r="F19" t="str">
        <f>G1</f>
        <v>South Texas Project</v>
      </c>
    </row>
    <row r="20" spans="1:7" x14ac:dyDescent="0.2">
      <c r="A20" t="s">
        <v>49</v>
      </c>
    </row>
    <row r="21" spans="1:7" x14ac:dyDescent="0.2">
      <c r="A21" t="s">
        <v>50</v>
      </c>
    </row>
    <row r="22" spans="1:7" x14ac:dyDescent="0.2">
      <c r="A22" t="s">
        <v>73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AE6"/>
  <sheetViews>
    <sheetView workbookViewId="0">
      <selection activeCell="C2" sqref="C2"/>
    </sheetView>
  </sheetViews>
  <sheetFormatPr baseColWidth="10" defaultColWidth="8.83203125" defaultRowHeight="16" x14ac:dyDescent="0.2"/>
  <cols>
    <col min="1" max="1" width="23" bestFit="1" customWidth="1"/>
    <col min="15" max="15" width="18.5" customWidth="1"/>
  </cols>
  <sheetData>
    <row r="1" spans="1:31" x14ac:dyDescent="0.2">
      <c r="A1" s="16" t="s">
        <v>74</v>
      </c>
      <c r="B1" t="s">
        <v>75</v>
      </c>
      <c r="C1" t="s">
        <v>76</v>
      </c>
      <c r="D1" t="s">
        <v>77</v>
      </c>
      <c r="E1" t="s">
        <v>78</v>
      </c>
      <c r="F1" t="s">
        <v>79</v>
      </c>
      <c r="G1" t="s">
        <v>80</v>
      </c>
      <c r="H1" t="s">
        <v>81</v>
      </c>
      <c r="I1" t="s">
        <v>82</v>
      </c>
      <c r="J1" t="s">
        <v>83</v>
      </c>
      <c r="K1" t="s">
        <v>159</v>
      </c>
      <c r="L1" t="s">
        <v>160</v>
      </c>
      <c r="M1" t="s">
        <v>84</v>
      </c>
      <c r="N1" t="s">
        <v>85</v>
      </c>
      <c r="O1" t="s">
        <v>86</v>
      </c>
      <c r="P1" t="s">
        <v>87</v>
      </c>
      <c r="Q1" t="s">
        <v>88</v>
      </c>
      <c r="R1" t="s">
        <v>89</v>
      </c>
      <c r="S1" t="s">
        <v>90</v>
      </c>
      <c r="T1" t="s">
        <v>91</v>
      </c>
      <c r="U1" t="s">
        <v>92</v>
      </c>
      <c r="V1" t="s">
        <v>93</v>
      </c>
      <c r="W1" t="s">
        <v>94</v>
      </c>
      <c r="X1" t="s">
        <v>95</v>
      </c>
      <c r="Y1" t="s">
        <v>96</v>
      </c>
      <c r="Z1" t="s">
        <v>97</v>
      </c>
      <c r="AA1" t="s">
        <v>99</v>
      </c>
      <c r="AB1" t="s">
        <v>102</v>
      </c>
      <c r="AC1" t="s">
        <v>100</v>
      </c>
      <c r="AD1" t="s">
        <v>98</v>
      </c>
      <c r="AE1" t="s">
        <v>101</v>
      </c>
    </row>
    <row r="2" spans="1:31" x14ac:dyDescent="0.2">
      <c r="A2" s="16" t="s">
        <v>107</v>
      </c>
      <c r="B2">
        <v>1193</v>
      </c>
      <c r="C2">
        <v>-985</v>
      </c>
      <c r="D2">
        <v>-24756</v>
      </c>
      <c r="E2">
        <v>-14.9</v>
      </c>
      <c r="F2" s="18">
        <v>-9.9999999999999997E+199</v>
      </c>
      <c r="G2" s="18">
        <v>-9.9999999999999997E+199</v>
      </c>
      <c r="H2" s="18">
        <v>-9.9999999999999997E+199</v>
      </c>
      <c r="I2" s="18">
        <v>-9.9999999999999997E+199</v>
      </c>
      <c r="J2">
        <v>132030</v>
      </c>
      <c r="K2" s="18">
        <v>9.9999999999999997E+199</v>
      </c>
      <c r="L2" s="18">
        <v>-9.9999999999999997E+199</v>
      </c>
      <c r="M2" t="s">
        <v>104</v>
      </c>
      <c r="N2" t="s">
        <v>103</v>
      </c>
      <c r="O2" t="s">
        <v>105</v>
      </c>
      <c r="P2" t="s">
        <v>106</v>
      </c>
      <c r="Q2">
        <v>3077005381</v>
      </c>
      <c r="R2">
        <v>1250952.8899999999</v>
      </c>
      <c r="S2">
        <v>3076581548</v>
      </c>
      <c r="T2">
        <v>3078804133</v>
      </c>
      <c r="U2">
        <v>3076054296</v>
      </c>
      <c r="V2">
        <v>3076086510</v>
      </c>
      <c r="W2">
        <v>3078517620</v>
      </c>
      <c r="X2">
        <v>4</v>
      </c>
      <c r="Y2" s="18">
        <v>1560000000000</v>
      </c>
      <c r="Z2">
        <v>11</v>
      </c>
      <c r="AA2">
        <v>3.42925E-4</v>
      </c>
      <c r="AB2" s="18">
        <v>4.1299999999999998E-14</v>
      </c>
      <c r="AC2">
        <v>0.111107698</v>
      </c>
      <c r="AD2">
        <v>5.5555555999999999E-2</v>
      </c>
      <c r="AE2">
        <v>5.5555555999999999E-2</v>
      </c>
    </row>
    <row r="3" spans="1:31" x14ac:dyDescent="0.2">
      <c r="A3" s="16" t="s">
        <v>110</v>
      </c>
      <c r="B3">
        <v>769</v>
      </c>
      <c r="C3">
        <v>-680</v>
      </c>
      <c r="D3">
        <v>-17083</v>
      </c>
      <c r="E3">
        <v>-14.9</v>
      </c>
      <c r="F3" s="18">
        <v>-9.9999999999999997E+199</v>
      </c>
      <c r="G3" s="18">
        <v>-9.9999999999999997E+199</v>
      </c>
      <c r="H3" s="18">
        <v>-9.9999999999999997E+199</v>
      </c>
      <c r="I3" s="18">
        <v>-9.9999999999999997E+199</v>
      </c>
      <c r="J3">
        <v>10</v>
      </c>
      <c r="K3" s="18">
        <v>9.9999999999999997E+199</v>
      </c>
      <c r="L3" s="18">
        <v>-9.9999999999999997E+199</v>
      </c>
      <c r="M3" t="s">
        <v>104</v>
      </c>
      <c r="N3" t="s">
        <v>108</v>
      </c>
      <c r="O3" t="s">
        <v>109</v>
      </c>
      <c r="P3" t="s">
        <v>106</v>
      </c>
      <c r="Q3">
        <v>1819594437</v>
      </c>
      <c r="R3">
        <v>3395327.2560000001</v>
      </c>
      <c r="S3">
        <v>1821097713</v>
      </c>
      <c r="T3">
        <v>1821631815</v>
      </c>
      <c r="U3">
        <v>1814550504</v>
      </c>
      <c r="V3">
        <v>1815459647</v>
      </c>
      <c r="W3">
        <v>1821624639</v>
      </c>
      <c r="X3">
        <v>4</v>
      </c>
      <c r="Y3" s="18">
        <v>11500000000000</v>
      </c>
      <c r="Z3">
        <v>102</v>
      </c>
      <c r="AA3">
        <v>0.111360239</v>
      </c>
      <c r="AB3">
        <v>0.111111111</v>
      </c>
      <c r="AC3">
        <v>5.5554106999999998E-2</v>
      </c>
      <c r="AD3" s="18">
        <v>2.79E-14</v>
      </c>
      <c r="AE3">
        <v>6.8739099999999998E-4</v>
      </c>
    </row>
    <row r="4" spans="1:31" x14ac:dyDescent="0.2">
      <c r="A4" s="16" t="s">
        <v>113</v>
      </c>
      <c r="B4">
        <v>894</v>
      </c>
      <c r="C4">
        <v>-879</v>
      </c>
      <c r="D4">
        <v>-22092</v>
      </c>
      <c r="E4">
        <v>-14.9</v>
      </c>
      <c r="F4" s="18">
        <v>-9.9999999999999997E+199</v>
      </c>
      <c r="G4" s="18">
        <v>-9.9999999999999997E+199</v>
      </c>
      <c r="H4" s="18">
        <v>-9.9999999999999997E+199</v>
      </c>
      <c r="I4" s="18">
        <v>-9.9999999999999997E+199</v>
      </c>
      <c r="J4">
        <v>117823</v>
      </c>
      <c r="K4" s="18">
        <v>9.9999999999999997E+199</v>
      </c>
      <c r="L4" s="18">
        <v>-9.9999999999999997E+199</v>
      </c>
      <c r="M4" t="s">
        <v>104</v>
      </c>
      <c r="N4" t="s">
        <v>111</v>
      </c>
      <c r="O4" t="s">
        <v>112</v>
      </c>
      <c r="P4" t="s">
        <v>106</v>
      </c>
      <c r="Q4">
        <v>2309967026</v>
      </c>
      <c r="R4">
        <v>24662.697619999999</v>
      </c>
      <c r="S4">
        <v>2309974733</v>
      </c>
      <c r="T4">
        <v>2309985767</v>
      </c>
      <c r="U4">
        <v>2309932869</v>
      </c>
      <c r="V4">
        <v>2309937694</v>
      </c>
      <c r="W4">
        <v>2309985566</v>
      </c>
      <c r="X4">
        <v>4</v>
      </c>
      <c r="Y4">
        <v>608248654</v>
      </c>
      <c r="Z4">
        <v>5.5555555999999999E-2</v>
      </c>
      <c r="AA4">
        <v>5.5415617E-2</v>
      </c>
      <c r="AB4">
        <v>3.42061E-4</v>
      </c>
      <c r="AC4">
        <v>0.111107549</v>
      </c>
      <c r="AD4">
        <v>11</v>
      </c>
      <c r="AE4" s="18">
        <v>5.9499999999999999E-14</v>
      </c>
    </row>
    <row r="5" spans="1:31" x14ac:dyDescent="0.2">
      <c r="A5" s="16" t="s">
        <v>116</v>
      </c>
      <c r="B5">
        <v>522</v>
      </c>
      <c r="C5">
        <v>-507</v>
      </c>
      <c r="D5">
        <v>-12743</v>
      </c>
      <c r="E5">
        <v>-14.9</v>
      </c>
      <c r="F5" s="18">
        <v>-9.9999999999999997E+199</v>
      </c>
      <c r="G5" s="18">
        <v>-9.9999999999999997E+199</v>
      </c>
      <c r="H5" s="18">
        <v>-9.9999999999999997E+199</v>
      </c>
      <c r="I5" s="18">
        <v>-9.9999999999999997E+199</v>
      </c>
      <c r="J5">
        <v>33982</v>
      </c>
      <c r="K5" s="18">
        <v>9.9999999999999997E+199</v>
      </c>
      <c r="L5" s="18">
        <v>-9.9999999999999997E+199</v>
      </c>
      <c r="M5" t="s">
        <v>104</v>
      </c>
      <c r="N5" t="s">
        <v>114</v>
      </c>
      <c r="O5" t="s">
        <v>115</v>
      </c>
      <c r="P5" t="s">
        <v>106</v>
      </c>
      <c r="Q5">
        <v>1172753941</v>
      </c>
      <c r="R5">
        <v>2016.5295349999999</v>
      </c>
      <c r="S5">
        <v>1172754138</v>
      </c>
      <c r="T5">
        <v>1172756136</v>
      </c>
      <c r="U5">
        <v>1172751353</v>
      </c>
      <c r="V5">
        <v>1172751688</v>
      </c>
      <c r="W5">
        <v>1172755919</v>
      </c>
      <c r="X5">
        <v>4</v>
      </c>
      <c r="Y5">
        <v>4066391.3670000001</v>
      </c>
      <c r="Z5">
        <v>5.5545076999999998E-2</v>
      </c>
      <c r="AA5">
        <v>5.5687203999999997E-2</v>
      </c>
      <c r="AB5" s="18">
        <v>7.3100000000000002E-13</v>
      </c>
      <c r="AC5">
        <v>11</v>
      </c>
      <c r="AD5">
        <v>3.4364500000000001E-4</v>
      </c>
      <c r="AE5">
        <v>0.111098577</v>
      </c>
    </row>
    <row r="6" spans="1:31" x14ac:dyDescent="0.2">
      <c r="A6" s="16" t="s">
        <v>119</v>
      </c>
      <c r="B6">
        <v>1280</v>
      </c>
      <c r="C6">
        <v>-985</v>
      </c>
      <c r="D6">
        <v>-22243</v>
      </c>
      <c r="E6">
        <v>-14.9</v>
      </c>
      <c r="F6" s="18">
        <v>-9.9999999999999997E+199</v>
      </c>
      <c r="G6" s="18">
        <v>-9.9999999999999997E+199</v>
      </c>
      <c r="H6" s="18">
        <v>-9.9999999999999997E+199</v>
      </c>
      <c r="I6" s="18">
        <v>-9.9999999999999997E+199</v>
      </c>
      <c r="J6">
        <v>10</v>
      </c>
      <c r="K6" s="18">
        <v>9.9999999999999997E+199</v>
      </c>
      <c r="L6" s="18">
        <v>-9.9999999999999997E+199</v>
      </c>
      <c r="M6" t="s">
        <v>104</v>
      </c>
      <c r="N6" t="s">
        <v>117</v>
      </c>
      <c r="O6" t="s">
        <v>118</v>
      </c>
      <c r="P6" t="s">
        <v>106</v>
      </c>
      <c r="Q6">
        <v>2519118573</v>
      </c>
      <c r="R6">
        <v>23615885.199999999</v>
      </c>
      <c r="S6">
        <v>2526298656</v>
      </c>
      <c r="T6">
        <v>2554257344</v>
      </c>
      <c r="U6">
        <v>2478346555</v>
      </c>
      <c r="V6">
        <v>2481978468</v>
      </c>
      <c r="W6">
        <v>2547880238</v>
      </c>
      <c r="X6">
        <v>10</v>
      </c>
      <c r="Y6" s="18">
        <v>558000000000000</v>
      </c>
      <c r="Z6" s="18">
        <v>5.9100000000000002E-15</v>
      </c>
      <c r="AA6">
        <v>5.5555555999999999E-2</v>
      </c>
      <c r="AB6">
        <v>5.5555040999999999E-2</v>
      </c>
      <c r="AC6">
        <v>101</v>
      </c>
      <c r="AD6">
        <v>3.42932E-4</v>
      </c>
      <c r="AE6">
        <v>0.111111111</v>
      </c>
    </row>
  </sheetData>
  <pageMargins left="0.75" right="0.75" top="1" bottom="1" header="0.5" footer="0.5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T23"/>
  <sheetViews>
    <sheetView workbookViewId="0">
      <selection activeCell="T44" sqref="T44"/>
    </sheetView>
  </sheetViews>
  <sheetFormatPr baseColWidth="10" defaultRowHeight="16" x14ac:dyDescent="0.2"/>
  <cols>
    <col min="1" max="1" width="16.83203125" bestFit="1" customWidth="1"/>
    <col min="2" max="2" width="11.83203125" bestFit="1" customWidth="1"/>
    <col min="3" max="3" width="11.1640625" bestFit="1" customWidth="1"/>
    <col min="5" max="5" width="11.1640625" bestFit="1" customWidth="1"/>
    <col min="6" max="6" width="12.5" bestFit="1" customWidth="1"/>
  </cols>
  <sheetData>
    <row r="1" spans="1:20" x14ac:dyDescent="0.2">
      <c r="A1" t="s">
        <v>120</v>
      </c>
      <c r="B1" t="s">
        <v>121</v>
      </c>
      <c r="C1" t="s">
        <v>122</v>
      </c>
      <c r="D1" t="s">
        <v>123</v>
      </c>
      <c r="E1" t="s">
        <v>28</v>
      </c>
      <c r="F1" t="s">
        <v>124</v>
      </c>
      <c r="G1" t="s">
        <v>125</v>
      </c>
      <c r="J1" t="s">
        <v>28</v>
      </c>
      <c r="K1" t="s">
        <v>126</v>
      </c>
      <c r="L1" t="s">
        <v>127</v>
      </c>
      <c r="M1" t="s">
        <v>128</v>
      </c>
      <c r="N1" t="s">
        <v>129</v>
      </c>
      <c r="Q1" t="s">
        <v>28</v>
      </c>
      <c r="R1" t="s">
        <v>17</v>
      </c>
      <c r="S1" t="s">
        <v>126</v>
      </c>
      <c r="T1" t="s">
        <v>127</v>
      </c>
    </row>
    <row r="2" spans="1:20" x14ac:dyDescent="0.2">
      <c r="A2" t="s">
        <v>130</v>
      </c>
      <c r="B2">
        <v>2102483898.8800001</v>
      </c>
      <c r="C2">
        <v>10442175.4814</v>
      </c>
      <c r="D2" s="2">
        <f t="shared" ref="D2:D15" si="0">C2/B2</f>
        <v>4.966589987662964E-3</v>
      </c>
      <c r="E2">
        <f t="shared" ref="E2:E15" si="1">B2-$B$2</f>
        <v>0</v>
      </c>
      <c r="F2">
        <f t="shared" ref="F2:F15" si="2">SQRT(POWER($C$2,2)+POWER(C2,2))</f>
        <v>14767466.186475683</v>
      </c>
      <c r="G2" s="2" t="e">
        <f t="shared" ref="G2:G15" si="3">F2/E2</f>
        <v>#DIV/0!</v>
      </c>
      <c r="J2" t="s">
        <v>131</v>
      </c>
      <c r="K2">
        <v>972148741.11999989</v>
      </c>
      <c r="L2">
        <v>1639645614.76</v>
      </c>
      <c r="M2">
        <v>10442175.50429886</v>
      </c>
      <c r="N2">
        <v>10442175.570933471</v>
      </c>
      <c r="Q2" t="s">
        <v>48</v>
      </c>
      <c r="R2" t="s">
        <v>157</v>
      </c>
      <c r="S2">
        <v>-961918169.88000011</v>
      </c>
      <c r="T2">
        <v>827867987.11999989</v>
      </c>
    </row>
    <row r="3" spans="1:20" x14ac:dyDescent="0.2">
      <c r="A3" t="s">
        <v>132</v>
      </c>
      <c r="B3">
        <v>3129157077.0999999</v>
      </c>
      <c r="C3">
        <v>1225.80578418</v>
      </c>
      <c r="D3" s="2">
        <f t="shared" si="0"/>
        <v>3.9173673739511875E-7</v>
      </c>
      <c r="E3">
        <f t="shared" si="1"/>
        <v>1026673178.2199998</v>
      </c>
      <c r="F3">
        <f t="shared" si="2"/>
        <v>10442175.553348601</v>
      </c>
      <c r="G3" s="2">
        <f t="shared" si="3"/>
        <v>1.0170885706250531E-2</v>
      </c>
      <c r="J3" t="s">
        <v>133</v>
      </c>
      <c r="K3">
        <v>1535805611.8199999</v>
      </c>
      <c r="L3">
        <v>1075987720.1199999</v>
      </c>
      <c r="M3">
        <v>10442175.53528142</v>
      </c>
      <c r="N3">
        <v>10442175.557708761</v>
      </c>
      <c r="Q3" t="s">
        <v>48</v>
      </c>
      <c r="R3" t="s">
        <v>158</v>
      </c>
      <c r="S3">
        <v>-961918169.88000011</v>
      </c>
      <c r="T3">
        <v>827867987.11999989</v>
      </c>
    </row>
    <row r="4" spans="1:20" x14ac:dyDescent="0.2">
      <c r="A4" t="s">
        <v>134</v>
      </c>
      <c r="B4">
        <v>3074632640</v>
      </c>
      <c r="C4">
        <v>691.54022039999995</v>
      </c>
      <c r="D4" s="2">
        <f t="shared" si="0"/>
        <v>2.2491799878895449E-7</v>
      </c>
      <c r="E4">
        <f t="shared" si="1"/>
        <v>972148741.11999989</v>
      </c>
      <c r="F4">
        <f t="shared" si="2"/>
        <v>10442175.504298862</v>
      </c>
      <c r="G4" s="2">
        <f t="shared" si="3"/>
        <v>1.0741335212005283E-2</v>
      </c>
      <c r="J4" t="s">
        <v>135</v>
      </c>
      <c r="K4">
        <v>895251155.11999989</v>
      </c>
      <c r="L4">
        <v>484608226.83999968</v>
      </c>
      <c r="M4">
        <v>10442175.492559889</v>
      </c>
      <c r="N4">
        <v>10442175.505490299</v>
      </c>
      <c r="Q4" t="s">
        <v>135</v>
      </c>
      <c r="R4" t="s">
        <v>157</v>
      </c>
      <c r="S4">
        <v>895251155.11999989</v>
      </c>
      <c r="T4">
        <v>484608226.83999968</v>
      </c>
    </row>
    <row r="5" spans="1:20" x14ac:dyDescent="0.2">
      <c r="A5" t="s">
        <v>136</v>
      </c>
      <c r="B5">
        <v>3742129513.6399999</v>
      </c>
      <c r="C5">
        <v>1367.4239876199999</v>
      </c>
      <c r="D5" s="2">
        <f t="shared" si="0"/>
        <v>3.6541332485574381E-7</v>
      </c>
      <c r="E5">
        <f t="shared" si="1"/>
        <v>1639645614.7599998</v>
      </c>
      <c r="F5">
        <f t="shared" si="2"/>
        <v>10442175.570933467</v>
      </c>
      <c r="G5" s="2">
        <f t="shared" si="3"/>
        <v>6.3685563983665594E-3</v>
      </c>
      <c r="J5" t="s">
        <v>137</v>
      </c>
      <c r="K5">
        <v>1488604013.21</v>
      </c>
      <c r="L5">
        <v>1123191151.1199999</v>
      </c>
      <c r="M5">
        <v>10442175.53669204</v>
      </c>
      <c r="N5">
        <v>10442175.57572766</v>
      </c>
      <c r="Q5" t="s">
        <v>135</v>
      </c>
      <c r="R5" t="s">
        <v>158</v>
      </c>
      <c r="S5">
        <v>895251155.11999989</v>
      </c>
      <c r="T5">
        <v>484608226.83999968</v>
      </c>
    </row>
    <row r="6" spans="1:20" x14ac:dyDescent="0.2">
      <c r="A6" t="s">
        <v>138</v>
      </c>
      <c r="B6">
        <v>3336092227.0700002</v>
      </c>
      <c r="C6">
        <v>1060.7914330000001</v>
      </c>
      <c r="D6" s="2">
        <f t="shared" si="0"/>
        <v>3.1797425274770192E-7</v>
      </c>
      <c r="E6">
        <f t="shared" si="1"/>
        <v>1233608328.1900001</v>
      </c>
      <c r="F6">
        <f t="shared" si="2"/>
        <v>10442175.535281418</v>
      </c>
      <c r="G6" s="2">
        <f t="shared" si="3"/>
        <v>8.4647414391264691E-3</v>
      </c>
      <c r="J6" t="s">
        <v>48</v>
      </c>
      <c r="K6">
        <v>-961918169.88000011</v>
      </c>
      <c r="L6">
        <v>827867987.11999989</v>
      </c>
      <c r="M6">
        <v>14134206.02960966</v>
      </c>
      <c r="N6">
        <v>10442175.528010551</v>
      </c>
      <c r="Q6" t="s">
        <v>131</v>
      </c>
      <c r="R6" t="s">
        <v>157</v>
      </c>
      <c r="S6">
        <v>972148741.11999989</v>
      </c>
      <c r="T6">
        <v>1639645614.7599998</v>
      </c>
    </row>
    <row r="7" spans="1:20" x14ac:dyDescent="0.2">
      <c r="A7" t="s">
        <v>139</v>
      </c>
      <c r="B7">
        <v>2927999270.48</v>
      </c>
      <c r="C7">
        <v>1262.40202</v>
      </c>
      <c r="D7" s="2">
        <f t="shared" si="0"/>
        <v>4.3114833829622124E-7</v>
      </c>
      <c r="E7">
        <f t="shared" si="1"/>
        <v>825515371.5999999</v>
      </c>
      <c r="F7">
        <f t="shared" si="2"/>
        <v>10442175.557708757</v>
      </c>
      <c r="G7" s="2">
        <f t="shared" si="3"/>
        <v>1.2649280579076208E-2</v>
      </c>
      <c r="Q7" t="s">
        <v>131</v>
      </c>
      <c r="R7" t="s">
        <v>158</v>
      </c>
      <c r="S7">
        <v>972148741.11999989</v>
      </c>
      <c r="T7">
        <v>1639645614.7599998</v>
      </c>
    </row>
    <row r="8" spans="1:20" x14ac:dyDescent="0.2">
      <c r="A8" t="s">
        <v>140</v>
      </c>
      <c r="B8">
        <v>2997735054</v>
      </c>
      <c r="C8">
        <v>482.77015799999998</v>
      </c>
      <c r="D8" s="2">
        <f t="shared" si="0"/>
        <v>1.6104497205509208E-7</v>
      </c>
      <c r="E8">
        <f t="shared" si="1"/>
        <v>895251155.11999989</v>
      </c>
      <c r="F8">
        <f t="shared" si="2"/>
        <v>10442175.492559887</v>
      </c>
      <c r="G8" s="2">
        <f t="shared" si="3"/>
        <v>1.1663962043322037E-2</v>
      </c>
      <c r="Q8" t="s">
        <v>133</v>
      </c>
      <c r="R8" t="s">
        <v>157</v>
      </c>
      <c r="S8">
        <v>1535805611.8199997</v>
      </c>
      <c r="T8">
        <v>1075987720.1199999</v>
      </c>
    </row>
    <row r="9" spans="1:20" x14ac:dyDescent="0.2">
      <c r="A9" t="s">
        <v>141</v>
      </c>
      <c r="B9">
        <v>2587092125.7199998</v>
      </c>
      <c r="C9">
        <v>709.30261971000004</v>
      </c>
      <c r="D9" s="2">
        <f t="shared" si="0"/>
        <v>2.7416983440920093E-7</v>
      </c>
      <c r="E9">
        <f t="shared" si="1"/>
        <v>484608226.83999968</v>
      </c>
      <c r="F9">
        <f t="shared" si="2"/>
        <v>10442175.505490296</v>
      </c>
      <c r="G9" s="2">
        <f t="shared" si="3"/>
        <v>2.154766454044935E-2</v>
      </c>
      <c r="Q9" t="s">
        <v>133</v>
      </c>
      <c r="R9" t="s">
        <v>158</v>
      </c>
      <c r="S9">
        <v>1535805611.8199997</v>
      </c>
      <c r="T9">
        <v>1075987720.1199999</v>
      </c>
    </row>
    <row r="10" spans="1:20" x14ac:dyDescent="0.2">
      <c r="A10" t="s">
        <v>142</v>
      </c>
      <c r="B10">
        <v>3591087912.0900002</v>
      </c>
      <c r="C10">
        <v>1074.5875776299999</v>
      </c>
      <c r="D10" s="2">
        <f t="shared" si="0"/>
        <v>2.9923733529669949E-7</v>
      </c>
      <c r="E10">
        <f t="shared" si="1"/>
        <v>1488604013.21</v>
      </c>
      <c r="F10">
        <f t="shared" si="2"/>
        <v>10442175.536692044</v>
      </c>
      <c r="G10" s="2">
        <f t="shared" si="3"/>
        <v>7.0147436417121543E-3</v>
      </c>
      <c r="Q10" t="s">
        <v>137</v>
      </c>
      <c r="R10" t="s">
        <v>157</v>
      </c>
      <c r="S10">
        <v>1488604013.21</v>
      </c>
      <c r="T10">
        <v>1123191151.1199999</v>
      </c>
    </row>
    <row r="11" spans="1:20" x14ac:dyDescent="0.2">
      <c r="A11" t="s">
        <v>143</v>
      </c>
      <c r="B11">
        <v>3225675050</v>
      </c>
      <c r="C11">
        <v>1403.5568800000001</v>
      </c>
      <c r="D11" s="2">
        <f t="shared" si="0"/>
        <v>4.3512035721019082E-7</v>
      </c>
      <c r="E11">
        <f t="shared" si="1"/>
        <v>1123191151.1199999</v>
      </c>
      <c r="F11">
        <f t="shared" si="2"/>
        <v>10442175.575727658</v>
      </c>
      <c r="G11" s="2">
        <f t="shared" si="3"/>
        <v>9.2968819824792524E-3</v>
      </c>
      <c r="Q11" t="s">
        <v>137</v>
      </c>
      <c r="R11" t="s">
        <v>158</v>
      </c>
      <c r="S11">
        <v>1488604013.21</v>
      </c>
      <c r="T11">
        <v>1123191151.1199999</v>
      </c>
    </row>
    <row r="12" spans="1:20" x14ac:dyDescent="0.2">
      <c r="A12" t="s">
        <v>144</v>
      </c>
      <c r="B12">
        <v>1140565729</v>
      </c>
      <c r="C12">
        <v>9525584.0399999991</v>
      </c>
      <c r="D12" s="2">
        <f t="shared" si="0"/>
        <v>8.3516309475225332E-3</v>
      </c>
      <c r="E12">
        <f t="shared" si="1"/>
        <v>-961918169.88000011</v>
      </c>
      <c r="F12">
        <f t="shared" si="2"/>
        <v>14134206.029609658</v>
      </c>
      <c r="G12" s="2">
        <f t="shared" si="3"/>
        <v>-1.4693771749184141E-2</v>
      </c>
      <c r="Q12" t="s">
        <v>148</v>
      </c>
      <c r="R12" t="s">
        <v>157</v>
      </c>
      <c r="S12">
        <v>1305852886.8399997</v>
      </c>
      <c r="T12">
        <v>1305941269.1199999</v>
      </c>
    </row>
    <row r="13" spans="1:20" x14ac:dyDescent="0.2">
      <c r="A13" t="s">
        <v>145</v>
      </c>
      <c r="B13">
        <v>2930351886</v>
      </c>
      <c r="C13">
        <v>986.62616600000001</v>
      </c>
      <c r="D13" s="2">
        <f t="shared" si="0"/>
        <v>3.3669204395338617E-7</v>
      </c>
      <c r="E13">
        <f t="shared" si="1"/>
        <v>827867987.11999989</v>
      </c>
      <c r="F13">
        <f t="shared" si="2"/>
        <v>10442175.528010555</v>
      </c>
      <c r="G13" s="2">
        <f t="shared" si="3"/>
        <v>1.2613334119050742E-2</v>
      </c>
      <c r="Q13" t="s">
        <v>148</v>
      </c>
      <c r="R13" t="s">
        <v>158</v>
      </c>
      <c r="S13">
        <v>1305852886.8399997</v>
      </c>
      <c r="T13">
        <v>1305941269.1199999</v>
      </c>
    </row>
    <row r="14" spans="1:20" x14ac:dyDescent="0.2">
      <c r="A14" t="s">
        <v>146</v>
      </c>
      <c r="B14">
        <v>3408336785.7199998</v>
      </c>
      <c r="C14">
        <v>1283.9270959200001</v>
      </c>
      <c r="D14" s="2">
        <f t="shared" si="0"/>
        <v>3.7670194486040933E-7</v>
      </c>
      <c r="E14">
        <f t="shared" si="1"/>
        <v>1305852886.8399997</v>
      </c>
      <c r="F14">
        <f t="shared" si="2"/>
        <v>10442175.560333205</v>
      </c>
      <c r="G14" s="2">
        <f t="shared" si="3"/>
        <v>7.9964409969655627E-3</v>
      </c>
    </row>
    <row r="15" spans="1:20" x14ac:dyDescent="0.2">
      <c r="A15" t="s">
        <v>147</v>
      </c>
      <c r="B15">
        <v>3408425168</v>
      </c>
      <c r="C15">
        <v>637.67259850000005</v>
      </c>
      <c r="D15" s="2">
        <f t="shared" si="0"/>
        <v>1.8708716403305236E-7</v>
      </c>
      <c r="E15">
        <f t="shared" si="1"/>
        <v>1305941269.1199999</v>
      </c>
      <c r="F15">
        <f t="shared" si="2"/>
        <v>10442175.500870384</v>
      </c>
      <c r="G15" s="2">
        <f t="shared" si="3"/>
        <v>7.9958997757278751E-3</v>
      </c>
    </row>
    <row r="17" spans="1:5" x14ac:dyDescent="0.2">
      <c r="A17" t="s">
        <v>28</v>
      </c>
      <c r="B17" t="s">
        <v>126</v>
      </c>
      <c r="C17" t="s">
        <v>127</v>
      </c>
      <c r="D17" t="s">
        <v>128</v>
      </c>
      <c r="E17" t="s">
        <v>129</v>
      </c>
    </row>
    <row r="18" spans="1:5" x14ac:dyDescent="0.2">
      <c r="A18" t="s">
        <v>48</v>
      </c>
      <c r="B18">
        <f>E12</f>
        <v>-961918169.88000011</v>
      </c>
      <c r="C18">
        <f>E13</f>
        <v>827867987.11999989</v>
      </c>
      <c r="D18">
        <f>F12</f>
        <v>14134206.029609658</v>
      </c>
      <c r="E18">
        <f>F13</f>
        <v>10442175.528010555</v>
      </c>
    </row>
    <row r="19" spans="1:5" x14ac:dyDescent="0.2">
      <c r="A19" t="s">
        <v>135</v>
      </c>
      <c r="B19">
        <f>E8</f>
        <v>895251155.11999989</v>
      </c>
      <c r="C19">
        <f>E9</f>
        <v>484608226.83999968</v>
      </c>
      <c r="D19">
        <f>F8</f>
        <v>10442175.492559887</v>
      </c>
      <c r="E19">
        <f>F9</f>
        <v>10442175.505490296</v>
      </c>
    </row>
    <row r="20" spans="1:5" x14ac:dyDescent="0.2">
      <c r="A20" t="s">
        <v>131</v>
      </c>
      <c r="B20">
        <f>E4</f>
        <v>972148741.11999989</v>
      </c>
      <c r="C20">
        <f>E5</f>
        <v>1639645614.7599998</v>
      </c>
      <c r="D20">
        <f>F4</f>
        <v>10442175.504298862</v>
      </c>
      <c r="E20">
        <f>F5</f>
        <v>10442175.570933467</v>
      </c>
    </row>
    <row r="21" spans="1:5" x14ac:dyDescent="0.2">
      <c r="A21" t="s">
        <v>133</v>
      </c>
      <c r="B21">
        <f>E6</f>
        <v>1233608328.1900001</v>
      </c>
      <c r="C21">
        <f>E7</f>
        <v>825515371.5999999</v>
      </c>
      <c r="D21">
        <f>F6</f>
        <v>10442175.535281418</v>
      </c>
      <c r="E21">
        <f>F7</f>
        <v>10442175.557708757</v>
      </c>
    </row>
    <row r="22" spans="1:5" x14ac:dyDescent="0.2">
      <c r="A22" t="s">
        <v>137</v>
      </c>
      <c r="B22">
        <f>E10</f>
        <v>1488604013.21</v>
      </c>
      <c r="C22">
        <f>E11</f>
        <v>1123191151.1199999</v>
      </c>
      <c r="D22">
        <f>F10</f>
        <v>10442175.536692044</v>
      </c>
      <c r="E22">
        <f>F11</f>
        <v>10442175.575727658</v>
      </c>
    </row>
    <row r="23" spans="1:5" x14ac:dyDescent="0.2">
      <c r="A23" t="s">
        <v>148</v>
      </c>
      <c r="B23">
        <f>E14</f>
        <v>1305852886.8399997</v>
      </c>
      <c r="C23">
        <f>E15</f>
        <v>1305941269.1199999</v>
      </c>
      <c r="D23">
        <f>F14</f>
        <v>10442175.560333205</v>
      </c>
      <c r="E23">
        <f>F15</f>
        <v>10442175.500870384</v>
      </c>
    </row>
  </sheetData>
  <pageMargins left="0.7" right="0.7" top="0.75" bottom="0.75" header="0.3" footer="0.3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F13"/>
  <sheetViews>
    <sheetView workbookViewId="0">
      <selection activeCell="S25" sqref="S25"/>
    </sheetView>
  </sheetViews>
  <sheetFormatPr baseColWidth="10" defaultRowHeight="16" x14ac:dyDescent="0.2"/>
  <cols>
    <col min="4" max="4" width="11.1640625" bestFit="1" customWidth="1"/>
  </cols>
  <sheetData>
    <row r="1" spans="1:6" x14ac:dyDescent="0.2">
      <c r="A1" t="s">
        <v>120</v>
      </c>
      <c r="B1" t="s">
        <v>121</v>
      </c>
      <c r="C1" t="s">
        <v>122</v>
      </c>
    </row>
    <row r="2" spans="1:6" x14ac:dyDescent="0.2">
      <c r="A2" t="s">
        <v>130</v>
      </c>
      <c r="B2">
        <v>2102483898.8800001</v>
      </c>
      <c r="C2">
        <v>10442175.4814</v>
      </c>
    </row>
    <row r="4" spans="1:6" x14ac:dyDescent="0.2">
      <c r="A4" t="s">
        <v>120</v>
      </c>
      <c r="B4" t="s">
        <v>121</v>
      </c>
      <c r="C4" t="s">
        <v>122</v>
      </c>
      <c r="D4" t="s">
        <v>28</v>
      </c>
      <c r="E4" t="s">
        <v>149</v>
      </c>
      <c r="F4" t="s">
        <v>150</v>
      </c>
    </row>
    <row r="5" spans="1:6" x14ac:dyDescent="0.2">
      <c r="A5" t="s">
        <v>151</v>
      </c>
      <c r="B5">
        <v>3408381162.0100002</v>
      </c>
      <c r="C5">
        <v>1225.80578418</v>
      </c>
      <c r="D5">
        <f>B5-B$2</f>
        <v>1305897263.1300001</v>
      </c>
      <c r="E5">
        <f>SQRT(POWER(C5,2)+POWER(C$2,2))</f>
        <v>10442175.553348601</v>
      </c>
      <c r="F5">
        <v>3</v>
      </c>
    </row>
    <row r="6" spans="1:6" x14ac:dyDescent="0.2">
      <c r="A6" t="s">
        <v>152</v>
      </c>
      <c r="B6">
        <v>610618098.39999998</v>
      </c>
      <c r="C6">
        <v>7424999.5140000004</v>
      </c>
      <c r="D6">
        <f>B6-B$2</f>
        <v>-1491865800.48</v>
      </c>
      <c r="E6">
        <f>SQRT(POWER(C6,2)+POWER(C$2,2))</f>
        <v>12812870.348491456</v>
      </c>
      <c r="F6">
        <v>0</v>
      </c>
    </row>
    <row r="7" spans="1:6" x14ac:dyDescent="0.2">
      <c r="A7" t="s">
        <v>153</v>
      </c>
      <c r="B7">
        <v>1140565729</v>
      </c>
      <c r="C7">
        <v>9525584.0399999991</v>
      </c>
      <c r="D7">
        <f>B7-B$2</f>
        <v>-961918169.88000011</v>
      </c>
      <c r="E7">
        <f>SQRT(POWER(C7,2)+POWER(C$2,2))</f>
        <v>14134206.029609658</v>
      </c>
      <c r="F7">
        <v>1</v>
      </c>
    </row>
    <row r="8" spans="1:6" x14ac:dyDescent="0.2">
      <c r="A8" t="s">
        <v>154</v>
      </c>
      <c r="B8">
        <v>2930351886</v>
      </c>
      <c r="C8">
        <v>986.62616600000001</v>
      </c>
      <c r="D8">
        <f>B8-B$2</f>
        <v>827867987.11999989</v>
      </c>
      <c r="E8">
        <f>SQRT(POWER(C8,2)+POWER(C$2,2))</f>
        <v>10442175.528010555</v>
      </c>
      <c r="F8">
        <v>2.7</v>
      </c>
    </row>
    <row r="10" spans="1:6" x14ac:dyDescent="0.2">
      <c r="A10" t="s">
        <v>155</v>
      </c>
      <c r="B10" t="s">
        <v>156</v>
      </c>
    </row>
    <row r="11" spans="1:6" x14ac:dyDescent="0.2">
      <c r="A11" s="5">
        <f>(F6-$F$5)/$F$5</f>
        <v>-1</v>
      </c>
      <c r="B11" s="5">
        <f>(D6-$D$5)/$D$5</f>
        <v>-2.142406713453298</v>
      </c>
    </row>
    <row r="12" spans="1:6" x14ac:dyDescent="0.2">
      <c r="A12" s="5">
        <f>(F7-$F$5)/$F$5</f>
        <v>-0.66666666666666663</v>
      </c>
      <c r="B12" s="5">
        <f>(D7-$D$5)/$D$5</f>
        <v>-1.7365955937256932</v>
      </c>
    </row>
    <row r="13" spans="1:6" x14ac:dyDescent="0.2">
      <c r="A13" s="5">
        <f>(F8-$F$5)/$F$5</f>
        <v>-9.9999999999999936E-2</v>
      </c>
      <c r="B13" s="5">
        <f>(D8-$D$5)/$D$5</f>
        <v>-0.36605427509990357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arma validation</vt:lpstr>
      <vt:lpstr>cases</vt:lpstr>
      <vt:lpstr>cashflow_comparison</vt:lpstr>
      <vt:lpstr>tallies</vt:lpstr>
      <vt:lpstr>data</vt:lpstr>
      <vt:lpstr>braidwood_SA</vt:lpstr>
      <vt:lpstr>braidwood_h2ptc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2022-12-13T16:15:26Z</dcterms:created>
  <dcterms:modified xsi:type="dcterms:W3CDTF">2023-07-20T13:47:59Z</dcterms:modified>
</cp:coreProperties>
</file>