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m/FORCE/use_cases/SMR_MeOH_2023/data/"/>
    </mc:Choice>
  </mc:AlternateContent>
  <xr:revisionPtr revIDLastSave="0" documentId="13_ncr:1_{2B586A3F-9B4D-F242-B120-714A7E4D5914}" xr6:coauthVersionLast="47" xr6:coauthVersionMax="47" xr10:uidLastSave="{00000000-0000-0000-0000-000000000000}"/>
  <bookViews>
    <workbookView xWindow="35840" yWindow="0" windowWidth="38400" windowHeight="24000" activeTab="6" xr2:uid="{3CE7F202-39F9-48AF-B0C7-575379157397}"/>
  </bookViews>
  <sheets>
    <sheet name="SMR" sheetId="13" r:id="rId1"/>
    <sheet name="Boundaries_5steps" sheetId="24" r:id="rId2"/>
    <sheet name="Boundaries_6steps" sheetId="23" r:id="rId3"/>
    <sheet name="Boundaries_7steps" sheetId="22" r:id="rId4"/>
    <sheet name="Boundaries_8steps" sheetId="21" r:id="rId5"/>
    <sheet name="40_MWe" sheetId="25" r:id="rId6"/>
    <sheet name="80_MWe" sheetId="26" r:id="rId7"/>
    <sheet name="Boundaries" sheetId="10" r:id="rId8"/>
    <sheet name="HTSE_steps" sheetId="18" r:id="rId9"/>
    <sheet name="MeOH_steps" sheetId="19" r:id="rId10"/>
    <sheet name="storage_steps" sheetId="20" r:id="rId11"/>
    <sheet name="PTC vs. ITC" sheetId="14" r:id="rId12"/>
    <sheet name="MACRS" sheetId="1" r:id="rId13"/>
    <sheet name="HTSE" sheetId="2" r:id="rId14"/>
    <sheet name="MeOH" sheetId="16" r:id="rId15"/>
    <sheet name="MeOH_original_data" sheetId="17" r:id="rId16"/>
    <sheet name="Capacity_Market" sheetId="3" r:id="rId17"/>
    <sheet name="Tax rates" sheetId="12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26" l="1"/>
  <c r="C5" i="26"/>
  <c r="C6" i="26"/>
  <c r="C7" i="26"/>
  <c r="C8" i="26"/>
  <c r="C9" i="26"/>
  <c r="C3" i="26"/>
  <c r="C4" i="25"/>
  <c r="C5" i="25"/>
  <c r="C6" i="25"/>
  <c r="C7" i="25"/>
  <c r="C8" i="25"/>
  <c r="C9" i="25"/>
  <c r="C3" i="25"/>
  <c r="B3" i="26"/>
  <c r="B4" i="26"/>
  <c r="B5" i="26"/>
  <c r="B6" i="26"/>
  <c r="B7" i="26"/>
  <c r="B8" i="26"/>
  <c r="B9" i="26"/>
  <c r="B2" i="26"/>
  <c r="A3" i="26"/>
  <c r="A4" i="26"/>
  <c r="A5" i="26"/>
  <c r="A6" i="26"/>
  <c r="A7" i="26"/>
  <c r="A8" i="26"/>
  <c r="A9" i="26"/>
  <c r="A2" i="26"/>
  <c r="B16" i="10"/>
  <c r="B15" i="10"/>
  <c r="G4" i="22"/>
  <c r="G5" i="22"/>
  <c r="G6" i="22"/>
  <c r="G7" i="22"/>
  <c r="G8" i="22"/>
  <c r="G3" i="22"/>
  <c r="F4" i="22"/>
  <c r="F5" i="22"/>
  <c r="F6" i="22"/>
  <c r="F7" i="22"/>
  <c r="F8" i="22"/>
  <c r="F3" i="22"/>
  <c r="E4" i="22"/>
  <c r="E5" i="22"/>
  <c r="E6" i="22"/>
  <c r="E7" i="22"/>
  <c r="E8" i="22"/>
  <c r="E3" i="22"/>
  <c r="D4" i="22"/>
  <c r="D5" i="22"/>
  <c r="D6" i="22"/>
  <c r="D7" i="22"/>
  <c r="D8" i="22"/>
  <c r="D3" i="22"/>
  <c r="G4" i="23"/>
  <c r="G5" i="23"/>
  <c r="G6" i="23"/>
  <c r="G7" i="23"/>
  <c r="G3" i="23"/>
  <c r="F4" i="23"/>
  <c r="F5" i="23"/>
  <c r="F6" i="23"/>
  <c r="F7" i="23"/>
  <c r="F3" i="23"/>
  <c r="E4" i="23"/>
  <c r="E5" i="23"/>
  <c r="E6" i="23"/>
  <c r="E7" i="23"/>
  <c r="E3" i="23"/>
  <c r="D4" i="23"/>
  <c r="D5" i="23"/>
  <c r="D6" i="23"/>
  <c r="D7" i="23"/>
  <c r="D3" i="23"/>
  <c r="G4" i="24"/>
  <c r="G5" i="24"/>
  <c r="G6" i="24"/>
  <c r="G3" i="24"/>
  <c r="F4" i="24"/>
  <c r="F5" i="24"/>
  <c r="F6" i="24"/>
  <c r="F3" i="24"/>
  <c r="E4" i="24"/>
  <c r="E5" i="24"/>
  <c r="E6" i="24"/>
  <c r="E3" i="24"/>
  <c r="D4" i="24"/>
  <c r="D5" i="24"/>
  <c r="D6" i="24"/>
  <c r="D3" i="24"/>
  <c r="G4" i="21"/>
  <c r="G5" i="21"/>
  <c r="G6" i="21"/>
  <c r="G7" i="21"/>
  <c r="G8" i="21"/>
  <c r="G9" i="21"/>
  <c r="F4" i="21"/>
  <c r="F5" i="21"/>
  <c r="F6" i="21"/>
  <c r="F7" i="21"/>
  <c r="F8" i="21"/>
  <c r="F9" i="21"/>
  <c r="E4" i="21"/>
  <c r="E5" i="21"/>
  <c r="E6" i="21"/>
  <c r="E7" i="21"/>
  <c r="E8" i="21"/>
  <c r="E9" i="21"/>
  <c r="D4" i="21"/>
  <c r="D5" i="21"/>
  <c r="D6" i="21"/>
  <c r="D7" i="21"/>
  <c r="D8" i="21"/>
  <c r="D9" i="21"/>
  <c r="G3" i="21"/>
  <c r="F3" i="21"/>
  <c r="E3" i="21"/>
  <c r="D3" i="21"/>
  <c r="C14" i="10"/>
  <c r="D42" i="16"/>
  <c r="C42" i="16"/>
  <c r="B42" i="16"/>
  <c r="B39" i="16"/>
  <c r="D36" i="16"/>
  <c r="C36" i="16"/>
  <c r="D35" i="16"/>
  <c r="C35" i="16"/>
  <c r="D34" i="16"/>
  <c r="C34" i="16"/>
  <c r="D27" i="16"/>
  <c r="C27" i="16"/>
  <c r="B27" i="16"/>
  <c r="D26" i="16"/>
  <c r="C26" i="16"/>
  <c r="B26" i="16"/>
  <c r="D25" i="16"/>
  <c r="I24" i="16" s="1"/>
  <c r="C25" i="16"/>
  <c r="H24" i="16" s="1"/>
  <c r="B25" i="16"/>
  <c r="G24" i="16" s="1"/>
  <c r="D23" i="16"/>
  <c r="C23" i="16"/>
  <c r="B23" i="16"/>
  <c r="D22" i="16"/>
  <c r="C22" i="16"/>
  <c r="H22" i="16" s="1"/>
  <c r="B22" i="16"/>
  <c r="G22" i="16" s="1"/>
  <c r="D21" i="16"/>
  <c r="I25" i="16" s="1"/>
  <c r="C21" i="16"/>
  <c r="C43" i="16" s="1"/>
  <c r="B21" i="16"/>
  <c r="B43" i="16" s="1"/>
  <c r="B44" i="16" s="1"/>
  <c r="D13" i="16"/>
  <c r="D8" i="16" s="1"/>
  <c r="C13" i="16"/>
  <c r="B13" i="16"/>
  <c r="D12" i="16"/>
  <c r="C12" i="16"/>
  <c r="B12" i="16"/>
  <c r="C8" i="16"/>
  <c r="B8" i="16"/>
  <c r="D6" i="16"/>
  <c r="C6" i="16"/>
  <c r="B6" i="16"/>
  <c r="D5" i="16"/>
  <c r="C5" i="16"/>
  <c r="B5" i="16"/>
  <c r="H26" i="16" l="1"/>
  <c r="I26" i="16"/>
  <c r="I22" i="16"/>
  <c r="G23" i="16"/>
  <c r="H23" i="16"/>
  <c r="I23" i="16"/>
  <c r="H25" i="16"/>
  <c r="G26" i="16"/>
  <c r="D43" i="16"/>
  <c r="G25" i="16"/>
  <c r="D9" i="14" l="1"/>
  <c r="D10" i="14"/>
  <c r="C9" i="14"/>
  <c r="C10" i="14" s="1"/>
  <c r="C44" i="10"/>
  <c r="D44" i="10"/>
  <c r="E44" i="10"/>
  <c r="F44" i="10"/>
  <c r="G44" i="10"/>
  <c r="H44" i="10"/>
  <c r="I44" i="10"/>
  <c r="J44" i="10"/>
  <c r="K44" i="10"/>
  <c r="B44" i="10"/>
  <c r="A45" i="10"/>
  <c r="E14" i="10"/>
  <c r="C15" i="10"/>
  <c r="C16" i="10"/>
  <c r="D14" i="10"/>
  <c r="A30" i="10"/>
  <c r="H33" i="10" s="1"/>
  <c r="A44" i="10" s="1"/>
  <c r="A24" i="10"/>
  <c r="D16" i="10"/>
  <c r="F16" i="10" s="1"/>
  <c r="I4" i="13"/>
  <c r="J4" i="13"/>
  <c r="K4" i="13"/>
  <c r="L4" i="13"/>
  <c r="H4" i="13"/>
  <c r="A38" i="10"/>
  <c r="A41" i="10" s="1"/>
  <c r="F33" i="10"/>
  <c r="A40" i="10" s="1"/>
  <c r="D33" i="10"/>
  <c r="D15" i="10"/>
  <c r="A29" i="10"/>
  <c r="A28" i="10"/>
  <c r="A23" i="10"/>
  <c r="A22" i="10"/>
  <c r="E3" i="12"/>
  <c r="E4" i="12"/>
  <c r="E5" i="12"/>
  <c r="E6" i="12"/>
  <c r="E7" i="12"/>
  <c r="E8" i="12"/>
  <c r="E2" i="12"/>
  <c r="B8" i="3"/>
  <c r="B4" i="2"/>
  <c r="F14" i="10" l="1"/>
  <c r="A8" i="22"/>
  <c r="A5" i="24"/>
  <c r="A3" i="21"/>
  <c r="A5" i="23"/>
  <c r="A7" i="22"/>
  <c r="A5" i="21"/>
  <c r="A6" i="22"/>
  <c r="A4" i="24"/>
  <c r="A5" i="22"/>
  <c r="A4" i="23"/>
  <c r="A6" i="23"/>
  <c r="A3" i="22"/>
  <c r="A4" i="21"/>
  <c r="A2" i="21"/>
  <c r="A3" i="24"/>
  <c r="A2" i="23"/>
  <c r="A3" i="23"/>
  <c r="A8" i="21"/>
  <c r="A2" i="22"/>
  <c r="A7" i="23"/>
  <c r="A6" i="24"/>
  <c r="B22" i="10"/>
  <c r="B2" i="18" s="1"/>
  <c r="A9" i="21"/>
  <c r="A7" i="21"/>
  <c r="A2" i="24"/>
  <c r="A6" i="21"/>
  <c r="A4" i="22"/>
  <c r="B2" i="23"/>
  <c r="B3" i="22"/>
  <c r="E35" i="10"/>
  <c r="B3" i="21"/>
  <c r="B4" i="22"/>
  <c r="B5" i="22"/>
  <c r="B7" i="22"/>
  <c r="B8" i="22"/>
  <c r="B2" i="22"/>
  <c r="B5" i="21"/>
  <c r="B3" i="23"/>
  <c r="B3" i="24"/>
  <c r="B4" i="23"/>
  <c r="B4" i="24"/>
  <c r="B7" i="21"/>
  <c r="B5" i="23"/>
  <c r="B5" i="24"/>
  <c r="B8" i="21"/>
  <c r="B4" i="21"/>
  <c r="B6" i="21"/>
  <c r="B6" i="23"/>
  <c r="B6" i="24"/>
  <c r="B9" i="21"/>
  <c r="B6" i="22"/>
  <c r="B7" i="23"/>
  <c r="B2" i="24"/>
  <c r="B2" i="21"/>
  <c r="A7" i="25"/>
  <c r="A3" i="25"/>
  <c r="A8" i="25"/>
  <c r="A9" i="25"/>
  <c r="A2" i="25"/>
  <c r="A6" i="25"/>
  <c r="A4" i="25"/>
  <c r="A5" i="25"/>
  <c r="B23" i="10"/>
  <c r="B3" i="18" s="1"/>
  <c r="B28" i="10"/>
  <c r="B2" i="19" s="1"/>
  <c r="F15" i="10"/>
  <c r="E15" i="10"/>
  <c r="C8" i="22" l="1"/>
  <c r="C5" i="22"/>
  <c r="C5" i="23"/>
  <c r="C6" i="23"/>
  <c r="C6" i="22"/>
  <c r="C4" i="21"/>
  <c r="C3" i="22"/>
  <c r="C7" i="22"/>
  <c r="C5" i="21"/>
  <c r="C6" i="21"/>
  <c r="C7" i="23"/>
  <c r="C7" i="21"/>
  <c r="C8" i="21"/>
  <c r="C9" i="21"/>
  <c r="C4" i="24"/>
  <c r="C5" i="24"/>
  <c r="C4" i="23"/>
  <c r="C3" i="21"/>
  <c r="C6" i="24"/>
  <c r="C3" i="23"/>
  <c r="C3" i="24"/>
  <c r="C4" i="22"/>
  <c r="C38" i="10"/>
  <c r="D2" i="20" s="1"/>
  <c r="B5" i="25"/>
  <c r="B8" i="25"/>
  <c r="G35" i="10"/>
  <c r="B7" i="25"/>
  <c r="B6" i="25"/>
  <c r="B2" i="25"/>
  <c r="B3" i="25"/>
  <c r="B4" i="25"/>
  <c r="B9" i="25"/>
  <c r="D10" i="20"/>
  <c r="E16" i="10"/>
  <c r="B24" i="10"/>
  <c r="B4" i="18" s="1"/>
  <c r="C24" i="10"/>
  <c r="C4" i="18" s="1"/>
  <c r="D24" i="10"/>
  <c r="D4" i="18" s="1"/>
  <c r="E24" i="10"/>
  <c r="E4" i="18" s="1"/>
  <c r="H24" i="10"/>
  <c r="H4" i="18" s="1"/>
  <c r="I24" i="10"/>
  <c r="I4" i="18" s="1"/>
  <c r="K24" i="10"/>
  <c r="K4" i="18" s="1"/>
  <c r="F24" i="10"/>
  <c r="F4" i="18" s="1"/>
  <c r="G24" i="10"/>
  <c r="G4" i="18" s="1"/>
  <c r="J24" i="10"/>
  <c r="J4" i="18" s="1"/>
  <c r="J29" i="10"/>
  <c r="J3" i="19" s="1"/>
  <c r="E29" i="10"/>
  <c r="E3" i="19" s="1"/>
  <c r="B29" i="10"/>
  <c r="B3" i="19" s="1"/>
  <c r="H29" i="10"/>
  <c r="H3" i="19" s="1"/>
  <c r="K29" i="10"/>
  <c r="K3" i="19" s="1"/>
  <c r="C41" i="10"/>
  <c r="D7" i="20" s="1"/>
  <c r="C29" i="10"/>
  <c r="C3" i="19" s="1"/>
  <c r="D29" i="10"/>
  <c r="D3" i="19" s="1"/>
  <c r="I29" i="10"/>
  <c r="I3" i="19" s="1"/>
  <c r="F29" i="10"/>
  <c r="F3" i="19" s="1"/>
  <c r="G29" i="10"/>
  <c r="G3" i="19" s="1"/>
  <c r="D23" i="10"/>
  <c r="D3" i="18" s="1"/>
  <c r="C23" i="10"/>
  <c r="C3" i="18" s="1"/>
  <c r="E23" i="10"/>
  <c r="E3" i="18" s="1"/>
  <c r="F23" i="10"/>
  <c r="F3" i="18" s="1"/>
  <c r="K23" i="10"/>
  <c r="K3" i="18" s="1"/>
  <c r="H23" i="10"/>
  <c r="H3" i="18" s="1"/>
  <c r="I23" i="10"/>
  <c r="I3" i="18" s="1"/>
  <c r="J23" i="10"/>
  <c r="J3" i="18" s="1"/>
  <c r="G23" i="10"/>
  <c r="G3" i="18" s="1"/>
  <c r="G22" i="10"/>
  <c r="G2" i="18" s="1"/>
  <c r="H22" i="10"/>
  <c r="H2" i="18" s="1"/>
  <c r="J22" i="10"/>
  <c r="J2" i="18" s="1"/>
  <c r="K22" i="10"/>
  <c r="K2" i="18" s="1"/>
  <c r="E22" i="10"/>
  <c r="E2" i="18" s="1"/>
  <c r="I22" i="10"/>
  <c r="I2" i="18" s="1"/>
  <c r="D22" i="10"/>
  <c r="D2" i="18" s="1"/>
  <c r="C22" i="10"/>
  <c r="C2" i="18" s="1"/>
  <c r="F22" i="10"/>
  <c r="F2" i="18" s="1"/>
  <c r="I35" i="10" l="1"/>
  <c r="E30" i="10"/>
  <c r="E4" i="19" s="1"/>
  <c r="H30" i="10"/>
  <c r="H4" i="19" s="1"/>
  <c r="K30" i="10"/>
  <c r="K4" i="19" s="1"/>
  <c r="B30" i="10"/>
  <c r="B4" i="19" s="1"/>
  <c r="F30" i="10"/>
  <c r="F4" i="19" s="1"/>
  <c r="G30" i="10"/>
  <c r="G4" i="19" s="1"/>
  <c r="I30" i="10"/>
  <c r="I4" i="19" s="1"/>
  <c r="J30" i="10"/>
  <c r="J4" i="19" s="1"/>
  <c r="D30" i="10"/>
  <c r="D4" i="19" s="1"/>
  <c r="C30" i="10"/>
  <c r="C4" i="19" s="1"/>
  <c r="B41" i="10"/>
  <c r="E41" i="10"/>
  <c r="F7" i="20" s="1"/>
  <c r="D41" i="10"/>
  <c r="E7" i="20" s="1"/>
  <c r="H41" i="10"/>
  <c r="I7" i="20" s="1"/>
  <c r="F41" i="10"/>
  <c r="G7" i="20" s="1"/>
  <c r="K41" i="10"/>
  <c r="L7" i="20" s="1"/>
  <c r="I41" i="10"/>
  <c r="J7" i="20" s="1"/>
  <c r="G41" i="10"/>
  <c r="H7" i="20" s="1"/>
  <c r="J41" i="10"/>
  <c r="K7" i="20" s="1"/>
  <c r="D8" i="20"/>
  <c r="G8" i="20"/>
  <c r="L8" i="20"/>
  <c r="E8" i="20"/>
  <c r="F8" i="20"/>
  <c r="H8" i="20"/>
  <c r="I8" i="20"/>
  <c r="J8" i="20"/>
  <c r="K8" i="20"/>
  <c r="I11" i="20"/>
  <c r="G11" i="20"/>
  <c r="J11" i="20"/>
  <c r="K11" i="20"/>
  <c r="L11" i="20"/>
  <c r="F11" i="20"/>
  <c r="D11" i="20"/>
  <c r="E11" i="20"/>
  <c r="H11" i="20"/>
  <c r="E10" i="20"/>
  <c r="H10" i="20"/>
  <c r="L10" i="20"/>
  <c r="F10" i="20"/>
  <c r="G10" i="20"/>
  <c r="I10" i="20"/>
  <c r="J10" i="20"/>
  <c r="K10" i="20"/>
  <c r="K9" i="20"/>
  <c r="G9" i="20"/>
  <c r="L9" i="20"/>
  <c r="F9" i="20"/>
  <c r="H9" i="20"/>
  <c r="J9" i="20"/>
  <c r="I9" i="20"/>
  <c r="D9" i="20"/>
  <c r="E9" i="20"/>
  <c r="C28" i="10"/>
  <c r="C2" i="19" s="1"/>
  <c r="J28" i="10"/>
  <c r="J2" i="19" s="1"/>
  <c r="D28" i="10"/>
  <c r="D2" i="19" s="1"/>
  <c r="G28" i="10"/>
  <c r="G2" i="19" s="1"/>
  <c r="H28" i="10"/>
  <c r="H2" i="19" s="1"/>
  <c r="E28" i="10"/>
  <c r="E2" i="19" s="1"/>
  <c r="F28" i="10"/>
  <c r="F2" i="19" s="1"/>
  <c r="I28" i="10"/>
  <c r="I2" i="19" s="1"/>
  <c r="K28" i="10"/>
  <c r="K2" i="19" s="1"/>
  <c r="F14" i="20" l="1"/>
  <c r="G14" i="20"/>
  <c r="H14" i="20"/>
  <c r="J14" i="20"/>
  <c r="K14" i="20"/>
  <c r="I14" i="20"/>
  <c r="L14" i="20"/>
  <c r="E14" i="20"/>
  <c r="D14" i="20"/>
  <c r="L13" i="20"/>
  <c r="J13" i="20"/>
  <c r="F13" i="20"/>
  <c r="G13" i="20"/>
  <c r="H13" i="20"/>
  <c r="I13" i="20"/>
  <c r="D13" i="20"/>
  <c r="E13" i="20"/>
  <c r="K13" i="20"/>
  <c r="H45" i="10"/>
  <c r="I12" i="20" s="1"/>
  <c r="E45" i="10"/>
  <c r="F12" i="20" s="1"/>
  <c r="I45" i="10"/>
  <c r="J12" i="20" s="1"/>
  <c r="C45" i="10"/>
  <c r="D12" i="20" s="1"/>
  <c r="J45" i="10"/>
  <c r="K12" i="20" s="1"/>
  <c r="G45" i="10"/>
  <c r="H12" i="20" s="1"/>
  <c r="K45" i="10"/>
  <c r="L12" i="20" s="1"/>
  <c r="B45" i="10"/>
  <c r="D45" i="10"/>
  <c r="E12" i="20" s="1"/>
  <c r="F45" i="10"/>
  <c r="G12" i="20" s="1"/>
  <c r="L15" i="20"/>
  <c r="F15" i="20"/>
  <c r="J15" i="20"/>
  <c r="K15" i="20"/>
  <c r="G15" i="20"/>
  <c r="H15" i="20"/>
  <c r="D15" i="20"/>
  <c r="E15" i="20"/>
  <c r="I15" i="20"/>
  <c r="I16" i="20"/>
  <c r="K16" i="20"/>
  <c r="G16" i="20"/>
  <c r="J16" i="20"/>
  <c r="D16" i="20"/>
  <c r="F16" i="20"/>
  <c r="H16" i="20"/>
  <c r="L16" i="20"/>
  <c r="E16" i="20"/>
  <c r="L6" i="20"/>
  <c r="F6" i="20"/>
  <c r="G6" i="20"/>
  <c r="I6" i="20"/>
  <c r="D6" i="20"/>
  <c r="E6" i="20"/>
  <c r="K6" i="20"/>
  <c r="J6" i="20"/>
  <c r="H6" i="20"/>
  <c r="D5" i="20"/>
  <c r="F5" i="20"/>
  <c r="G5" i="20"/>
  <c r="E5" i="20"/>
  <c r="H5" i="20"/>
  <c r="I5" i="20"/>
  <c r="J5" i="20"/>
  <c r="L5" i="20"/>
  <c r="K5" i="20"/>
  <c r="D38" i="10"/>
  <c r="E2" i="20" s="1"/>
  <c r="F38" i="10"/>
  <c r="G2" i="20" s="1"/>
  <c r="E38" i="10"/>
  <c r="F2" i="20" s="1"/>
  <c r="G38" i="10"/>
  <c r="H2" i="20" s="1"/>
  <c r="I38" i="10"/>
  <c r="J2" i="20" s="1"/>
  <c r="K38" i="10"/>
  <c r="L2" i="20" s="1"/>
  <c r="J38" i="10"/>
  <c r="K2" i="20" s="1"/>
  <c r="H38" i="10"/>
  <c r="I2" i="20" s="1"/>
  <c r="I4" i="20"/>
  <c r="L4" i="20"/>
  <c r="G4" i="20"/>
  <c r="D4" i="20"/>
  <c r="E4" i="20"/>
  <c r="H4" i="20"/>
  <c r="J4" i="20"/>
  <c r="F4" i="20"/>
  <c r="K4" i="20"/>
  <c r="F3" i="20"/>
  <c r="G3" i="20"/>
  <c r="H3" i="20"/>
  <c r="I3" i="20"/>
  <c r="J3" i="20"/>
  <c r="K3" i="20"/>
  <c r="L3" i="20"/>
  <c r="D3" i="20"/>
  <c r="E3" i="20"/>
  <c r="B38" i="10"/>
</calcChain>
</file>

<file path=xl/sharedStrings.xml><?xml version="1.0" encoding="utf-8"?>
<sst xmlns="http://schemas.openxmlformats.org/spreadsheetml/2006/main" count="293" uniqueCount="189">
  <si>
    <t>Source</t>
  </si>
  <si>
    <t>https://www.irs.gov/publications/p946</t>
  </si>
  <si>
    <t>Class</t>
  </si>
  <si>
    <t>Industrial Steam and Electric Generation and/or Distribution Systems</t>
  </si>
  <si>
    <t>MACRS</t>
  </si>
  <si>
    <t>00.4</t>
  </si>
  <si>
    <t>13.3</t>
  </si>
  <si>
    <t>Petroleum Refining</t>
  </si>
  <si>
    <t>49.221</t>
  </si>
  <si>
    <t>Gas Utility Substitute Natural Gas (SNG) Production Plant (naphta or light hydrocarbon feedstocks)</t>
  </si>
  <si>
    <t>https://cs.thomsonreuters.com/ua/fixa/cs_us_en/ass_life_tbl/hid_help_asset_lives.htm</t>
  </si>
  <si>
    <t>Sources</t>
  </si>
  <si>
    <t>49.24</t>
  </si>
  <si>
    <t>Gas Utility Trunk Pipelines and Related Storage Facilities</t>
  </si>
  <si>
    <t>Component</t>
  </si>
  <si>
    <t>FT</t>
  </si>
  <si>
    <t>H2 storage</t>
  </si>
  <si>
    <t>HTSE</t>
  </si>
  <si>
    <t>CO2 source ?</t>
  </si>
  <si>
    <t>From</t>
  </si>
  <si>
    <t>49.222</t>
  </si>
  <si>
    <t>Gas Utility Manufactured Gas Production Plants</t>
  </si>
  <si>
    <t>28.0</t>
  </si>
  <si>
    <t>Manufacture of Chemicals and Allied Products</t>
  </si>
  <si>
    <t>High-Temperature Steam Electrolysis Process Performance and Cost Estimates, D. Wendt</t>
  </si>
  <si>
    <t>Electricity required</t>
  </si>
  <si>
    <t>QoI</t>
  </si>
  <si>
    <t>Value</t>
  </si>
  <si>
    <t>Unit</t>
  </si>
  <si>
    <t>kWh-e/kg-H2</t>
  </si>
  <si>
    <t>Thermal energy required</t>
  </si>
  <si>
    <t>kWh-t/kg-H2</t>
  </si>
  <si>
    <t>Direct Capital Cost (NOAK)</t>
  </si>
  <si>
    <t>$/kW-dc</t>
  </si>
  <si>
    <t>No</t>
  </si>
  <si>
    <t>Total Capital Investment (NOAK)</t>
  </si>
  <si>
    <t>Direct Capital Cost (FOAK)</t>
  </si>
  <si>
    <t>Total Capital Investment (FOAK)</t>
  </si>
  <si>
    <t>Project duration</t>
  </si>
  <si>
    <t>years</t>
  </si>
  <si>
    <t>FOM</t>
  </si>
  <si>
    <t>$/kw-dc-year</t>
  </si>
  <si>
    <t>VOM (excl. energy cost)</t>
  </si>
  <si>
    <t>$/MWh-dc</t>
  </si>
  <si>
    <t>IRR</t>
  </si>
  <si>
    <t>%</t>
  </si>
  <si>
    <t>Depreciation schedule (MACRS)</t>
  </si>
  <si>
    <t>PJM Capacity Market Clearing Price</t>
  </si>
  <si>
    <t>Period</t>
  </si>
  <si>
    <t>Price ($/MWe-day)</t>
  </si>
  <si>
    <t>EFORd</t>
  </si>
  <si>
    <t>EFORd (%)</t>
  </si>
  <si>
    <t>2021/2022</t>
  </si>
  <si>
    <t>2020/2021</t>
  </si>
  <si>
    <t>2019/2020</t>
  </si>
  <si>
    <t>2018/2019</t>
  </si>
  <si>
    <t>Capacity sold = UCAP</t>
  </si>
  <si>
    <t>UCAP = Installed Cap *(1-EFORd)</t>
  </si>
  <si>
    <t>Equivalent forced outage rate demand</t>
  </si>
  <si>
    <t>UCAP</t>
  </si>
  <si>
    <t>Unforced CAPacity</t>
  </si>
  <si>
    <t>MWe</t>
  </si>
  <si>
    <t>Using NOAK values</t>
  </si>
  <si>
    <t>kg-H2/kWh-e</t>
  </si>
  <si>
    <t>Name</t>
  </si>
  <si>
    <t>Comment</t>
  </si>
  <si>
    <t>Acronyms</t>
  </si>
  <si>
    <t>Equations</t>
  </si>
  <si>
    <t>Average</t>
  </si>
  <si>
    <t>Used to compute a negative cashflow for the capacity of the NPP not sold on the capacity market</t>
  </si>
  <si>
    <t>Components capacities optimization boundaries calculation</t>
  </si>
  <si>
    <t>Fixed components</t>
  </si>
  <si>
    <t>Purpose</t>
  </si>
  <si>
    <t>Capacity negative when component is consuming a resource</t>
  </si>
  <si>
    <t xml:space="preserve">Capacity  </t>
  </si>
  <si>
    <t>jet_fuel_market</t>
  </si>
  <si>
    <t>diesel_market</t>
  </si>
  <si>
    <t>naphtha_market</t>
  </si>
  <si>
    <t>CAPEX</t>
  </si>
  <si>
    <t>elec_market</t>
  </si>
  <si>
    <t>Market</t>
  </si>
  <si>
    <t>State</t>
  </si>
  <si>
    <t>State corporate income tax rate (%)</t>
  </si>
  <si>
    <t>PJM</t>
  </si>
  <si>
    <t>Illinois</t>
  </si>
  <si>
    <t>Ohio</t>
  </si>
  <si>
    <t>ERCOT</t>
  </si>
  <si>
    <t>Texas</t>
  </si>
  <si>
    <t>CAISO</t>
  </si>
  <si>
    <t>California</t>
  </si>
  <si>
    <t>MISO</t>
  </si>
  <si>
    <t>Minnesota</t>
  </si>
  <si>
    <t>SPP</t>
  </si>
  <si>
    <t>Nebraska</t>
  </si>
  <si>
    <t>Southwest, Arizona</t>
  </si>
  <si>
    <t>Arizona</t>
  </si>
  <si>
    <t>Effective tax rate</t>
  </si>
  <si>
    <t>Federal corporate tax rate</t>
  </si>
  <si>
    <t>Case name</t>
  </si>
  <si>
    <t>illinois</t>
  </si>
  <si>
    <t>ohio</t>
  </si>
  <si>
    <t>texas</t>
  </si>
  <si>
    <t>california</t>
  </si>
  <si>
    <t>minnesota</t>
  </si>
  <si>
    <t>nebraska</t>
  </si>
  <si>
    <t>arizona</t>
  </si>
  <si>
    <t>Plant</t>
  </si>
  <si>
    <t>Capacity (MWe)</t>
  </si>
  <si>
    <t>HTSE (MWe)</t>
  </si>
  <si>
    <t>Lower</t>
  </si>
  <si>
    <t>Upper</t>
  </si>
  <si>
    <t>HTSE Steps</t>
  </si>
  <si>
    <t>Ref</t>
  </si>
  <si>
    <t>Low</t>
  </si>
  <si>
    <t>High</t>
  </si>
  <si>
    <t>H2 Storage</t>
  </si>
  <si>
    <t>Location elec. Prices</t>
  </si>
  <si>
    <t>Find Abdalla's report citation</t>
  </si>
  <si>
    <t>Med</t>
  </si>
  <si>
    <t>CAPEX ($/MWe)</t>
  </si>
  <si>
    <t>720MWe ((2020)$ USD)</t>
  </si>
  <si>
    <t>OPEX ($/MWh)</t>
  </si>
  <si>
    <t>SA Capacity</t>
  </si>
  <si>
    <t># modules</t>
  </si>
  <si>
    <t>Unit capacity (MWe)</t>
  </si>
  <si>
    <t>Total capacity (MWe)</t>
  </si>
  <si>
    <t>Ref (60MWe)</t>
  </si>
  <si>
    <t>For SA inputs</t>
  </si>
  <si>
    <t>SMR Capacity (MWe)</t>
  </si>
  <si>
    <t>ITC (%)</t>
  </si>
  <si>
    <t>PTC ($/Mwh)</t>
  </si>
  <si>
    <t>CAPEX ($/MW)</t>
  </si>
  <si>
    <t>Added revenues</t>
  </si>
  <si>
    <t>ITC</t>
  </si>
  <si>
    <t>PTC</t>
  </si>
  <si>
    <t>First 10 years of operations</t>
  </si>
  <si>
    <t>20% of total CAPEX costs</t>
  </si>
  <si>
    <t>25 $/MWh for 10 years</t>
  </si>
  <si>
    <t>Discount rate</t>
  </si>
  <si>
    <t>H2 to MWe rate</t>
  </si>
  <si>
    <t>Scale</t>
  </si>
  <si>
    <t>Scaling factor</t>
  </si>
  <si>
    <t>Alpha</t>
  </si>
  <si>
    <t>Identification</t>
  </si>
  <si>
    <t>ln(CAPEX)</t>
  </si>
  <si>
    <t>ln(driver/ref)</t>
  </si>
  <si>
    <t>Scale. (MWe, htse+MeOH comb.)</t>
  </si>
  <si>
    <t>ln(CAPEX) = ln(alpha)+x.ln(driver/ref)</t>
  </si>
  <si>
    <t xml:space="preserve">CAPEX regression </t>
  </si>
  <si>
    <t>diesel</t>
  </si>
  <si>
    <t>jet fuel</t>
  </si>
  <si>
    <t xml:space="preserve">naphtha </t>
  </si>
  <si>
    <t>naphtha</t>
  </si>
  <si>
    <t>Fuel products (kg/h)</t>
  </si>
  <si>
    <t>electricity</t>
  </si>
  <si>
    <t>electricity (MW)</t>
  </si>
  <si>
    <t>co2</t>
  </si>
  <si>
    <t xml:space="preserve">co2 </t>
  </si>
  <si>
    <t>h2</t>
  </si>
  <si>
    <t>Ratios\Scale(MWe)</t>
  </si>
  <si>
    <t>Inputs (kg/h)</t>
  </si>
  <si>
    <t>Efficiency</t>
  </si>
  <si>
    <t>Linear regressions show R2=1 so using 1000MWe values</t>
  </si>
  <si>
    <t>For variable OPEX only costs not input related</t>
  </si>
  <si>
    <t>Comments</t>
  </si>
  <si>
    <t>other</t>
  </si>
  <si>
    <t>refrigerant</t>
  </si>
  <si>
    <t>Variable OPEX ($/year)</t>
  </si>
  <si>
    <t>Fixed OPEX ($/year)</t>
  </si>
  <si>
    <t>Density (kg/L)</t>
  </si>
  <si>
    <t>l/gal</t>
  </si>
  <si>
    <t>Inflation rate 2019 to 2020</t>
  </si>
  <si>
    <t>Costs ($(2020))</t>
  </si>
  <si>
    <t>Variable OPEX ($/MWh)</t>
  </si>
  <si>
    <t>in $(2019)</t>
  </si>
  <si>
    <t>75% of refrigerant is electricity costs</t>
  </si>
  <si>
    <t>$ variable OPEX in $MWh?</t>
  </si>
  <si>
    <t>Inputs (MT/d)</t>
  </si>
  <si>
    <t>Fuel products (MT/d)</t>
  </si>
  <si>
    <t>Max MeOH electricity consumption</t>
  </si>
  <si>
    <t>MeOH Steps</t>
  </si>
  <si>
    <t>MeOH (kg-H2)</t>
  </si>
  <si>
    <t>size</t>
  </si>
  <si>
    <t>location</t>
  </si>
  <si>
    <t>htse</t>
  </si>
  <si>
    <t>meoh</t>
  </si>
  <si>
    <t>40MWe</t>
  </si>
  <si>
    <t>80MWe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</si>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</sst>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3" borderId="18" applyNumberFormat="0" applyAlignment="0" applyProtection="0"/>
  </cellStyleXfs>
  <cellXfs count="7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2" fillId="0" borderId="0" xfId="0" applyFont="1"/>
    <xf numFmtId="0" fontId="1" fillId="2" borderId="0" xfId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1" applyBorder="1"/>
    <xf numFmtId="0" fontId="0" fillId="0" borderId="8" xfId="0" applyBorder="1"/>
    <xf numFmtId="0" fontId="3" fillId="0" borderId="0" xfId="2"/>
    <xf numFmtId="10" fontId="0" fillId="0" borderId="0" xfId="0" applyNumberFormat="1"/>
    <xf numFmtId="9" fontId="0" fillId="0" borderId="0" xfId="3" applyFont="1"/>
    <xf numFmtId="10" fontId="0" fillId="0" borderId="0" xfId="3" applyNumberFormat="1" applyFont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4" fontId="0" fillId="0" borderId="0" xfId="4" applyFont="1"/>
    <xf numFmtId="1" fontId="0" fillId="0" borderId="0" xfId="0" applyNumberFormat="1"/>
    <xf numFmtId="0" fontId="5" fillId="0" borderId="14" xfId="0" applyFont="1" applyBorder="1"/>
    <xf numFmtId="0" fontId="5" fillId="0" borderId="15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5" fillId="0" borderId="0" xfId="0" applyFont="1"/>
    <xf numFmtId="0" fontId="5" fillId="0" borderId="7" xfId="0" applyFont="1" applyBorder="1"/>
    <xf numFmtId="1" fontId="0" fillId="0" borderId="14" xfId="0" applyNumberFormat="1" applyBorder="1"/>
    <xf numFmtId="1" fontId="0" fillId="0" borderId="15" xfId="0" applyNumberFormat="1" applyBorder="1"/>
    <xf numFmtId="0" fontId="2" fillId="0" borderId="4" xfId="0" applyFont="1" applyBorder="1"/>
    <xf numFmtId="0" fontId="2" fillId="0" borderId="16" xfId="0" applyFont="1" applyBorder="1"/>
    <xf numFmtId="0" fontId="2" fillId="0" borderId="9" xfId="0" applyFont="1" applyBorder="1"/>
    <xf numFmtId="1" fontId="6" fillId="3" borderId="18" xfId="5" applyNumberFormat="1"/>
    <xf numFmtId="0" fontId="6" fillId="3" borderId="18" xfId="5"/>
    <xf numFmtId="44" fontId="0" fillId="4" borderId="0" xfId="4" applyFont="1" applyFill="1"/>
    <xf numFmtId="44" fontId="0" fillId="5" borderId="0" xfId="4" applyFont="1" applyFill="1"/>
    <xf numFmtId="0" fontId="0" fillId="4" borderId="0" xfId="0" applyFill="1"/>
    <xf numFmtId="2" fontId="0" fillId="0" borderId="8" xfId="0" applyNumberFormat="1" applyBorder="1"/>
    <xf numFmtId="2" fontId="0" fillId="0" borderId="7" xfId="0" applyNumberFormat="1" applyBorder="1"/>
    <xf numFmtId="164" fontId="0" fillId="6" borderId="8" xfId="0" applyNumberFormat="1" applyFill="1" applyBorder="1"/>
    <xf numFmtId="164" fontId="0" fillId="6" borderId="7" xfId="0" applyNumberFormat="1" applyFill="1" applyBorder="1"/>
    <xf numFmtId="2" fontId="0" fillId="0" borderId="5" xfId="0" applyNumberFormat="1" applyBorder="1"/>
    <xf numFmtId="2" fontId="0" fillId="0" borderId="0" xfId="0" applyNumberFormat="1"/>
    <xf numFmtId="164" fontId="0" fillId="6" borderId="5" xfId="0" applyNumberFormat="1" applyFill="1" applyBorder="1"/>
    <xf numFmtId="164" fontId="0" fillId="6" borderId="0" xfId="0" applyNumberFormat="1" applyFill="1"/>
    <xf numFmtId="2" fontId="0" fillId="0" borderId="15" xfId="0" applyNumberFormat="1" applyBorder="1"/>
    <xf numFmtId="2" fontId="0" fillId="0" borderId="14" xfId="0" applyNumberFormat="1" applyBorder="1"/>
    <xf numFmtId="0" fontId="0" fillId="0" borderId="16" xfId="0" applyBorder="1"/>
    <xf numFmtId="0" fontId="0" fillId="0" borderId="17" xfId="0" applyBorder="1"/>
    <xf numFmtId="0" fontId="0" fillId="4" borderId="5" xfId="0" applyFill="1" applyBorder="1"/>
    <xf numFmtId="0" fontId="0" fillId="4" borderId="11" xfId="0" applyFill="1" applyBorder="1"/>
    <xf numFmtId="6" fontId="0" fillId="0" borderId="0" xfId="0" applyNumberFormat="1"/>
    <xf numFmtId="165" fontId="0" fillId="0" borderId="0" xfId="0" applyNumberFormat="1"/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6">
    <cellStyle name="Calculation" xfId="5" builtinId="22"/>
    <cellStyle name="Currency" xfId="4" builtinId="4"/>
    <cellStyle name="Good" xfId="1" builtinId="26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MeOH!$D$33</c:f>
              <c:strCache>
                <c:ptCount val="1"/>
                <c:pt idx="0">
                  <c:v>ln(CAPEX)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MeOH!$C$34:$C$36</c:f>
              <c:numCache>
                <c:formatCode>General</c:formatCode>
                <c:ptCount val="3"/>
                <c:pt idx="0">
                  <c:v>-2.3025850929940455</c:v>
                </c:pt>
                <c:pt idx="1">
                  <c:v>-0.69314718055994529</c:v>
                </c:pt>
                <c:pt idx="2">
                  <c:v>0</c:v>
                </c:pt>
              </c:numCache>
            </c:numRef>
          </c:xVal>
          <c:yVal>
            <c:numRef>
              <c:f>MeOH!$D$34:$D$36</c:f>
              <c:numCache>
                <c:formatCode>General</c:formatCode>
                <c:ptCount val="3"/>
                <c:pt idx="0">
                  <c:v>18.939006744588596</c:v>
                </c:pt>
                <c:pt idx="1">
                  <c:v>19.747578800835441</c:v>
                </c:pt>
                <c:pt idx="2">
                  <c:v>20.300187874021002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9B-5D47-8DDB-3FDE4483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21632"/>
        <c:axId val="712799008"/>
      </c:scatterChart>
      <c:valAx>
        <c:axId val="7128216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799008"/>
        <c:crosses val="autoZero"/>
        <c:crossBetween val="midCat"/>
      </c:valAx>
      <c:valAx>
        <c:axId val="71279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821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45</xdr:row>
      <xdr:rowOff>69850</xdr:rowOff>
    </xdr:from>
    <xdr:to>
      <xdr:col>5</xdr:col>
      <xdr:colOff>584200</xdr:colOff>
      <xdr:row>62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46EBE-B3FE-0F45-9B51-25CCF8693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rrm/FORCE/use_cases/SMR_MeOH_2023/data/HERON_data_MeOH.xlsx" TargetMode="External"/><Relationship Id="rId1" Type="http://schemas.openxmlformats.org/officeDocument/2006/relationships/externalLinkPath" Target="HERON_data_MeO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weep values"/>
      <sheetName val="MACRS"/>
      <sheetName val="MeOH"/>
      <sheetName val="MeOH_original_data"/>
      <sheetName val="HTSE"/>
      <sheetName val="Capacity_Market"/>
      <sheetName val="NPP_capacities"/>
    </sheetNames>
    <sheetDataSet>
      <sheetData sheetId="0"/>
      <sheetData sheetId="1"/>
      <sheetData sheetId="2"/>
      <sheetData sheetId="3">
        <row r="2">
          <cell r="B2">
            <v>165930266</v>
          </cell>
          <cell r="C2">
            <v>372463733</v>
          </cell>
          <cell r="D2">
            <v>647260438</v>
          </cell>
        </row>
        <row r="3">
          <cell r="B3">
            <v>11163579</v>
          </cell>
          <cell r="C3">
            <v>19726175</v>
          </cell>
          <cell r="D3">
            <v>26729306</v>
          </cell>
        </row>
        <row r="8">
          <cell r="B8">
            <v>497834</v>
          </cell>
          <cell r="C8">
            <v>2488723</v>
          </cell>
          <cell r="D8">
            <v>4978336</v>
          </cell>
        </row>
        <row r="9">
          <cell r="B9">
            <v>1997988</v>
          </cell>
          <cell r="C9">
            <v>9988155</v>
          </cell>
          <cell r="D9">
            <v>19979458</v>
          </cell>
        </row>
        <row r="18">
          <cell r="B18">
            <v>58</v>
          </cell>
          <cell r="C18">
            <v>291</v>
          </cell>
          <cell r="D18">
            <v>583</v>
          </cell>
        </row>
        <row r="19">
          <cell r="B19">
            <v>352</v>
          </cell>
          <cell r="C19">
            <v>1761</v>
          </cell>
          <cell r="D19">
            <v>3523</v>
          </cell>
        </row>
        <row r="20">
          <cell r="B20">
            <v>5.5</v>
          </cell>
          <cell r="C20">
            <v>27</v>
          </cell>
          <cell r="D20">
            <v>53</v>
          </cell>
        </row>
        <row r="22">
          <cell r="B22">
            <v>2.4</v>
          </cell>
          <cell r="C22">
            <v>12.2</v>
          </cell>
          <cell r="D22">
            <v>24.4</v>
          </cell>
        </row>
        <row r="23">
          <cell r="B23">
            <v>20.100000000000001</v>
          </cell>
          <cell r="C23">
            <v>100.3</v>
          </cell>
          <cell r="D23">
            <v>200.7</v>
          </cell>
        </row>
        <row r="24">
          <cell r="B24">
            <v>86.4</v>
          </cell>
          <cell r="C24">
            <v>431.8</v>
          </cell>
          <cell r="D24">
            <v>863.6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BA3C-274B-4147-8CC3-A303BF1014EB}">
  <dimension ref="A1:L5"/>
  <sheetViews>
    <sheetView zoomScale="120" zoomScaleNormal="120" workbookViewId="0">
      <selection activeCell="L11" sqref="L11"/>
    </sheetView>
  </sheetViews>
  <sheetFormatPr baseColWidth="10" defaultRowHeight="15" x14ac:dyDescent="0.2"/>
  <cols>
    <col min="1" max="1" width="20.33203125" bestFit="1" customWidth="1"/>
    <col min="2" max="3" width="13.6640625" bestFit="1" customWidth="1"/>
    <col min="4" max="4" width="14.6640625" bestFit="1" customWidth="1"/>
  </cols>
  <sheetData>
    <row r="1" spans="1:12" x14ac:dyDescent="0.2">
      <c r="A1" t="s">
        <v>0</v>
      </c>
      <c r="B1" t="s">
        <v>117</v>
      </c>
      <c r="G1" t="s">
        <v>122</v>
      </c>
    </row>
    <row r="2" spans="1:12" x14ac:dyDescent="0.2">
      <c r="G2" t="s">
        <v>123</v>
      </c>
      <c r="H2">
        <v>12</v>
      </c>
    </row>
    <row r="3" spans="1:12" x14ac:dyDescent="0.2">
      <c r="A3" t="s">
        <v>120</v>
      </c>
      <c r="B3" t="s">
        <v>113</v>
      </c>
      <c r="C3" t="s">
        <v>118</v>
      </c>
      <c r="D3" t="s">
        <v>114</v>
      </c>
      <c r="G3" t="s">
        <v>124</v>
      </c>
      <c r="H3">
        <v>60</v>
      </c>
      <c r="I3">
        <v>20</v>
      </c>
      <c r="J3">
        <v>40</v>
      </c>
      <c r="K3">
        <v>80</v>
      </c>
      <c r="L3">
        <v>100</v>
      </c>
    </row>
    <row r="4" spans="1:12" x14ac:dyDescent="0.2">
      <c r="A4" t="s">
        <v>119</v>
      </c>
      <c r="B4" s="25">
        <v>1802460</v>
      </c>
      <c r="C4" s="25">
        <v>5569000</v>
      </c>
      <c r="D4" s="25">
        <v>24646000</v>
      </c>
      <c r="G4" t="s">
        <v>125</v>
      </c>
      <c r="H4">
        <f>H3*$H$2</f>
        <v>720</v>
      </c>
      <c r="I4">
        <f t="shared" ref="I4:L4" si="0">I3*$H$2</f>
        <v>240</v>
      </c>
      <c r="J4">
        <f t="shared" si="0"/>
        <v>480</v>
      </c>
      <c r="K4">
        <f t="shared" si="0"/>
        <v>960</v>
      </c>
      <c r="L4">
        <f t="shared" si="0"/>
        <v>1200</v>
      </c>
    </row>
    <row r="5" spans="1:12" x14ac:dyDescent="0.2">
      <c r="A5" t="s">
        <v>121</v>
      </c>
      <c r="B5" s="25">
        <v>3.71</v>
      </c>
      <c r="C5" s="25">
        <v>23.2</v>
      </c>
      <c r="D5" s="25">
        <v>55.69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7CF18-9909-8C46-A95C-CC6E241EC727}">
  <dimension ref="A1:G9"/>
  <sheetViews>
    <sheetView workbookViewId="0">
      <selection activeCell="B1" sqref="B1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99</v>
      </c>
      <c r="D1" t="s">
        <v>104</v>
      </c>
      <c r="E1" t="s">
        <v>100</v>
      </c>
      <c r="F1" t="s">
        <v>103</v>
      </c>
      <c r="G1" t="s">
        <v>101</v>
      </c>
    </row>
    <row r="2" spans="1:7" x14ac:dyDescent="0.2">
      <c r="A2" s="59">
        <f>Boundaries!$C$14+Boundaries!$G1*ABS(-Boundaries!$D$14+Boundaries!$C$14)/4</f>
        <v>-667</v>
      </c>
      <c r="B2" s="59">
        <f>Boundaries!$E$14+Boundaries!$G1*ABS(Boundaries!$E$14-Boundaries!$F$14)/4</f>
        <v>-16761.71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">
      <c r="A3" s="59">
        <f>Boundaries!$C$14+Boundaries!$G2*ABS(-Boundaries!$D$14+Boundaries!$C$14)/4</f>
        <v>-512</v>
      </c>
      <c r="B3" s="59">
        <f>Boundaries!$E$14+Boundaries!$G2*ABS(Boundaries!$E$14-Boundaries!$F$14)/4</f>
        <v>-12866.56</v>
      </c>
      <c r="C3" s="59">
        <f>Boundaries!$D$35+Boundaries!$G2*Boundaries!$E$35/4</f>
        <v>100570.26</v>
      </c>
      <c r="D3" s="59" t="e">
        <f>Boundaries!#REF!+Boundaries!$G2*Boundaries!#REF!/4</f>
        <v>#REF!</v>
      </c>
      <c r="E3" s="59" t="e">
        <f>Boundaries!#REF!+Boundaries!$G2*Boundaries!#REF!/4</f>
        <v>#REF!</v>
      </c>
      <c r="F3" s="59" t="e">
        <f>Boundaries!#REF!+Boundaries!$G2*Boundaries!#REF!/4</f>
        <v>#REF!</v>
      </c>
      <c r="G3" s="59" t="e">
        <f>Boundaries!#REF!+Boundaries!$G2*Boundaries!#REF!/4</f>
        <v>#REF!</v>
      </c>
    </row>
    <row r="4" spans="1:7" x14ac:dyDescent="0.2">
      <c r="A4" s="59">
        <f>Boundaries!$C$14+Boundaries!$G3*ABS(-Boundaries!$D$14+Boundaries!$C$14)/4</f>
        <v>-357</v>
      </c>
      <c r="B4" s="59">
        <f>Boundaries!$E$14+Boundaries!$G3*ABS(Boundaries!$E$14-Boundaries!$F$14)/4</f>
        <v>-8971.41</v>
      </c>
      <c r="C4" s="59">
        <f>Boundaries!$D$35+Boundaries!$G3*Boundaries!$E$35/4</f>
        <v>201140.52</v>
      </c>
      <c r="D4" s="59" t="e">
        <f>Boundaries!#REF!+Boundaries!$G3*Boundaries!#REF!/4</f>
        <v>#REF!</v>
      </c>
      <c r="E4" s="59" t="e">
        <f>Boundaries!#REF!+Boundaries!$G3*Boundaries!#REF!/4</f>
        <v>#REF!</v>
      </c>
      <c r="F4" s="59" t="e">
        <f>Boundaries!#REF!+Boundaries!$G3*Boundaries!#REF!/4</f>
        <v>#REF!</v>
      </c>
      <c r="G4" s="59" t="e">
        <f>Boundaries!#REF!+Boundaries!$G3*Boundaries!#REF!/4</f>
        <v>#REF!</v>
      </c>
    </row>
    <row r="5" spans="1:7" x14ac:dyDescent="0.2">
      <c r="A5" s="59">
        <f>Boundaries!$C$14+Boundaries!$G4*ABS(-Boundaries!$D$14+Boundaries!$C$14)/4</f>
        <v>-202</v>
      </c>
      <c r="B5" s="59">
        <f>Boundaries!$E$14+Boundaries!$G4*ABS(Boundaries!$E$14-Boundaries!$F$14)/4</f>
        <v>-5076.26</v>
      </c>
      <c r="C5" s="59">
        <f>Boundaries!$D$35+Boundaries!$G4*Boundaries!$E$35/4</f>
        <v>301710.77999999997</v>
      </c>
      <c r="D5" s="59" t="e">
        <f>Boundaries!#REF!+Boundaries!$G4*Boundaries!#REF!/4</f>
        <v>#REF!</v>
      </c>
      <c r="E5" s="59" t="e">
        <f>Boundaries!#REF!+Boundaries!$G4*Boundaries!#REF!/4</f>
        <v>#REF!</v>
      </c>
      <c r="F5" s="59" t="e">
        <f>Boundaries!#REF!+Boundaries!$G4*Boundaries!#REF!/4</f>
        <v>#REF!</v>
      </c>
      <c r="G5" s="59" t="e">
        <f>Boundaries!#REF!+Boundaries!$G4*Boundaries!#REF!/4</f>
        <v>#REF!</v>
      </c>
    </row>
    <row r="6" spans="1:7" x14ac:dyDescent="0.2">
      <c r="A6" s="59">
        <f>Boundaries!$C$14+Boundaries!$G5*ABS(-Boundaries!$D$14+Boundaries!$C$14)/4</f>
        <v>-47</v>
      </c>
      <c r="B6" s="59">
        <f>Boundaries!$E$14+Boundaries!$G5*ABS(Boundaries!$E$14-Boundaries!$F$14)/4</f>
        <v>-1181.1100000000006</v>
      </c>
      <c r="C6" s="59">
        <f>Boundaries!$D$35+Boundaries!$G5*Boundaries!$E$35/4</f>
        <v>402281.04</v>
      </c>
      <c r="D6" s="59" t="e">
        <f>Boundaries!#REF!+Boundaries!$G5*Boundaries!#REF!/4</f>
        <v>#REF!</v>
      </c>
      <c r="E6" s="59" t="e">
        <f>Boundaries!#REF!+Boundaries!$G5*Boundaries!#REF!/4</f>
        <v>#REF!</v>
      </c>
      <c r="F6" s="59" t="e">
        <f>Boundaries!#REF!+Boundaries!$G5*Boundaries!#REF!/4</f>
        <v>#REF!</v>
      </c>
      <c r="G6" s="59" t="e">
        <f>Boundaries!#REF!+Boundaries!$G5*Boundaries!#REF!/4</f>
        <v>#REF!</v>
      </c>
    </row>
    <row r="7" spans="1:7" x14ac:dyDescent="0.2">
      <c r="A7" s="59"/>
      <c r="B7" s="59"/>
      <c r="C7" s="59"/>
      <c r="D7" s="59"/>
      <c r="E7" s="59"/>
      <c r="F7" s="59"/>
      <c r="G7" s="59"/>
    </row>
    <row r="8" spans="1:7" x14ac:dyDescent="0.2">
      <c r="A8" s="59"/>
      <c r="B8" s="59"/>
      <c r="C8" s="59"/>
      <c r="D8" s="59"/>
      <c r="E8" s="59"/>
      <c r="F8" s="59"/>
      <c r="G8" s="59"/>
    </row>
    <row r="9" spans="1:7" x14ac:dyDescent="0.2">
      <c r="A9" s="59"/>
      <c r="B9" s="59"/>
      <c r="C9" s="59"/>
      <c r="D9" s="59"/>
      <c r="E9" s="59"/>
      <c r="F9" s="59"/>
      <c r="G9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307B-CA76-7444-AF5A-06C423B8C77B}">
  <dimension ref="A1:G9"/>
  <sheetViews>
    <sheetView workbookViewId="0">
      <selection activeCell="B1" sqref="B1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99</v>
      </c>
      <c r="D1" t="s">
        <v>104</v>
      </c>
      <c r="E1" t="s">
        <v>100</v>
      </c>
      <c r="F1" t="s">
        <v>103</v>
      </c>
      <c r="G1" t="s">
        <v>101</v>
      </c>
    </row>
    <row r="2" spans="1:7" x14ac:dyDescent="0.2">
      <c r="A2" s="59">
        <f>Boundaries!$C$14+Boundaries!$G1*ABS(-Boundaries!$D$14+Boundaries!$C$14)/5</f>
        <v>-667</v>
      </c>
      <c r="B2" s="59">
        <f>Boundaries!$E$14+Boundaries!$G1*ABS(Boundaries!$E$14-Boundaries!$F$14)/5</f>
        <v>-16761.71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">
      <c r="A3" s="59">
        <f>Boundaries!$C$14+Boundaries!$G2*ABS(-Boundaries!$D$14+Boundaries!$C$14)/5</f>
        <v>-543</v>
      </c>
      <c r="B3" s="59">
        <f>Boundaries!$E$14+Boundaries!$G2*ABS(Boundaries!$E$14-Boundaries!$F$14)/5</f>
        <v>-13645.59</v>
      </c>
      <c r="C3" s="59">
        <f>Boundaries!$D$35+Boundaries!$G2*Boundaries!$E$35/5</f>
        <v>80456.207999999999</v>
      </c>
      <c r="D3" s="59" t="e">
        <f>Boundaries!#REF!+Boundaries!$G2*Boundaries!#REF!/5</f>
        <v>#REF!</v>
      </c>
      <c r="E3" s="59" t="e">
        <f>Boundaries!#REF!+Boundaries!$G2*Boundaries!#REF!/5</f>
        <v>#REF!</v>
      </c>
      <c r="F3" s="59" t="e">
        <f>Boundaries!#REF!+Boundaries!$G2*Boundaries!#REF!/5</f>
        <v>#REF!</v>
      </c>
      <c r="G3" s="59" t="e">
        <f>Boundaries!#REF!+Boundaries!$G2*Boundaries!#REF!/5</f>
        <v>#REF!</v>
      </c>
    </row>
    <row r="4" spans="1:7" x14ac:dyDescent="0.2">
      <c r="A4" s="59">
        <f>Boundaries!$C$14+Boundaries!$G3*ABS(-Boundaries!$D$14+Boundaries!$C$14)/5</f>
        <v>-419</v>
      </c>
      <c r="B4" s="59">
        <f>Boundaries!$E$14+Boundaries!$G3*ABS(Boundaries!$E$14-Boundaries!$F$14)/5</f>
        <v>-10529.47</v>
      </c>
      <c r="C4" s="59">
        <f>Boundaries!$D$35+Boundaries!$G3*Boundaries!$E$35/5</f>
        <v>160912.416</v>
      </c>
      <c r="D4" s="59" t="e">
        <f>Boundaries!#REF!+Boundaries!$G3*Boundaries!#REF!/5</f>
        <v>#REF!</v>
      </c>
      <c r="E4" s="59" t="e">
        <f>Boundaries!#REF!+Boundaries!$G3*Boundaries!#REF!/5</f>
        <v>#REF!</v>
      </c>
      <c r="F4" s="59" t="e">
        <f>Boundaries!#REF!+Boundaries!$G3*Boundaries!#REF!/5</f>
        <v>#REF!</v>
      </c>
      <c r="G4" s="59" t="e">
        <f>Boundaries!#REF!+Boundaries!$G3*Boundaries!#REF!/5</f>
        <v>#REF!</v>
      </c>
    </row>
    <row r="5" spans="1:7" x14ac:dyDescent="0.2">
      <c r="A5" s="59">
        <f>Boundaries!$C$14+Boundaries!$G4*ABS(-Boundaries!$D$14+Boundaries!$C$14)/5</f>
        <v>-295</v>
      </c>
      <c r="B5" s="59">
        <f>Boundaries!$E$14+Boundaries!$G4*ABS(Boundaries!$E$14-Boundaries!$F$14)/5</f>
        <v>-7413.35</v>
      </c>
      <c r="C5" s="59">
        <f>Boundaries!$D$35+Boundaries!$G4*Boundaries!$E$35/5</f>
        <v>241368.62399999998</v>
      </c>
      <c r="D5" s="59" t="e">
        <f>Boundaries!#REF!+Boundaries!$G4*Boundaries!#REF!/5</f>
        <v>#REF!</v>
      </c>
      <c r="E5" s="59" t="e">
        <f>Boundaries!#REF!+Boundaries!$G4*Boundaries!#REF!/5</f>
        <v>#REF!</v>
      </c>
      <c r="F5" s="59" t="e">
        <f>Boundaries!#REF!+Boundaries!$G4*Boundaries!#REF!/5</f>
        <v>#REF!</v>
      </c>
      <c r="G5" s="59" t="e">
        <f>Boundaries!#REF!+Boundaries!$G4*Boundaries!#REF!/5</f>
        <v>#REF!</v>
      </c>
    </row>
    <row r="6" spans="1:7" x14ac:dyDescent="0.2">
      <c r="A6" s="59">
        <f>Boundaries!$C$14+Boundaries!$G5*ABS(-Boundaries!$D$14+Boundaries!$C$14)/5</f>
        <v>-171</v>
      </c>
      <c r="B6" s="59">
        <f>Boundaries!$E$14+Boundaries!$G5*ABS(Boundaries!$E$14-Boundaries!$F$14)/5</f>
        <v>-4297.2299999999996</v>
      </c>
      <c r="C6" s="59">
        <f>Boundaries!$D$35+Boundaries!$G5*Boundaries!$E$35/5</f>
        <v>321824.83199999999</v>
      </c>
      <c r="D6" s="59" t="e">
        <f>Boundaries!#REF!+Boundaries!$G5*Boundaries!#REF!/5</f>
        <v>#REF!</v>
      </c>
      <c r="E6" s="59" t="e">
        <f>Boundaries!#REF!+Boundaries!$G5*Boundaries!#REF!/5</f>
        <v>#REF!</v>
      </c>
      <c r="F6" s="59" t="e">
        <f>Boundaries!#REF!+Boundaries!$G5*Boundaries!#REF!/5</f>
        <v>#REF!</v>
      </c>
      <c r="G6" s="59" t="e">
        <f>Boundaries!#REF!+Boundaries!$G5*Boundaries!#REF!/5</f>
        <v>#REF!</v>
      </c>
    </row>
    <row r="7" spans="1:7" x14ac:dyDescent="0.2">
      <c r="A7" s="59">
        <f>Boundaries!$C$14+Boundaries!$G6*ABS(-Boundaries!$D$14+Boundaries!$C$14)/5</f>
        <v>-47</v>
      </c>
      <c r="B7" s="59">
        <f>Boundaries!$E$14+Boundaries!$G6*ABS(Boundaries!$E$14-Boundaries!$F$14)/5</f>
        <v>-1181.1099999999988</v>
      </c>
      <c r="C7" s="59">
        <f>Boundaries!$D$35+Boundaries!$G6*Boundaries!$E$35/5</f>
        <v>402281.04</v>
      </c>
      <c r="D7" s="59" t="e">
        <f>Boundaries!#REF!+Boundaries!$G6*Boundaries!#REF!/5</f>
        <v>#REF!</v>
      </c>
      <c r="E7" s="59" t="e">
        <f>Boundaries!#REF!+Boundaries!$G6*Boundaries!#REF!/5</f>
        <v>#REF!</v>
      </c>
      <c r="F7" s="59" t="e">
        <f>Boundaries!#REF!+Boundaries!$G6*Boundaries!#REF!/5</f>
        <v>#REF!</v>
      </c>
      <c r="G7" s="59" t="e">
        <f>Boundaries!#REF!+Boundaries!$G6*Boundaries!#REF!/5</f>
        <v>#REF!</v>
      </c>
    </row>
    <row r="8" spans="1:7" x14ac:dyDescent="0.2">
      <c r="A8" s="59"/>
      <c r="B8" s="59"/>
      <c r="C8" s="59"/>
      <c r="D8" s="59"/>
      <c r="E8" s="59"/>
      <c r="F8" s="59"/>
      <c r="G8" s="59"/>
    </row>
    <row r="9" spans="1:7" x14ac:dyDescent="0.2">
      <c r="A9" s="59"/>
      <c r="B9" s="59"/>
      <c r="C9" s="59"/>
      <c r="D9" s="59"/>
      <c r="E9" s="59"/>
      <c r="F9" s="59"/>
      <c r="G9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F9F3-4AA7-AA4C-A030-03A748480A26}">
  <dimension ref="A1:G9"/>
  <sheetViews>
    <sheetView workbookViewId="0">
      <selection activeCell="B1" sqref="B1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99</v>
      </c>
      <c r="D1" t="s">
        <v>104</v>
      </c>
      <c r="E1" t="s">
        <v>100</v>
      </c>
      <c r="F1" t="s">
        <v>103</v>
      </c>
      <c r="G1" t="s">
        <v>101</v>
      </c>
    </row>
    <row r="2" spans="1:7" x14ac:dyDescent="0.2">
      <c r="A2" s="59">
        <f>Boundaries!$C$14+Boundaries!$G1*ABS(-Boundaries!$D$14+Boundaries!$C$14)/6</f>
        <v>-667</v>
      </c>
      <c r="B2" s="59">
        <f>Boundaries!$E$14+Boundaries!$G1*ABS(Boundaries!$E$14-Boundaries!$F$14)/6</f>
        <v>-16761.71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">
      <c r="A3" s="59">
        <f>Boundaries!$C$14+Boundaries!$G2*ABS(-Boundaries!$D$14+Boundaries!$C$14)/6</f>
        <v>-563.66666666666663</v>
      </c>
      <c r="B3" s="59">
        <f>Boundaries!$E$14+Boundaries!$G2*ABS(Boundaries!$E$14-Boundaries!$F$14)/6</f>
        <v>-14164.943333333333</v>
      </c>
      <c r="C3" s="59">
        <f>Boundaries!$D$35+Boundaries!$G2*Boundaries!$E$35/6</f>
        <v>67046.84</v>
      </c>
      <c r="D3" s="59" t="e">
        <f>Boundaries!#REF!+Boundaries!$G2*Boundaries!#REF!/6</f>
        <v>#REF!</v>
      </c>
      <c r="E3" s="59" t="e">
        <f>Boundaries!#REF!+Boundaries!$G2*Boundaries!#REF!/6</f>
        <v>#REF!</v>
      </c>
      <c r="F3" s="59" t="e">
        <f>Boundaries!#REF!+Boundaries!$G2*Boundaries!#REF!/6</f>
        <v>#REF!</v>
      </c>
      <c r="G3" s="59" t="e">
        <f>Boundaries!#REF!+Boundaries!$G2*Boundaries!#REF!/6</f>
        <v>#REF!</v>
      </c>
    </row>
    <row r="4" spans="1:7" x14ac:dyDescent="0.2">
      <c r="A4" s="59">
        <f>Boundaries!$C$14+Boundaries!$G3*ABS(-Boundaries!$D$14+Boundaries!$C$14)/6</f>
        <v>-460.33333333333337</v>
      </c>
      <c r="B4" s="59">
        <f>Boundaries!$E$14+Boundaries!$G3*ABS(Boundaries!$E$14-Boundaries!$F$14)/6</f>
        <v>-11568.176666666666</v>
      </c>
      <c r="C4" s="59">
        <f>Boundaries!$D$35+Boundaries!$G3*Boundaries!$E$35/6</f>
        <v>134093.68</v>
      </c>
      <c r="D4" s="59" t="e">
        <f>Boundaries!#REF!+Boundaries!$G3*Boundaries!#REF!/6</f>
        <v>#REF!</v>
      </c>
      <c r="E4" s="59" t="e">
        <f>Boundaries!#REF!+Boundaries!$G3*Boundaries!#REF!/6</f>
        <v>#REF!</v>
      </c>
      <c r="F4" s="59" t="e">
        <f>Boundaries!#REF!+Boundaries!$G3*Boundaries!#REF!/6</f>
        <v>#REF!</v>
      </c>
      <c r="G4" s="59" t="e">
        <f>Boundaries!#REF!+Boundaries!$G3*Boundaries!#REF!/6</f>
        <v>#REF!</v>
      </c>
    </row>
    <row r="5" spans="1:7" x14ac:dyDescent="0.2">
      <c r="A5" s="59">
        <f>Boundaries!$C$14+Boundaries!$G4*ABS(-Boundaries!$D$14+Boundaries!$C$14)/6</f>
        <v>-357</v>
      </c>
      <c r="B5" s="59">
        <f>Boundaries!$E$14+Boundaries!$G4*ABS(Boundaries!$E$14-Boundaries!$F$14)/6</f>
        <v>-8971.41</v>
      </c>
      <c r="C5" s="59">
        <f>Boundaries!$D$35+Boundaries!$G4*Boundaries!$E$35/6</f>
        <v>201140.52</v>
      </c>
      <c r="D5" s="59" t="e">
        <f>Boundaries!#REF!+Boundaries!$G4*Boundaries!#REF!/6</f>
        <v>#REF!</v>
      </c>
      <c r="E5" s="59" t="e">
        <f>Boundaries!#REF!+Boundaries!$G4*Boundaries!#REF!/6</f>
        <v>#REF!</v>
      </c>
      <c r="F5" s="59" t="e">
        <f>Boundaries!#REF!+Boundaries!$G4*Boundaries!#REF!/6</f>
        <v>#REF!</v>
      </c>
      <c r="G5" s="59" t="e">
        <f>Boundaries!#REF!+Boundaries!$G4*Boundaries!#REF!/6</f>
        <v>#REF!</v>
      </c>
    </row>
    <row r="6" spans="1:7" x14ac:dyDescent="0.2">
      <c r="A6" s="59">
        <f>Boundaries!$C$14+Boundaries!$G5*ABS(-Boundaries!$D$14+Boundaries!$C$14)/6</f>
        <v>-253.66666666666669</v>
      </c>
      <c r="B6" s="59">
        <f>Boundaries!$E$14+Boundaries!$G5*ABS(Boundaries!$E$14-Boundaries!$F$14)/6</f>
        <v>-6374.6433333333334</v>
      </c>
      <c r="C6" s="59">
        <f>Boundaries!$D$35+Boundaries!$G5*Boundaries!$E$35/6</f>
        <v>268187.36</v>
      </c>
      <c r="D6" s="59" t="e">
        <f>Boundaries!#REF!+Boundaries!$G5*Boundaries!#REF!/6</f>
        <v>#REF!</v>
      </c>
      <c r="E6" s="59" t="e">
        <f>Boundaries!#REF!+Boundaries!$G5*Boundaries!#REF!/6</f>
        <v>#REF!</v>
      </c>
      <c r="F6" s="59" t="e">
        <f>Boundaries!#REF!+Boundaries!$G5*Boundaries!#REF!/6</f>
        <v>#REF!</v>
      </c>
      <c r="G6" s="59" t="e">
        <f>Boundaries!#REF!+Boundaries!$G5*Boundaries!#REF!/6</f>
        <v>#REF!</v>
      </c>
    </row>
    <row r="7" spans="1:7" x14ac:dyDescent="0.2">
      <c r="A7" s="59">
        <f>Boundaries!$C$14+Boundaries!$G6*ABS(-Boundaries!$D$14+Boundaries!$C$14)/6</f>
        <v>-150.33333333333337</v>
      </c>
      <c r="B7" s="59">
        <f>Boundaries!$E$14+Boundaries!$G6*ABS(Boundaries!$E$14-Boundaries!$F$14)/6</f>
        <v>-3777.8766666666652</v>
      </c>
      <c r="C7" s="59">
        <f>Boundaries!$D$35+Boundaries!$G6*Boundaries!$E$35/6</f>
        <v>335234.2</v>
      </c>
      <c r="D7" s="59" t="e">
        <f>Boundaries!#REF!+Boundaries!$G6*Boundaries!#REF!/6</f>
        <v>#REF!</v>
      </c>
      <c r="E7" s="59" t="e">
        <f>Boundaries!#REF!+Boundaries!$G6*Boundaries!#REF!/6</f>
        <v>#REF!</v>
      </c>
      <c r="F7" s="59" t="e">
        <f>Boundaries!#REF!+Boundaries!$G6*Boundaries!#REF!/6</f>
        <v>#REF!</v>
      </c>
      <c r="G7" s="59" t="e">
        <f>Boundaries!#REF!+Boundaries!$G6*Boundaries!#REF!/6</f>
        <v>#REF!</v>
      </c>
    </row>
    <row r="8" spans="1:7" x14ac:dyDescent="0.2">
      <c r="A8" s="59">
        <f>Boundaries!$C$14+Boundaries!$G7*ABS(-Boundaries!$D$14+Boundaries!$C$14)/6</f>
        <v>-47</v>
      </c>
      <c r="B8" s="59">
        <f>Boundaries!$E$14+Boundaries!$G7*ABS(Boundaries!$E$14-Boundaries!$F$14)/6</f>
        <v>-1181.1100000000006</v>
      </c>
      <c r="C8" s="59">
        <f>Boundaries!$D$35+Boundaries!$G7*Boundaries!$E$35/6</f>
        <v>402281.04</v>
      </c>
      <c r="D8" s="59" t="e">
        <f>Boundaries!#REF!+Boundaries!$G7*Boundaries!#REF!/6</f>
        <v>#REF!</v>
      </c>
      <c r="E8" s="59" t="e">
        <f>Boundaries!#REF!+Boundaries!$G7*Boundaries!#REF!/6</f>
        <v>#REF!</v>
      </c>
      <c r="F8" s="59" t="e">
        <f>Boundaries!#REF!+Boundaries!$G7*Boundaries!#REF!/6</f>
        <v>#REF!</v>
      </c>
      <c r="G8" s="59" t="e">
        <f>Boundaries!#REF!+Boundaries!$G7*Boundaries!#REF!/6</f>
        <v>#REF!</v>
      </c>
    </row>
    <row r="9" spans="1:7" x14ac:dyDescent="0.2">
      <c r="A9" s="59"/>
      <c r="B9" s="59"/>
      <c r="C9" s="59"/>
      <c r="D9" s="59"/>
      <c r="E9" s="59"/>
      <c r="F9" s="59"/>
      <c r="G9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718A-F13F-7C48-917B-F73C41DAC566}">
  <dimension ref="A1:G9"/>
  <sheetViews>
    <sheetView workbookViewId="0">
      <selection activeCell="A2" sqref="A2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99</v>
      </c>
      <c r="D1" t="s">
        <v>104</v>
      </c>
      <c r="E1" t="s">
        <v>100</v>
      </c>
      <c r="F1" t="s">
        <v>103</v>
      </c>
      <c r="G1" t="s">
        <v>101</v>
      </c>
    </row>
    <row r="2" spans="1:7" x14ac:dyDescent="0.2">
      <c r="A2" s="59">
        <f>Boundaries!$C$14+Boundaries!$G1*ABS(-Boundaries!$D$14+Boundaries!$C$14)/7</f>
        <v>-667</v>
      </c>
      <c r="B2" s="59">
        <f>Boundaries!$E$14+Boundaries!$G1*ABS(Boundaries!$E$14-Boundaries!$F$14)/7</f>
        <v>-16761.71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2">
      <c r="A3" s="59">
        <f>Boundaries!$C$14+Boundaries!$G2*ABS(-Boundaries!$D$14+Boundaries!$C$14)/7</f>
        <v>-578.42857142857144</v>
      </c>
      <c r="B3" s="59">
        <f>Boundaries!$E$14+Boundaries!$G2*ABS(Boundaries!$E$14-Boundaries!$F$14)/7</f>
        <v>-14535.91</v>
      </c>
      <c r="C3" s="59">
        <f>Boundaries!$D$35+Boundaries!$G2*Boundaries!$E$35/7</f>
        <v>57468.719999999994</v>
      </c>
      <c r="D3" s="59" t="e">
        <f>Boundaries!#REF!+Boundaries!$G2*Boundaries!#REF!/7</f>
        <v>#REF!</v>
      </c>
      <c r="E3" s="59" t="e">
        <f>Boundaries!#REF!+Boundaries!$G2*Boundaries!#REF!/7</f>
        <v>#REF!</v>
      </c>
      <c r="F3" s="59" t="e">
        <f>Boundaries!#REF!+Boundaries!$G2*Boundaries!#REF!/7</f>
        <v>#REF!</v>
      </c>
      <c r="G3" s="59" t="e">
        <f>Boundaries!#REF!+Boundaries!$G2*Boundaries!#REF!/7</f>
        <v>#REF!</v>
      </c>
    </row>
    <row r="4" spans="1:7" x14ac:dyDescent="0.2">
      <c r="A4" s="59">
        <f>Boundaries!$C$14+Boundaries!$G3*ABS(-Boundaries!$D$14+Boundaries!$C$14)/7</f>
        <v>-489.85714285714289</v>
      </c>
      <c r="B4" s="59">
        <f>Boundaries!$E$14+Boundaries!$G3*ABS(Boundaries!$E$14-Boundaries!$F$14)/7</f>
        <v>-12310.11</v>
      </c>
      <c r="C4" s="59">
        <f>Boundaries!$D$35+Boundaries!$G3*Boundaries!$E$35/7</f>
        <v>114937.43999999999</v>
      </c>
      <c r="D4" s="59" t="e">
        <f>Boundaries!#REF!+Boundaries!$G3*Boundaries!#REF!/7</f>
        <v>#REF!</v>
      </c>
      <c r="E4" s="59" t="e">
        <f>Boundaries!#REF!+Boundaries!$G3*Boundaries!#REF!/7</f>
        <v>#REF!</v>
      </c>
      <c r="F4" s="59" t="e">
        <f>Boundaries!#REF!+Boundaries!$G3*Boundaries!#REF!/7</f>
        <v>#REF!</v>
      </c>
      <c r="G4" s="59" t="e">
        <f>Boundaries!#REF!+Boundaries!$G3*Boundaries!#REF!/7</f>
        <v>#REF!</v>
      </c>
    </row>
    <row r="5" spans="1:7" x14ac:dyDescent="0.2">
      <c r="A5" s="59">
        <f>Boundaries!$C$14+Boundaries!$G4*ABS(-Boundaries!$D$14+Boundaries!$C$14)/7</f>
        <v>-401.28571428571428</v>
      </c>
      <c r="B5" s="59">
        <f>Boundaries!$E$14+Boundaries!$G4*ABS(Boundaries!$E$14-Boundaries!$F$14)/7</f>
        <v>-10084.31</v>
      </c>
      <c r="C5" s="59">
        <f>Boundaries!$D$35+Boundaries!$G4*Boundaries!$E$35/7</f>
        <v>172406.15999999997</v>
      </c>
      <c r="D5" s="59" t="e">
        <f>Boundaries!#REF!+Boundaries!$G4*Boundaries!#REF!/7</f>
        <v>#REF!</v>
      </c>
      <c r="E5" s="59" t="e">
        <f>Boundaries!#REF!+Boundaries!$G4*Boundaries!#REF!/7</f>
        <v>#REF!</v>
      </c>
      <c r="F5" s="59" t="e">
        <f>Boundaries!#REF!+Boundaries!$G4*Boundaries!#REF!/7</f>
        <v>#REF!</v>
      </c>
      <c r="G5" s="59" t="e">
        <f>Boundaries!#REF!+Boundaries!$G4*Boundaries!#REF!/7</f>
        <v>#REF!</v>
      </c>
    </row>
    <row r="6" spans="1:7" x14ac:dyDescent="0.2">
      <c r="A6" s="59">
        <f>Boundaries!$C$14+Boundaries!$G5*ABS(-Boundaries!$D$14+Boundaries!$C$14)/7</f>
        <v>-312.71428571428572</v>
      </c>
      <c r="B6" s="59">
        <f>Boundaries!$E$14+Boundaries!$G5*ABS(Boundaries!$E$14-Boundaries!$F$14)/7</f>
        <v>-7858.51</v>
      </c>
      <c r="C6" s="59">
        <f>Boundaries!$D$35+Boundaries!$G5*Boundaries!$E$35/7</f>
        <v>229874.87999999998</v>
      </c>
      <c r="D6" s="59" t="e">
        <f>Boundaries!#REF!+Boundaries!$G5*Boundaries!#REF!/7</f>
        <v>#REF!</v>
      </c>
      <c r="E6" s="59" t="e">
        <f>Boundaries!#REF!+Boundaries!$G5*Boundaries!#REF!/7</f>
        <v>#REF!</v>
      </c>
      <c r="F6" s="59" t="e">
        <f>Boundaries!#REF!+Boundaries!$G5*Boundaries!#REF!/7</f>
        <v>#REF!</v>
      </c>
      <c r="G6" s="59" t="e">
        <f>Boundaries!#REF!+Boundaries!$G5*Boundaries!#REF!/7</f>
        <v>#REF!</v>
      </c>
    </row>
    <row r="7" spans="1:7" x14ac:dyDescent="0.2">
      <c r="A7" s="59">
        <f>Boundaries!$C$14+Boundaries!$G6*ABS(-Boundaries!$D$14+Boundaries!$C$14)/7</f>
        <v>-224.14285714285717</v>
      </c>
      <c r="B7" s="59">
        <f>Boundaries!$E$14+Boundaries!$G6*ABS(Boundaries!$E$14-Boundaries!$F$14)/7</f>
        <v>-5632.7099999999991</v>
      </c>
      <c r="C7" s="59">
        <f>Boundaries!$D$35+Boundaries!$G6*Boundaries!$E$35/7</f>
        <v>287343.59999999998</v>
      </c>
      <c r="D7" s="59" t="e">
        <f>Boundaries!#REF!+Boundaries!$G6*Boundaries!#REF!/7</f>
        <v>#REF!</v>
      </c>
      <c r="E7" s="59" t="e">
        <f>Boundaries!#REF!+Boundaries!$G6*Boundaries!#REF!/7</f>
        <v>#REF!</v>
      </c>
      <c r="F7" s="59" t="e">
        <f>Boundaries!#REF!+Boundaries!$G6*Boundaries!#REF!/7</f>
        <v>#REF!</v>
      </c>
      <c r="G7" s="59" t="e">
        <f>Boundaries!#REF!+Boundaries!$G6*Boundaries!#REF!/7</f>
        <v>#REF!</v>
      </c>
    </row>
    <row r="8" spans="1:7" x14ac:dyDescent="0.2">
      <c r="A8" s="59">
        <f>Boundaries!$C$14+Boundaries!$G7*ABS(-Boundaries!$D$14+Boundaries!$C$14)/7</f>
        <v>-135.57142857142856</v>
      </c>
      <c r="B8" s="59">
        <f>Boundaries!$E$14+Boundaries!$G7*ABS(Boundaries!$E$14-Boundaries!$F$14)/7</f>
        <v>-3406.91</v>
      </c>
      <c r="C8" s="59">
        <f>Boundaries!$D$35+Boundaries!$G7*Boundaries!$E$35/7</f>
        <v>344812.31999999995</v>
      </c>
      <c r="D8" s="59" t="e">
        <f>Boundaries!#REF!+Boundaries!$G7*Boundaries!#REF!/7</f>
        <v>#REF!</v>
      </c>
      <c r="E8" s="59" t="e">
        <f>Boundaries!#REF!+Boundaries!$G7*Boundaries!#REF!/7</f>
        <v>#REF!</v>
      </c>
      <c r="F8" s="59" t="e">
        <f>Boundaries!#REF!+Boundaries!$G7*Boundaries!#REF!/7</f>
        <v>#REF!</v>
      </c>
      <c r="G8" s="59" t="e">
        <f>Boundaries!#REF!+Boundaries!$G7*Boundaries!#REF!/7</f>
        <v>#REF!</v>
      </c>
    </row>
    <row r="9" spans="1:7" x14ac:dyDescent="0.2">
      <c r="A9" s="59">
        <f>Boundaries!$C$14+Boundaries!$G8*ABS(-Boundaries!$D$14+Boundaries!$C$14)/7</f>
        <v>-47</v>
      </c>
      <c r="B9" s="59">
        <f>Boundaries!$E$14+Boundaries!$G8*ABS(Boundaries!$E$14-Boundaries!$F$14)/7</f>
        <v>-1181.1100000000024</v>
      </c>
      <c r="C9" s="59">
        <f>Boundaries!$D$35+Boundaries!$G8*Boundaries!$E$35/7</f>
        <v>402281.04</v>
      </c>
      <c r="D9" s="59" t="e">
        <f>Boundaries!#REF!+Boundaries!$G8*Boundaries!#REF!/7</f>
        <v>#REF!</v>
      </c>
      <c r="E9" s="59" t="e">
        <f>Boundaries!#REF!+Boundaries!$G8*Boundaries!#REF!/7</f>
        <v>#REF!</v>
      </c>
      <c r="F9" s="59" t="e">
        <f>Boundaries!#REF!+Boundaries!$G8*Boundaries!#REF!/7</f>
        <v>#REF!</v>
      </c>
      <c r="G9" s="59" t="e">
        <f>Boundaries!#REF!+Boundaries!$G8*Boundaries!#REF!/7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1C25-7322-104D-AA38-7B16DF722B27}">
  <dimension ref="A1:G9"/>
  <sheetViews>
    <sheetView workbookViewId="0">
      <selection activeCell="E5" sqref="E5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188</v>
      </c>
    </row>
    <row r="2" spans="1:7" x14ac:dyDescent="0.2">
      <c r="A2" s="59">
        <f>Boundaries!$C$15+Boundaries!$G1*ABS(-Boundaries!$D$15+Boundaries!$C$15)/7</f>
        <v>-427</v>
      </c>
      <c r="B2" s="59">
        <f>Boundaries!$E$15+Boundaries!$G1*ABS(Boundaries!$E$15-Boundaries!$F$15)/7</f>
        <v>-10730.51</v>
      </c>
      <c r="C2">
        <v>10</v>
      </c>
    </row>
    <row r="3" spans="1:7" x14ac:dyDescent="0.2">
      <c r="A3" s="59">
        <f>Boundaries!$C$15+Boundaries!$G2*ABS(-Boundaries!$D$15+Boundaries!$C$15)/7</f>
        <v>-372.71428571428572</v>
      </c>
      <c r="B3" s="59">
        <f>Boundaries!$E$15+Boundaries!$G2*ABS(Boundaries!$E$15-Boundaries!$F$15)/7</f>
        <v>-9366.31</v>
      </c>
      <c r="C3" s="59">
        <f>Boundaries!$F$35+Boundaries!$G2*Boundaries!$G$35/7</f>
        <v>36790.32</v>
      </c>
      <c r="D3" s="59"/>
      <c r="E3" s="59"/>
      <c r="F3" s="59"/>
      <c r="G3" s="59"/>
    </row>
    <row r="4" spans="1:7" x14ac:dyDescent="0.2">
      <c r="A4" s="59">
        <f>Boundaries!$C$15+Boundaries!$G3*ABS(-Boundaries!$D$15+Boundaries!$C$15)/7</f>
        <v>-318.42857142857144</v>
      </c>
      <c r="B4" s="59">
        <f>Boundaries!$E$15+Boundaries!$G3*ABS(Boundaries!$E$15-Boundaries!$F$15)/7</f>
        <v>-8002.1100000000006</v>
      </c>
      <c r="C4" s="59">
        <f>Boundaries!$F$35+Boundaries!$G3*Boundaries!$G$35/7</f>
        <v>73580.639999999999</v>
      </c>
      <c r="D4" s="59"/>
      <c r="E4" s="59"/>
      <c r="F4" s="59"/>
      <c r="G4" s="59"/>
    </row>
    <row r="5" spans="1:7" x14ac:dyDescent="0.2">
      <c r="A5" s="59">
        <f>Boundaries!$C$15+Boundaries!$G4*ABS(-Boundaries!$D$15+Boundaries!$C$15)/7</f>
        <v>-264.14285714285711</v>
      </c>
      <c r="B5" s="59">
        <f>Boundaries!$E$15+Boundaries!$G4*ABS(Boundaries!$E$15-Boundaries!$F$15)/7</f>
        <v>-6637.9100000000008</v>
      </c>
      <c r="C5" s="59">
        <f>Boundaries!$F$35+Boundaries!$G4*Boundaries!$G$35/7</f>
        <v>110370.95999999999</v>
      </c>
      <c r="D5" s="59"/>
      <c r="E5" s="59"/>
      <c r="F5" s="59"/>
      <c r="G5" s="59"/>
    </row>
    <row r="6" spans="1:7" x14ac:dyDescent="0.2">
      <c r="A6" s="59">
        <f>Boundaries!$C$15+Boundaries!$G5*ABS(-Boundaries!$D$15+Boundaries!$C$15)/7</f>
        <v>-209.85714285714286</v>
      </c>
      <c r="B6" s="59">
        <f>Boundaries!$E$15+Boundaries!$G5*ABS(Boundaries!$E$15-Boundaries!$F$15)/7</f>
        <v>-5273.71</v>
      </c>
      <c r="C6" s="59">
        <f>Boundaries!$F$35+Boundaries!$G5*Boundaries!$G$35/7</f>
        <v>147161.28</v>
      </c>
      <c r="D6" s="59"/>
      <c r="E6" s="59"/>
      <c r="F6" s="59"/>
      <c r="G6" s="59"/>
    </row>
    <row r="7" spans="1:7" x14ac:dyDescent="0.2">
      <c r="A7" s="59">
        <f>Boundaries!$C$15+Boundaries!$G6*ABS(-Boundaries!$D$15+Boundaries!$C$15)/7</f>
        <v>-155.57142857142856</v>
      </c>
      <c r="B7" s="59">
        <f>Boundaries!$E$15+Boundaries!$G6*ABS(Boundaries!$E$15-Boundaries!$F$15)/7</f>
        <v>-3909.51</v>
      </c>
      <c r="C7" s="59">
        <f>Boundaries!$F$35+Boundaries!$G6*Boundaries!$G$35/7</f>
        <v>183951.6</v>
      </c>
      <c r="D7" s="59"/>
      <c r="E7" s="59"/>
      <c r="F7" s="59"/>
      <c r="G7" s="59"/>
    </row>
    <row r="8" spans="1:7" x14ac:dyDescent="0.2">
      <c r="A8" s="59">
        <f>Boundaries!$C$15+Boundaries!$G7*ABS(-Boundaries!$D$15+Boundaries!$C$15)/7</f>
        <v>-101.28571428571428</v>
      </c>
      <c r="B8" s="59">
        <f>Boundaries!$E$15+Boundaries!$G7*ABS(Boundaries!$E$15-Boundaries!$F$15)/7</f>
        <v>-2545.3100000000013</v>
      </c>
      <c r="C8" s="59">
        <f>Boundaries!$F$35+Boundaries!$G7*Boundaries!$G$35/7</f>
        <v>220741.91999999998</v>
      </c>
      <c r="D8" s="59"/>
      <c r="E8" s="59"/>
      <c r="F8" s="59"/>
      <c r="G8" s="59"/>
    </row>
    <row r="9" spans="1:7" x14ac:dyDescent="0.2">
      <c r="A9" s="59">
        <f>Boundaries!$C$15+Boundaries!$G8*ABS(-Boundaries!$D$15+Boundaries!$C$15)/7</f>
        <v>-47</v>
      </c>
      <c r="B9" s="59">
        <f>Boundaries!$E$15+Boundaries!$G8*ABS(Boundaries!$E$15-Boundaries!$F$15)/7</f>
        <v>-1181.1100000000006</v>
      </c>
      <c r="C9" s="59">
        <f>Boundaries!$F$35+Boundaries!$G8*Boundaries!$G$35/7</f>
        <v>257532.24</v>
      </c>
      <c r="D9" s="59"/>
      <c r="E9" s="59"/>
      <c r="F9" s="59"/>
      <c r="G9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364A-0D1B-C846-BA66-70F8A273287F}">
  <dimension ref="A1:G9"/>
  <sheetViews>
    <sheetView tabSelected="1" workbookViewId="0">
      <selection activeCell="G10" sqref="G10"/>
    </sheetView>
  </sheetViews>
  <sheetFormatPr baseColWidth="10" defaultRowHeight="15" x14ac:dyDescent="0.2"/>
  <sheetData>
    <row r="1" spans="1:7" x14ac:dyDescent="0.2">
      <c r="A1" t="s">
        <v>184</v>
      </c>
      <c r="B1" t="s">
        <v>185</v>
      </c>
      <c r="C1" t="s">
        <v>188</v>
      </c>
    </row>
    <row r="2" spans="1:7" x14ac:dyDescent="0.2">
      <c r="A2" s="59">
        <f>Boundaries!$C$16+Boundaries!$G1*ABS(-Boundaries!$D$16+Boundaries!$C$16)/7</f>
        <v>-907</v>
      </c>
      <c r="B2" s="59">
        <f>Boundaries!$E$16+Boundaries!$G1*ABS(Boundaries!$E$16-Boundaries!$F$16)/7</f>
        <v>-22792.91</v>
      </c>
      <c r="C2">
        <v>10</v>
      </c>
    </row>
    <row r="3" spans="1:7" x14ac:dyDescent="0.2">
      <c r="A3" s="59">
        <f>Boundaries!$C$16+Boundaries!$G2*ABS(-Boundaries!$D$16+Boundaries!$C$16)/7</f>
        <v>-784.14285714285711</v>
      </c>
      <c r="B3" s="59">
        <f>Boundaries!$E$16+Boundaries!$G2*ABS(Boundaries!$E$16-Boundaries!$F$16)/7</f>
        <v>-19705.509999999998</v>
      </c>
      <c r="C3" s="59">
        <f>Boundaries!$H$35+Boundaries!$G2*Boundaries!$I$35/7</f>
        <v>78147.12</v>
      </c>
      <c r="D3" s="59"/>
      <c r="E3" s="59"/>
      <c r="F3" s="59"/>
      <c r="G3" s="59"/>
    </row>
    <row r="4" spans="1:7" x14ac:dyDescent="0.2">
      <c r="A4" s="59">
        <f>Boundaries!$C$16+Boundaries!$G3*ABS(-Boundaries!$D$16+Boundaries!$C$16)/7</f>
        <v>-661.28571428571422</v>
      </c>
      <c r="B4" s="59">
        <f>Boundaries!$E$16+Boundaries!$G3*ABS(Boundaries!$E$16-Boundaries!$F$16)/7</f>
        <v>-16618.11</v>
      </c>
      <c r="C4" s="59">
        <f>Boundaries!$H$35+Boundaries!$G3*Boundaries!$I$35/7</f>
        <v>156294.24</v>
      </c>
      <c r="D4" s="59"/>
      <c r="E4" s="59"/>
      <c r="F4" s="59"/>
      <c r="G4" s="59"/>
    </row>
    <row r="5" spans="1:7" x14ac:dyDescent="0.2">
      <c r="A5" s="59">
        <f>Boundaries!$C$16+Boundaries!$G4*ABS(-Boundaries!$D$16+Boundaries!$C$16)/7</f>
        <v>-538.42857142857144</v>
      </c>
      <c r="B5" s="59">
        <f>Boundaries!$E$16+Boundaries!$G4*ABS(Boundaries!$E$16-Boundaries!$F$16)/7</f>
        <v>-13530.710000000001</v>
      </c>
      <c r="C5" s="59">
        <f>Boundaries!$H$35+Boundaries!$G4*Boundaries!$I$35/7</f>
        <v>234441.36000000002</v>
      </c>
      <c r="D5" s="59"/>
      <c r="E5" s="59"/>
      <c r="F5" s="59"/>
      <c r="G5" s="59"/>
    </row>
    <row r="6" spans="1:7" x14ac:dyDescent="0.2">
      <c r="A6" s="59">
        <f>Boundaries!$C$16+Boundaries!$G5*ABS(-Boundaries!$D$16+Boundaries!$C$16)/7</f>
        <v>-415.57142857142856</v>
      </c>
      <c r="B6" s="59">
        <f>Boundaries!$E$16+Boundaries!$G5*ABS(Boundaries!$E$16-Boundaries!$F$16)/7</f>
        <v>-10443.31</v>
      </c>
      <c r="C6" s="59">
        <f>Boundaries!$H$35+Boundaries!$G5*Boundaries!$I$35/7</f>
        <v>312588.48</v>
      </c>
      <c r="D6" s="59"/>
      <c r="E6" s="59"/>
      <c r="F6" s="59"/>
      <c r="G6" s="59"/>
    </row>
    <row r="7" spans="1:7" x14ac:dyDescent="0.2">
      <c r="A7" s="59">
        <f>Boundaries!$C$16+Boundaries!$G6*ABS(-Boundaries!$D$16+Boundaries!$C$16)/7</f>
        <v>-292.71428571428567</v>
      </c>
      <c r="B7" s="59">
        <f>Boundaries!$E$16+Boundaries!$G6*ABS(Boundaries!$E$16-Boundaries!$F$16)/7</f>
        <v>-7355.91</v>
      </c>
      <c r="C7" s="59">
        <f>Boundaries!$H$35+Boundaries!$G6*Boundaries!$I$35/7</f>
        <v>390735.6</v>
      </c>
      <c r="D7" s="59"/>
      <c r="E7" s="59"/>
      <c r="F7" s="59"/>
      <c r="G7" s="59"/>
    </row>
    <row r="8" spans="1:7" x14ac:dyDescent="0.2">
      <c r="A8" s="59">
        <f>Boundaries!$C$16+Boundaries!$G7*ABS(-Boundaries!$D$16+Boundaries!$C$16)/7</f>
        <v>-169.85714285714289</v>
      </c>
      <c r="B8" s="59">
        <f>Boundaries!$E$16+Boundaries!$G7*ABS(Boundaries!$E$16-Boundaries!$F$16)/7</f>
        <v>-4268.510000000002</v>
      </c>
      <c r="C8" s="59">
        <f>Boundaries!$H$35+Boundaries!$G7*Boundaries!$I$35/7</f>
        <v>468882.72000000003</v>
      </c>
      <c r="D8" s="59"/>
      <c r="E8" s="59"/>
      <c r="F8" s="59"/>
      <c r="G8" s="59"/>
    </row>
    <row r="9" spans="1:7" x14ac:dyDescent="0.2">
      <c r="A9" s="59">
        <f>Boundaries!$C$16+Boundaries!$G8*ABS(-Boundaries!$D$16+Boundaries!$C$16)/7</f>
        <v>-47</v>
      </c>
      <c r="B9" s="59">
        <f>Boundaries!$E$16+Boundaries!$G8*ABS(Boundaries!$E$16-Boundaries!$F$16)/7</f>
        <v>-1181.1100000000006</v>
      </c>
      <c r="C9" s="59">
        <f>Boundaries!$H$35+Boundaries!$G8*Boundaries!$I$35/7</f>
        <v>547029.84</v>
      </c>
      <c r="D9" s="59"/>
      <c r="E9" s="59"/>
      <c r="F9" s="59"/>
      <c r="G9" s="5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F20-95C4-42A2-B03A-23B9DD4DBFA3}">
  <dimension ref="A1:L45"/>
  <sheetViews>
    <sheetView zoomScale="120" zoomScaleNormal="120" workbookViewId="0">
      <selection activeCell="K14" sqref="K14"/>
    </sheetView>
  </sheetViews>
  <sheetFormatPr baseColWidth="10" defaultColWidth="8.83203125" defaultRowHeight="15" x14ac:dyDescent="0.2"/>
  <cols>
    <col min="1" max="1" width="28.83203125" customWidth="1"/>
    <col min="2" max="2" width="21.33203125" customWidth="1"/>
    <col min="3" max="3" width="15.1640625" bestFit="1" customWidth="1"/>
    <col min="4" max="5" width="13.5" bestFit="1" customWidth="1"/>
    <col min="6" max="6" width="20" bestFit="1" customWidth="1"/>
    <col min="7" max="8" width="15.1640625" bestFit="1" customWidth="1"/>
    <col min="9" max="9" width="13.5" bestFit="1" customWidth="1"/>
    <col min="10" max="10" width="9" customWidth="1"/>
    <col min="11" max="11" width="13.6640625" customWidth="1"/>
    <col min="12" max="12" width="11.83203125" customWidth="1"/>
  </cols>
  <sheetData>
    <row r="1" spans="1:8" x14ac:dyDescent="0.2">
      <c r="A1" t="s">
        <v>72</v>
      </c>
      <c r="B1" t="s">
        <v>70</v>
      </c>
      <c r="G1">
        <v>0</v>
      </c>
    </row>
    <row r="2" spans="1:8" x14ac:dyDescent="0.2">
      <c r="A2" t="s">
        <v>65</v>
      </c>
      <c r="B2" t="s">
        <v>73</v>
      </c>
      <c r="G2">
        <v>1</v>
      </c>
    </row>
    <row r="3" spans="1:8" x14ac:dyDescent="0.2">
      <c r="A3" t="s">
        <v>71</v>
      </c>
      <c r="G3">
        <v>2</v>
      </c>
    </row>
    <row r="4" spans="1:8" x14ac:dyDescent="0.2">
      <c r="A4" t="s">
        <v>64</v>
      </c>
      <c r="B4" t="s">
        <v>74</v>
      </c>
      <c r="C4" t="s">
        <v>28</v>
      </c>
      <c r="G4">
        <v>3</v>
      </c>
    </row>
    <row r="5" spans="1:8" x14ac:dyDescent="0.2">
      <c r="A5" t="s">
        <v>179</v>
      </c>
      <c r="B5">
        <v>53</v>
      </c>
      <c r="C5" t="s">
        <v>61</v>
      </c>
      <c r="G5">
        <v>4</v>
      </c>
    </row>
    <row r="6" spans="1:8" x14ac:dyDescent="0.2">
      <c r="A6" t="s">
        <v>79</v>
      </c>
      <c r="B6" s="2">
        <v>-9.9999999999999997E+199</v>
      </c>
      <c r="C6" t="s">
        <v>61</v>
      </c>
      <c r="G6">
        <v>5</v>
      </c>
    </row>
    <row r="7" spans="1:8" x14ac:dyDescent="0.2">
      <c r="A7" t="s">
        <v>75</v>
      </c>
      <c r="B7" s="2">
        <v>-9.9999999999999997E+199</v>
      </c>
      <c r="C7" t="s">
        <v>61</v>
      </c>
      <c r="G7">
        <v>6</v>
      </c>
    </row>
    <row r="8" spans="1:8" x14ac:dyDescent="0.2">
      <c r="A8" t="s">
        <v>76</v>
      </c>
      <c r="B8" s="2">
        <v>-9.9999999999999997E+199</v>
      </c>
      <c r="C8" t="s">
        <v>61</v>
      </c>
      <c r="G8">
        <v>7</v>
      </c>
    </row>
    <row r="9" spans="1:8" x14ac:dyDescent="0.2">
      <c r="A9" t="s">
        <v>77</v>
      </c>
      <c r="B9" s="2">
        <v>-9.9999999999999997E+199</v>
      </c>
      <c r="C9" t="s">
        <v>61</v>
      </c>
      <c r="G9">
        <v>8</v>
      </c>
    </row>
    <row r="10" spans="1:8" x14ac:dyDescent="0.2">
      <c r="B10" s="2"/>
    </row>
    <row r="11" spans="1:8" ht="16" thickBot="1" x14ac:dyDescent="0.25"/>
    <row r="12" spans="1:8" x14ac:dyDescent="0.2">
      <c r="A12" s="62" t="s">
        <v>106</v>
      </c>
      <c r="B12" s="64" t="s">
        <v>107</v>
      </c>
      <c r="C12" s="66" t="s">
        <v>108</v>
      </c>
      <c r="D12" s="66"/>
      <c r="E12" s="66" t="s">
        <v>181</v>
      </c>
      <c r="F12" s="61"/>
      <c r="G12" s="67"/>
      <c r="H12" s="67"/>
    </row>
    <row r="13" spans="1:8" x14ac:dyDescent="0.2">
      <c r="A13" s="63"/>
      <c r="B13" s="65"/>
      <c r="C13" t="s">
        <v>109</v>
      </c>
      <c r="D13" t="s">
        <v>110</v>
      </c>
      <c r="E13" t="s">
        <v>109</v>
      </c>
      <c r="F13" s="10" t="s">
        <v>110</v>
      </c>
    </row>
    <row r="14" spans="1:8" x14ac:dyDescent="0.2">
      <c r="A14" s="9" t="s">
        <v>112</v>
      </c>
      <c r="B14">
        <v>720</v>
      </c>
      <c r="C14">
        <f>MAX(-B14+$B$5, -1000+$B$5)</f>
        <v>-667</v>
      </c>
      <c r="D14">
        <f>-100+$B$5</f>
        <v>-47</v>
      </c>
      <c r="E14">
        <f>C14*25.13</f>
        <v>-16761.71</v>
      </c>
      <c r="F14" s="10">
        <f>D14*25.13</f>
        <v>-1181.1099999999999</v>
      </c>
    </row>
    <row r="15" spans="1:8" x14ac:dyDescent="0.2">
      <c r="A15" s="9" t="s">
        <v>186</v>
      </c>
      <c r="B15">
        <f>12*40</f>
        <v>480</v>
      </c>
      <c r="C15">
        <f t="shared" ref="C15:C16" si="0">MAX(-B15+$B$5, -1000+$B$5)</f>
        <v>-427</v>
      </c>
      <c r="D15">
        <f t="shared" ref="D15:D16" si="1">-100+$B$5</f>
        <v>-47</v>
      </c>
      <c r="E15">
        <f t="shared" ref="E15:F15" si="2">C15*25.13</f>
        <v>-10730.51</v>
      </c>
      <c r="F15" s="10">
        <f t="shared" si="2"/>
        <v>-1181.1099999999999</v>
      </c>
    </row>
    <row r="16" spans="1:8" ht="16" thickBot="1" x14ac:dyDescent="0.25">
      <c r="A16" s="11" t="s">
        <v>187</v>
      </c>
      <c r="B16" s="18">
        <f>12*80</f>
        <v>960</v>
      </c>
      <c r="C16" s="18">
        <f t="shared" si="0"/>
        <v>-907</v>
      </c>
      <c r="D16" s="18">
        <f t="shared" si="1"/>
        <v>-47</v>
      </c>
      <c r="E16" s="18">
        <f t="shared" ref="E16" si="3">C16*25.13</f>
        <v>-22792.91</v>
      </c>
      <c r="F16" s="13">
        <f t="shared" ref="F16" si="4">D16*25.13</f>
        <v>-1181.1099999999999</v>
      </c>
    </row>
    <row r="18" spans="1:12" ht="16" x14ac:dyDescent="0.2">
      <c r="A18" s="40" t="s">
        <v>127</v>
      </c>
    </row>
    <row r="19" spans="1:12" ht="16" thickBot="1" x14ac:dyDescent="0.25"/>
    <row r="20" spans="1:12" ht="16" thickBot="1" x14ac:dyDescent="0.25">
      <c r="A20" s="68" t="s">
        <v>111</v>
      </c>
      <c r="B20" s="69"/>
      <c r="C20" s="69"/>
      <c r="D20" s="69"/>
      <c r="E20" s="69"/>
      <c r="F20" s="69"/>
      <c r="G20" s="69"/>
      <c r="H20" s="69"/>
      <c r="I20" s="69"/>
      <c r="J20" s="69"/>
      <c r="K20" s="70"/>
    </row>
    <row r="21" spans="1:12" x14ac:dyDescent="0.2">
      <c r="A21" s="36" t="s">
        <v>106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 s="10">
        <v>9</v>
      </c>
    </row>
    <row r="22" spans="1:12" ht="16" x14ac:dyDescent="0.2">
      <c r="A22" s="9" t="str">
        <f>A14</f>
        <v>Ref</v>
      </c>
      <c r="B22" s="39">
        <f>$C14+B$21*ABS($C14-$D14)/9</f>
        <v>-667</v>
      </c>
      <c r="C22" s="26">
        <f t="shared" ref="C22:K22" si="5">$C14+C$21*ABS($C14-$D14)/9</f>
        <v>-598.11111111111109</v>
      </c>
      <c r="D22" s="39">
        <f t="shared" si="5"/>
        <v>-529.22222222222217</v>
      </c>
      <c r="E22" s="26">
        <f t="shared" si="5"/>
        <v>-460.33333333333337</v>
      </c>
      <c r="F22" s="39">
        <f t="shared" si="5"/>
        <v>-391.44444444444446</v>
      </c>
      <c r="G22" s="26">
        <f t="shared" si="5"/>
        <v>-322.55555555555554</v>
      </c>
      <c r="H22" s="39">
        <f t="shared" si="5"/>
        <v>-253.66666666666669</v>
      </c>
      <c r="I22" s="26">
        <f t="shared" si="5"/>
        <v>-184.77777777777777</v>
      </c>
      <c r="J22" s="39">
        <f t="shared" si="5"/>
        <v>-115.88888888888891</v>
      </c>
      <c r="K22" s="29">
        <f t="shared" si="5"/>
        <v>-47</v>
      </c>
    </row>
    <row r="23" spans="1:12" ht="16" x14ac:dyDescent="0.2">
      <c r="A23" s="9" t="str">
        <f>A15</f>
        <v>40MWe</v>
      </c>
      <c r="B23" s="39">
        <f t="shared" ref="B23:K23" si="6">$C15+B$21*ABS($C15-$D15)/9</f>
        <v>-427</v>
      </c>
      <c r="C23" s="26">
        <f t="shared" si="6"/>
        <v>-384.77777777777777</v>
      </c>
      <c r="D23" s="39">
        <f t="shared" si="6"/>
        <v>-342.55555555555554</v>
      </c>
      <c r="E23" s="26">
        <f t="shared" si="6"/>
        <v>-300.33333333333331</v>
      </c>
      <c r="F23" s="39">
        <f t="shared" si="6"/>
        <v>-258.11111111111109</v>
      </c>
      <c r="G23" s="26">
        <f t="shared" si="6"/>
        <v>-215.88888888888889</v>
      </c>
      <c r="H23" s="39">
        <f t="shared" si="6"/>
        <v>-173.66666666666666</v>
      </c>
      <c r="I23" s="26">
        <f t="shared" si="6"/>
        <v>-131.44444444444446</v>
      </c>
      <c r="J23" s="39">
        <f t="shared" si="6"/>
        <v>-89.222222222222229</v>
      </c>
      <c r="K23" s="29">
        <f t="shared" si="6"/>
        <v>-47</v>
      </c>
    </row>
    <row r="24" spans="1:12" ht="17" thickBot="1" x14ac:dyDescent="0.25">
      <c r="A24" s="11" t="str">
        <f>A16</f>
        <v>80MWe</v>
      </c>
      <c r="B24" s="39">
        <f t="shared" ref="B24:K24" si="7">$C16+B$21*ABS($C16-$D16)/9</f>
        <v>-907</v>
      </c>
      <c r="C24" s="30">
        <f t="shared" si="7"/>
        <v>-811.44444444444446</v>
      </c>
      <c r="D24" s="39">
        <f t="shared" si="7"/>
        <v>-715.88888888888891</v>
      </c>
      <c r="E24" s="30">
        <f t="shared" si="7"/>
        <v>-620.33333333333326</v>
      </c>
      <c r="F24" s="39">
        <f t="shared" si="7"/>
        <v>-524.77777777777783</v>
      </c>
      <c r="G24" s="30">
        <f t="shared" si="7"/>
        <v>-429.22222222222223</v>
      </c>
      <c r="H24" s="39">
        <f t="shared" si="7"/>
        <v>-333.66666666666663</v>
      </c>
      <c r="I24" s="30">
        <f t="shared" si="7"/>
        <v>-238.11111111111109</v>
      </c>
      <c r="J24" s="39">
        <f t="shared" si="7"/>
        <v>-142.55555555555554</v>
      </c>
      <c r="K24" s="31">
        <f t="shared" si="7"/>
        <v>-47</v>
      </c>
    </row>
    <row r="25" spans="1:12" ht="16" thickBot="1" x14ac:dyDescent="0.25"/>
    <row r="26" spans="1:12" ht="16" thickBot="1" x14ac:dyDescent="0.25">
      <c r="A26" s="68" t="s">
        <v>180</v>
      </c>
      <c r="B26" s="69"/>
      <c r="C26" s="69"/>
      <c r="D26" s="69"/>
      <c r="E26" s="69"/>
      <c r="F26" s="69"/>
      <c r="G26" s="69"/>
      <c r="H26" s="69"/>
      <c r="I26" s="69"/>
      <c r="J26" s="69"/>
      <c r="K26" s="70"/>
    </row>
    <row r="27" spans="1:12" x14ac:dyDescent="0.2">
      <c r="A27" s="36" t="s">
        <v>106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 s="10">
        <v>9</v>
      </c>
    </row>
    <row r="28" spans="1:12" ht="16" x14ac:dyDescent="0.2">
      <c r="A28" s="9" t="str">
        <f>A14</f>
        <v>Ref</v>
      </c>
      <c r="B28" s="39">
        <f t="shared" ref="B28:K28" si="8">$E14+B$27*ABS($E14-$F14)/9</f>
        <v>-16761.71</v>
      </c>
      <c r="C28" s="26">
        <f t="shared" si="8"/>
        <v>-15030.532222222222</v>
      </c>
      <c r="D28" s="39">
        <f t="shared" si="8"/>
        <v>-13299.354444444443</v>
      </c>
      <c r="E28" s="26">
        <f t="shared" si="8"/>
        <v>-11568.176666666666</v>
      </c>
      <c r="F28" s="39">
        <f t="shared" si="8"/>
        <v>-9836.9988888888874</v>
      </c>
      <c r="G28" s="26">
        <f t="shared" si="8"/>
        <v>-8105.8211111111104</v>
      </c>
      <c r="H28" s="39">
        <f t="shared" si="8"/>
        <v>-6374.6433333333334</v>
      </c>
      <c r="I28" s="26">
        <f t="shared" si="8"/>
        <v>-4643.4655555555564</v>
      </c>
      <c r="J28" s="39">
        <f t="shared" si="8"/>
        <v>-2912.2877777777776</v>
      </c>
      <c r="K28" s="29">
        <f t="shared" si="8"/>
        <v>-1181.1100000000006</v>
      </c>
    </row>
    <row r="29" spans="1:12" ht="16" x14ac:dyDescent="0.2">
      <c r="A29" s="9" t="str">
        <f>A15</f>
        <v>40MWe</v>
      </c>
      <c r="B29" s="39">
        <f t="shared" ref="B29:K29" si="9">$E15+B$27*ABS($E15-$F15)/9</f>
        <v>-10730.51</v>
      </c>
      <c r="C29" s="26">
        <f t="shared" si="9"/>
        <v>-9669.4655555555564</v>
      </c>
      <c r="D29" s="39">
        <f t="shared" si="9"/>
        <v>-8608.4211111111108</v>
      </c>
      <c r="E29" s="26">
        <f t="shared" si="9"/>
        <v>-7547.376666666667</v>
      </c>
      <c r="F29" s="39">
        <f t="shared" si="9"/>
        <v>-6486.3322222222223</v>
      </c>
      <c r="G29" s="26">
        <f t="shared" si="9"/>
        <v>-5425.2877777777776</v>
      </c>
      <c r="H29" s="39">
        <f t="shared" si="9"/>
        <v>-4364.2433333333338</v>
      </c>
      <c r="I29" s="26">
        <f t="shared" si="9"/>
        <v>-3303.1988888888891</v>
      </c>
      <c r="J29" s="39">
        <f t="shared" si="9"/>
        <v>-2242.1544444444444</v>
      </c>
      <c r="K29" s="29">
        <f t="shared" si="9"/>
        <v>-1181.1100000000006</v>
      </c>
      <c r="L29" s="26"/>
    </row>
    <row r="30" spans="1:12" ht="17" thickBot="1" x14ac:dyDescent="0.25">
      <c r="A30" s="11" t="str">
        <f>A16</f>
        <v>80MWe</v>
      </c>
      <c r="B30" s="39">
        <f t="shared" ref="B30:K30" si="10">$E16+B$27*ABS($E16-$F16)/9</f>
        <v>-22792.91</v>
      </c>
      <c r="C30" s="30">
        <f t="shared" si="10"/>
        <v>-20391.59888888889</v>
      </c>
      <c r="D30" s="39">
        <f t="shared" si="10"/>
        <v>-17990.287777777776</v>
      </c>
      <c r="E30" s="30">
        <f t="shared" si="10"/>
        <v>-15588.976666666667</v>
      </c>
      <c r="F30" s="39">
        <f t="shared" si="10"/>
        <v>-13187.665555555555</v>
      </c>
      <c r="G30" s="30">
        <f t="shared" si="10"/>
        <v>-10786.354444444445</v>
      </c>
      <c r="H30" s="39">
        <f t="shared" si="10"/>
        <v>-8385.0433333333349</v>
      </c>
      <c r="I30" s="30">
        <f t="shared" si="10"/>
        <v>-5983.732222222221</v>
      </c>
      <c r="J30" s="39">
        <f t="shared" si="10"/>
        <v>-3582.4211111111108</v>
      </c>
      <c r="K30" s="31">
        <f t="shared" si="10"/>
        <v>-1181.1100000000006</v>
      </c>
    </row>
    <row r="31" spans="1:12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</row>
    <row r="32" spans="1:12" ht="16" thickBot="1" x14ac:dyDescent="0.25"/>
    <row r="33" spans="1:11" ht="16" thickBot="1" x14ac:dyDescent="0.25">
      <c r="A33" s="38" t="s">
        <v>115</v>
      </c>
      <c r="B33" s="24"/>
      <c r="C33" s="24"/>
      <c r="D33" s="60" t="str">
        <f>A14</f>
        <v>Ref</v>
      </c>
      <c r="E33" s="61"/>
      <c r="F33" s="60" t="str">
        <f>A15</f>
        <v>40MWe</v>
      </c>
      <c r="G33" s="61"/>
      <c r="H33" s="60" t="str">
        <f>A30</f>
        <v>80MWe</v>
      </c>
      <c r="I33" s="61"/>
      <c r="J33" s="67"/>
      <c r="K33" s="67"/>
    </row>
    <row r="34" spans="1:11" ht="16" thickBot="1" x14ac:dyDescent="0.25">
      <c r="A34" s="11" t="s">
        <v>116</v>
      </c>
      <c r="B34" s="33"/>
      <c r="C34" s="33"/>
      <c r="D34" s="11" t="s">
        <v>109</v>
      </c>
      <c r="E34" s="13" t="s">
        <v>110</v>
      </c>
      <c r="F34" s="11" t="s">
        <v>109</v>
      </c>
      <c r="G34" s="13" t="s">
        <v>110</v>
      </c>
      <c r="H34" s="11" t="s">
        <v>109</v>
      </c>
      <c r="I34" s="13" t="s">
        <v>110</v>
      </c>
    </row>
    <row r="35" spans="1:11" x14ac:dyDescent="0.2">
      <c r="A35" s="9" t="s">
        <v>99</v>
      </c>
      <c r="B35" s="32"/>
      <c r="C35" s="32"/>
      <c r="D35">
        <v>0</v>
      </c>
      <c r="E35" s="26">
        <f>ABS($E$14)*24</f>
        <v>402281.04</v>
      </c>
      <c r="F35" s="26">
        <v>0</v>
      </c>
      <c r="G35" s="26">
        <f>ABS($E$15)*24</f>
        <v>257532.24</v>
      </c>
      <c r="H35">
        <v>0</v>
      </c>
      <c r="I35" s="26">
        <f>ABS($E$16*24)</f>
        <v>547029.84</v>
      </c>
      <c r="J35" s="26"/>
      <c r="K35" s="26"/>
    </row>
    <row r="36" spans="1:11" ht="16" thickBot="1" x14ac:dyDescent="0.25"/>
    <row r="37" spans="1:11" x14ac:dyDescent="0.2">
      <c r="A37" s="37" t="s">
        <v>126</v>
      </c>
      <c r="B37" s="24">
        <v>0</v>
      </c>
      <c r="C37" s="27">
        <v>1</v>
      </c>
      <c r="D37" s="24">
        <v>2</v>
      </c>
      <c r="E37" s="27">
        <v>3</v>
      </c>
      <c r="F37" s="24">
        <v>4</v>
      </c>
      <c r="G37" s="27">
        <v>5</v>
      </c>
      <c r="H37" s="24">
        <v>6</v>
      </c>
      <c r="I37" s="27">
        <v>7</v>
      </c>
      <c r="J37" s="24">
        <v>8</v>
      </c>
      <c r="K37" s="28">
        <v>9</v>
      </c>
    </row>
    <row r="38" spans="1:11" x14ac:dyDescent="0.2">
      <c r="A38" s="9" t="str">
        <f>A35</f>
        <v>illinois</v>
      </c>
      <c r="B38" s="26">
        <f>$D35+B$37*ABS($E35-$D35)/9</f>
        <v>0</v>
      </c>
      <c r="C38" s="26">
        <f>$D35+C$37*ABS($E35-$D35)/9</f>
        <v>44697.893333333333</v>
      </c>
      <c r="D38" s="26">
        <f>$D35+D$37*ABS($E35-$D35)/9</f>
        <v>89395.786666666667</v>
      </c>
      <c r="E38" s="26">
        <f>$D35+E$37*ABS($E35-$D35)/9</f>
        <v>134093.68</v>
      </c>
      <c r="F38" s="26">
        <f>$D35+F$37*ABS($E35-$D35)/9</f>
        <v>178791.57333333333</v>
      </c>
      <c r="G38" s="26">
        <f>$D35+G$37*ABS($E35-$D35)/9</f>
        <v>223489.46666666667</v>
      </c>
      <c r="H38" s="26">
        <f>$D35+H$37*ABS($E35-$D35)/9</f>
        <v>268187.36</v>
      </c>
      <c r="I38" s="26">
        <f>$D35+I$37*ABS($E35-$D35)/9</f>
        <v>312885.2533333333</v>
      </c>
      <c r="J38" s="26">
        <f>$D35+J$37*ABS($E35-$D35)/9</f>
        <v>357583.14666666667</v>
      </c>
      <c r="K38" s="29">
        <f>$D35+K$37*ABS($E35-$D35)/9</f>
        <v>402281.04</v>
      </c>
    </row>
    <row r="39" spans="1:11" ht="16" thickBot="1" x14ac:dyDescent="0.25"/>
    <row r="40" spans="1:11" x14ac:dyDescent="0.2">
      <c r="A40" s="37" t="str">
        <f>F33</f>
        <v>40MWe</v>
      </c>
      <c r="B40" s="24">
        <v>0</v>
      </c>
      <c r="C40" s="27">
        <v>1</v>
      </c>
      <c r="D40" s="24">
        <v>2</v>
      </c>
      <c r="E40" s="27">
        <v>3</v>
      </c>
      <c r="F40" s="24">
        <v>4</v>
      </c>
      <c r="G40" s="27">
        <v>5</v>
      </c>
      <c r="H40" s="24">
        <v>6</v>
      </c>
      <c r="I40" s="27">
        <v>7</v>
      </c>
      <c r="J40" s="24">
        <v>8</v>
      </c>
      <c r="K40" s="28">
        <v>9</v>
      </c>
    </row>
    <row r="41" spans="1:11" ht="16" x14ac:dyDescent="0.2">
      <c r="A41" s="9" t="str">
        <f>A38</f>
        <v>illinois</v>
      </c>
      <c r="B41" s="39">
        <f>$F35+B$37*ABS($G35-$F35)/9</f>
        <v>0</v>
      </c>
      <c r="C41" s="26">
        <f>$F35+C$37*ABS($G35-$F35)/9</f>
        <v>28614.693333333333</v>
      </c>
      <c r="D41" s="39">
        <f>$F35+D$37*ABS($G35-$F35)/9</f>
        <v>57229.386666666665</v>
      </c>
      <c r="E41" s="26">
        <f>$F35+E$37*ABS($G35-$F35)/9</f>
        <v>85844.08</v>
      </c>
      <c r="F41" s="39">
        <f>$F35+F$37*ABS($G35-$F35)/9</f>
        <v>114458.77333333333</v>
      </c>
      <c r="G41" s="26">
        <f>$F35+G$37*ABS($G35-$F35)/9</f>
        <v>143073.46666666667</v>
      </c>
      <c r="H41" s="39">
        <f>$F35+H$37*ABS($G35-$F35)/9</f>
        <v>171688.16</v>
      </c>
      <c r="I41" s="26">
        <f>$F35+I$37*ABS($G35-$F35)/9</f>
        <v>200302.85333333333</v>
      </c>
      <c r="J41" s="39">
        <f>$F35+J$37*ABS($G35-$F35)/9</f>
        <v>228917.54666666666</v>
      </c>
      <c r="K41" s="29">
        <f>$F35+K$37*ABS($G35-$F35)/9</f>
        <v>257532.24000000002</v>
      </c>
    </row>
    <row r="43" spans="1:11" ht="16" thickBot="1" x14ac:dyDescent="0.25"/>
    <row r="44" spans="1:11" x14ac:dyDescent="0.2">
      <c r="A44" s="37" t="str">
        <f>H33</f>
        <v>80MWe</v>
      </c>
      <c r="B44" s="34">
        <f>B37</f>
        <v>0</v>
      </c>
      <c r="C44" s="34">
        <f t="shared" ref="C44:K44" si="11">C37</f>
        <v>1</v>
      </c>
      <c r="D44" s="34">
        <f t="shared" si="11"/>
        <v>2</v>
      </c>
      <c r="E44" s="34">
        <f t="shared" si="11"/>
        <v>3</v>
      </c>
      <c r="F44" s="34">
        <f t="shared" si="11"/>
        <v>4</v>
      </c>
      <c r="G44" s="34">
        <f t="shared" si="11"/>
        <v>5</v>
      </c>
      <c r="H44" s="34">
        <f t="shared" si="11"/>
        <v>6</v>
      </c>
      <c r="I44" s="34">
        <f t="shared" si="11"/>
        <v>7</v>
      </c>
      <c r="J44" s="34">
        <f t="shared" si="11"/>
        <v>8</v>
      </c>
      <c r="K44" s="35">
        <f t="shared" si="11"/>
        <v>9</v>
      </c>
    </row>
    <row r="45" spans="1:11" ht="16" x14ac:dyDescent="0.2">
      <c r="A45" s="9" t="str">
        <f>A35</f>
        <v>illinois</v>
      </c>
      <c r="B45" s="39">
        <f>$H35+B$37*ABS($I35-$H35)/9</f>
        <v>0</v>
      </c>
      <c r="C45" s="26">
        <f>$H35+C$37*ABS($I35-$H35)/9</f>
        <v>60781.093333333331</v>
      </c>
      <c r="D45" s="39">
        <f>$H35+D$37*ABS($I35-$H35)/9</f>
        <v>121562.18666666666</v>
      </c>
      <c r="E45" s="26">
        <f>$H35+E$37*ABS($I35-$H35)/9</f>
        <v>182343.28</v>
      </c>
      <c r="F45" s="39">
        <f>$H35+F$37*ABS($I35-$H35)/9</f>
        <v>243124.37333333332</v>
      </c>
      <c r="G45" s="26">
        <f>$H35+G$37*ABS($I35-$H35)/9</f>
        <v>303905.46666666662</v>
      </c>
      <c r="H45" s="39">
        <f>$H35+H$37*ABS($I35-$H35)/9</f>
        <v>364686.56</v>
      </c>
      <c r="I45" s="26">
        <f>$H35+I$37*ABS($I35-$H35)/9</f>
        <v>425467.65333333332</v>
      </c>
      <c r="J45" s="39">
        <f>$H35+J$37*ABS($I35-$H35)/9</f>
        <v>486248.74666666664</v>
      </c>
      <c r="K45" s="29">
        <f>$H35+K$37*ABS($I35-$H35)/9</f>
        <v>547029.84</v>
      </c>
    </row>
  </sheetData>
  <mergeCells count="11">
    <mergeCell ref="H33:I33"/>
    <mergeCell ref="A12:A13"/>
    <mergeCell ref="B12:B13"/>
    <mergeCell ref="C12:D12"/>
    <mergeCell ref="E12:F12"/>
    <mergeCell ref="G12:H12"/>
    <mergeCell ref="A20:K20"/>
    <mergeCell ref="A26:K26"/>
    <mergeCell ref="D33:E33"/>
    <mergeCell ref="F33:G33"/>
    <mergeCell ref="J33:K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9676-3E9F-3445-A5B7-C86CFA7A8DEF}">
  <dimension ref="A1:K4"/>
  <sheetViews>
    <sheetView workbookViewId="0">
      <selection activeCell="C3" sqref="C3"/>
    </sheetView>
  </sheetViews>
  <sheetFormatPr baseColWidth="10" defaultRowHeight="15" x14ac:dyDescent="0.2"/>
  <sheetData>
    <row r="1" spans="1:11" x14ac:dyDescent="0.2">
      <c r="A1" t="s">
        <v>182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60</v>
      </c>
      <c r="B2" s="26">
        <f>Boundaries!B22</f>
        <v>-667</v>
      </c>
      <c r="C2" s="26">
        <f>Boundaries!C22</f>
        <v>-598.11111111111109</v>
      </c>
      <c r="D2" s="26">
        <f>Boundaries!D22</f>
        <v>-529.22222222222217</v>
      </c>
      <c r="E2" s="26">
        <f>Boundaries!E22</f>
        <v>-460.33333333333337</v>
      </c>
      <c r="F2" s="26">
        <f>Boundaries!F22</f>
        <v>-391.44444444444446</v>
      </c>
      <c r="G2" s="26">
        <f>Boundaries!G22</f>
        <v>-322.55555555555554</v>
      </c>
      <c r="H2" s="26">
        <f>Boundaries!H22</f>
        <v>-253.66666666666669</v>
      </c>
      <c r="I2" s="26">
        <f>Boundaries!I22</f>
        <v>-184.77777777777777</v>
      </c>
      <c r="J2" s="26">
        <f>Boundaries!J22</f>
        <v>-115.88888888888891</v>
      </c>
      <c r="K2" s="26">
        <f>Boundaries!K22</f>
        <v>-47</v>
      </c>
    </row>
    <row r="3" spans="1:11" x14ac:dyDescent="0.2">
      <c r="A3">
        <v>20</v>
      </c>
      <c r="B3" s="26">
        <f>Boundaries!B23</f>
        <v>-427</v>
      </c>
      <c r="C3" s="26">
        <f>Boundaries!C23</f>
        <v>-384.77777777777777</v>
      </c>
      <c r="D3" s="26">
        <f>Boundaries!D23</f>
        <v>-342.55555555555554</v>
      </c>
      <c r="E3" s="26">
        <f>Boundaries!E23</f>
        <v>-300.33333333333331</v>
      </c>
      <c r="F3" s="26">
        <f>Boundaries!F23</f>
        <v>-258.11111111111109</v>
      </c>
      <c r="G3" s="26">
        <f>Boundaries!G23</f>
        <v>-215.88888888888889</v>
      </c>
      <c r="H3" s="26">
        <f>Boundaries!H23</f>
        <v>-173.66666666666666</v>
      </c>
      <c r="I3" s="26">
        <f>Boundaries!I23</f>
        <v>-131.44444444444446</v>
      </c>
      <c r="J3" s="26">
        <f>Boundaries!J23</f>
        <v>-89.222222222222229</v>
      </c>
      <c r="K3" s="26">
        <f>Boundaries!K23</f>
        <v>-47</v>
      </c>
    </row>
    <row r="4" spans="1:11" x14ac:dyDescent="0.2">
      <c r="A4">
        <v>100</v>
      </c>
      <c r="B4" s="26">
        <f>Boundaries!B24</f>
        <v>-907</v>
      </c>
      <c r="C4" s="26">
        <f>Boundaries!C24</f>
        <v>-811.44444444444446</v>
      </c>
      <c r="D4" s="26">
        <f>Boundaries!D24</f>
        <v>-715.88888888888891</v>
      </c>
      <c r="E4" s="26">
        <f>Boundaries!E24</f>
        <v>-620.33333333333326</v>
      </c>
      <c r="F4" s="26">
        <f>Boundaries!F24</f>
        <v>-524.77777777777783</v>
      </c>
      <c r="G4" s="26">
        <f>Boundaries!G24</f>
        <v>-429.22222222222223</v>
      </c>
      <c r="H4" s="26">
        <f>Boundaries!H24</f>
        <v>-333.66666666666663</v>
      </c>
      <c r="I4" s="26">
        <f>Boundaries!I24</f>
        <v>-238.11111111111109</v>
      </c>
      <c r="J4" s="26">
        <f>Boundaries!J24</f>
        <v>-142.55555555555554</v>
      </c>
      <c r="K4" s="26">
        <f>Boundaries!K24</f>
        <v>-47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16CF-FC8F-7346-9EC7-361D100E0C44}">
  <dimension ref="A1:K4"/>
  <sheetViews>
    <sheetView workbookViewId="0">
      <selection activeCell="J11" sqref="J11"/>
    </sheetView>
  </sheetViews>
  <sheetFormatPr baseColWidth="10" defaultRowHeight="15" x14ac:dyDescent="0.2"/>
  <sheetData>
    <row r="1" spans="1:11" x14ac:dyDescent="0.2">
      <c r="A1" t="s">
        <v>182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60</v>
      </c>
      <c r="B2" s="26">
        <f>Boundaries!B28</f>
        <v>-16761.71</v>
      </c>
      <c r="C2" s="26">
        <f>Boundaries!C28</f>
        <v>-15030.532222222222</v>
      </c>
      <c r="D2" s="26">
        <f>Boundaries!D28</f>
        <v>-13299.354444444443</v>
      </c>
      <c r="E2" s="26">
        <f>Boundaries!E28</f>
        <v>-11568.176666666666</v>
      </c>
      <c r="F2" s="26">
        <f>Boundaries!F28</f>
        <v>-9836.9988888888874</v>
      </c>
      <c r="G2" s="26">
        <f>Boundaries!G28</f>
        <v>-8105.8211111111104</v>
      </c>
      <c r="H2" s="26">
        <f>Boundaries!H28</f>
        <v>-6374.6433333333334</v>
      </c>
      <c r="I2" s="26">
        <f>Boundaries!I28</f>
        <v>-4643.4655555555564</v>
      </c>
      <c r="J2" s="26">
        <f>Boundaries!J28</f>
        <v>-2912.2877777777776</v>
      </c>
      <c r="K2" s="26">
        <f>Boundaries!K28</f>
        <v>-1181.1100000000006</v>
      </c>
    </row>
    <row r="3" spans="1:11" x14ac:dyDescent="0.2">
      <c r="A3">
        <v>20</v>
      </c>
      <c r="B3" s="26">
        <f>Boundaries!B29</f>
        <v>-10730.51</v>
      </c>
      <c r="C3" s="26">
        <f>Boundaries!C29</f>
        <v>-9669.4655555555564</v>
      </c>
      <c r="D3" s="26">
        <f>Boundaries!D29</f>
        <v>-8608.4211111111108</v>
      </c>
      <c r="E3" s="26">
        <f>Boundaries!E29</f>
        <v>-7547.376666666667</v>
      </c>
      <c r="F3" s="26">
        <f>Boundaries!F29</f>
        <v>-6486.3322222222223</v>
      </c>
      <c r="G3" s="26">
        <f>Boundaries!G29</f>
        <v>-5425.2877777777776</v>
      </c>
      <c r="H3" s="26">
        <f>Boundaries!H29</f>
        <v>-4364.2433333333338</v>
      </c>
      <c r="I3" s="26">
        <f>Boundaries!I29</f>
        <v>-3303.1988888888891</v>
      </c>
      <c r="J3" s="26">
        <f>Boundaries!J29</f>
        <v>-2242.1544444444444</v>
      </c>
      <c r="K3" s="26">
        <f>Boundaries!K29</f>
        <v>-1181.1100000000006</v>
      </c>
    </row>
    <row r="4" spans="1:11" x14ac:dyDescent="0.2">
      <c r="A4">
        <v>100</v>
      </c>
      <c r="B4" s="26">
        <f>Boundaries!B30</f>
        <v>-22792.91</v>
      </c>
      <c r="C4" s="26">
        <f>Boundaries!C30</f>
        <v>-20391.59888888889</v>
      </c>
      <c r="D4" s="26">
        <f>Boundaries!D30</f>
        <v>-17990.287777777776</v>
      </c>
      <c r="E4" s="26">
        <f>Boundaries!E30</f>
        <v>-15588.976666666667</v>
      </c>
      <c r="F4" s="26">
        <f>Boundaries!F30</f>
        <v>-13187.665555555555</v>
      </c>
      <c r="G4" s="26">
        <f>Boundaries!G30</f>
        <v>-10786.354444444445</v>
      </c>
      <c r="H4" s="26">
        <f>Boundaries!H30</f>
        <v>-8385.0433333333349</v>
      </c>
      <c r="I4" s="26">
        <f>Boundaries!I30</f>
        <v>-5983.732222222221</v>
      </c>
      <c r="J4" s="26">
        <f>Boundaries!J30</f>
        <v>-3582.4211111111108</v>
      </c>
      <c r="K4" s="26">
        <f>Boundaries!K30</f>
        <v>-1181.1100000000006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BFA0-7597-9643-BFE7-2F3817A1857D}">
  <dimension ref="A1:L16"/>
  <sheetViews>
    <sheetView workbookViewId="0">
      <selection activeCell="H26" sqref="H26"/>
    </sheetView>
  </sheetViews>
  <sheetFormatPr baseColWidth="10" defaultRowHeight="15" x14ac:dyDescent="0.2"/>
  <sheetData>
    <row r="1" spans="1:12" x14ac:dyDescent="0.2">
      <c r="A1" t="s">
        <v>183</v>
      </c>
      <c r="B1" t="s">
        <v>182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">
      <c r="A2" t="s">
        <v>99</v>
      </c>
      <c r="B2">
        <v>60</v>
      </c>
      <c r="C2" s="26">
        <v>10</v>
      </c>
      <c r="D2" s="26">
        <f>Boundaries!C38</f>
        <v>44697.893333333333</v>
      </c>
      <c r="E2" s="26">
        <f>Boundaries!D38</f>
        <v>89395.786666666667</v>
      </c>
      <c r="F2" s="26">
        <f>Boundaries!E38</f>
        <v>134093.68</v>
      </c>
      <c r="G2" s="26">
        <f>Boundaries!F38</f>
        <v>178791.57333333333</v>
      </c>
      <c r="H2" s="26">
        <f>Boundaries!G38</f>
        <v>223489.46666666667</v>
      </c>
      <c r="I2" s="26">
        <f>Boundaries!H38</f>
        <v>268187.36</v>
      </c>
      <c r="J2" s="26">
        <f>Boundaries!I38</f>
        <v>312885.2533333333</v>
      </c>
      <c r="K2" s="26">
        <f>Boundaries!J38</f>
        <v>357583.14666666667</v>
      </c>
      <c r="L2" s="26">
        <f>Boundaries!K38</f>
        <v>402281.04</v>
      </c>
    </row>
    <row r="3" spans="1:12" x14ac:dyDescent="0.2">
      <c r="A3" t="s">
        <v>104</v>
      </c>
      <c r="B3">
        <v>60</v>
      </c>
      <c r="C3" s="26">
        <v>10</v>
      </c>
      <c r="D3" s="26" t="e">
        <f>Boundaries!#REF!</f>
        <v>#REF!</v>
      </c>
      <c r="E3" s="26" t="e">
        <f>Boundaries!#REF!</f>
        <v>#REF!</v>
      </c>
      <c r="F3" s="26" t="e">
        <f>Boundaries!#REF!</f>
        <v>#REF!</v>
      </c>
      <c r="G3" s="26" t="e">
        <f>Boundaries!#REF!</f>
        <v>#REF!</v>
      </c>
      <c r="H3" s="26" t="e">
        <f>Boundaries!#REF!</f>
        <v>#REF!</v>
      </c>
      <c r="I3" s="26" t="e">
        <f>Boundaries!#REF!</f>
        <v>#REF!</v>
      </c>
      <c r="J3" s="26" t="e">
        <f>Boundaries!#REF!</f>
        <v>#REF!</v>
      </c>
      <c r="K3" s="26" t="e">
        <f>Boundaries!#REF!</f>
        <v>#REF!</v>
      </c>
      <c r="L3" s="26" t="e">
        <f>Boundaries!#REF!</f>
        <v>#REF!</v>
      </c>
    </row>
    <row r="4" spans="1:12" x14ac:dyDescent="0.2">
      <c r="A4" t="s">
        <v>100</v>
      </c>
      <c r="B4">
        <v>60</v>
      </c>
      <c r="C4" s="26">
        <v>10</v>
      </c>
      <c r="D4" s="26" t="e">
        <f>Boundaries!#REF!</f>
        <v>#REF!</v>
      </c>
      <c r="E4" s="26" t="e">
        <f>Boundaries!#REF!</f>
        <v>#REF!</v>
      </c>
      <c r="F4" s="26" t="e">
        <f>Boundaries!#REF!</f>
        <v>#REF!</v>
      </c>
      <c r="G4" s="26" t="e">
        <f>Boundaries!#REF!</f>
        <v>#REF!</v>
      </c>
      <c r="H4" s="26" t="e">
        <f>Boundaries!#REF!</f>
        <v>#REF!</v>
      </c>
      <c r="I4" s="26" t="e">
        <f>Boundaries!#REF!</f>
        <v>#REF!</v>
      </c>
      <c r="J4" s="26" t="e">
        <f>Boundaries!#REF!</f>
        <v>#REF!</v>
      </c>
      <c r="K4" s="26" t="e">
        <f>Boundaries!#REF!</f>
        <v>#REF!</v>
      </c>
      <c r="L4" s="26" t="e">
        <f>Boundaries!#REF!</f>
        <v>#REF!</v>
      </c>
    </row>
    <row r="5" spans="1:12" x14ac:dyDescent="0.2">
      <c r="A5" t="s">
        <v>103</v>
      </c>
      <c r="B5">
        <v>60</v>
      </c>
      <c r="C5" s="26">
        <v>10</v>
      </c>
      <c r="D5" s="26" t="e">
        <f>Boundaries!#REF!</f>
        <v>#REF!</v>
      </c>
      <c r="E5" s="26" t="e">
        <f>Boundaries!#REF!</f>
        <v>#REF!</v>
      </c>
      <c r="F5" s="26" t="e">
        <f>Boundaries!#REF!</f>
        <v>#REF!</v>
      </c>
      <c r="G5" s="26" t="e">
        <f>Boundaries!#REF!</f>
        <v>#REF!</v>
      </c>
      <c r="H5" s="26" t="e">
        <f>Boundaries!#REF!</f>
        <v>#REF!</v>
      </c>
      <c r="I5" s="26" t="e">
        <f>Boundaries!#REF!</f>
        <v>#REF!</v>
      </c>
      <c r="J5" s="26" t="e">
        <f>Boundaries!#REF!</f>
        <v>#REF!</v>
      </c>
      <c r="K5" s="26" t="e">
        <f>Boundaries!#REF!</f>
        <v>#REF!</v>
      </c>
      <c r="L5" s="26" t="e">
        <f>Boundaries!#REF!</f>
        <v>#REF!</v>
      </c>
    </row>
    <row r="6" spans="1:12" x14ac:dyDescent="0.2">
      <c r="A6" t="s">
        <v>101</v>
      </c>
      <c r="B6">
        <v>60</v>
      </c>
      <c r="C6" s="26">
        <v>10</v>
      </c>
      <c r="D6" s="26" t="e">
        <f>Boundaries!#REF!</f>
        <v>#REF!</v>
      </c>
      <c r="E6" s="26" t="e">
        <f>Boundaries!#REF!</f>
        <v>#REF!</v>
      </c>
      <c r="F6" s="26" t="e">
        <f>Boundaries!#REF!</f>
        <v>#REF!</v>
      </c>
      <c r="G6" s="26" t="e">
        <f>Boundaries!#REF!</f>
        <v>#REF!</v>
      </c>
      <c r="H6" s="26" t="e">
        <f>Boundaries!#REF!</f>
        <v>#REF!</v>
      </c>
      <c r="I6" s="26" t="e">
        <f>Boundaries!#REF!</f>
        <v>#REF!</v>
      </c>
      <c r="J6" s="26" t="e">
        <f>Boundaries!#REF!</f>
        <v>#REF!</v>
      </c>
      <c r="K6" s="26" t="e">
        <f>Boundaries!#REF!</f>
        <v>#REF!</v>
      </c>
      <c r="L6" s="26" t="e">
        <f>Boundaries!#REF!</f>
        <v>#REF!</v>
      </c>
    </row>
    <row r="7" spans="1:12" x14ac:dyDescent="0.2">
      <c r="A7" t="s">
        <v>99</v>
      </c>
      <c r="B7">
        <v>20</v>
      </c>
      <c r="C7" s="26">
        <v>10</v>
      </c>
      <c r="D7" s="26">
        <f>Boundaries!C41</f>
        <v>28614.693333333333</v>
      </c>
      <c r="E7" s="26">
        <f>Boundaries!D41</f>
        <v>57229.386666666665</v>
      </c>
      <c r="F7" s="26">
        <f>Boundaries!E41</f>
        <v>85844.08</v>
      </c>
      <c r="G7" s="26">
        <f>Boundaries!F41</f>
        <v>114458.77333333333</v>
      </c>
      <c r="H7" s="26">
        <f>Boundaries!G41</f>
        <v>143073.46666666667</v>
      </c>
      <c r="I7" s="26">
        <f>Boundaries!H41</f>
        <v>171688.16</v>
      </c>
      <c r="J7" s="26">
        <f>Boundaries!I41</f>
        <v>200302.85333333333</v>
      </c>
      <c r="K7" s="26">
        <f>Boundaries!J41</f>
        <v>228917.54666666666</v>
      </c>
      <c r="L7" s="26">
        <f>Boundaries!K41</f>
        <v>257532.24000000002</v>
      </c>
    </row>
    <row r="8" spans="1:12" x14ac:dyDescent="0.2">
      <c r="A8" t="s">
        <v>104</v>
      </c>
      <c r="B8">
        <v>20</v>
      </c>
      <c r="C8" s="26">
        <v>10</v>
      </c>
      <c r="D8" s="26" t="e">
        <f>Boundaries!#REF!</f>
        <v>#REF!</v>
      </c>
      <c r="E8" s="26" t="e">
        <f>Boundaries!#REF!</f>
        <v>#REF!</v>
      </c>
      <c r="F8" s="26" t="e">
        <f>Boundaries!#REF!</f>
        <v>#REF!</v>
      </c>
      <c r="G8" s="26" t="e">
        <f>Boundaries!#REF!</f>
        <v>#REF!</v>
      </c>
      <c r="H8" s="26" t="e">
        <f>Boundaries!#REF!</f>
        <v>#REF!</v>
      </c>
      <c r="I8" s="26" t="e">
        <f>Boundaries!#REF!</f>
        <v>#REF!</v>
      </c>
      <c r="J8" s="26" t="e">
        <f>Boundaries!#REF!</f>
        <v>#REF!</v>
      </c>
      <c r="K8" s="26" t="e">
        <f>Boundaries!#REF!</f>
        <v>#REF!</v>
      </c>
      <c r="L8" s="26" t="e">
        <f>Boundaries!#REF!</f>
        <v>#REF!</v>
      </c>
    </row>
    <row r="9" spans="1:12" x14ac:dyDescent="0.2">
      <c r="A9" t="s">
        <v>100</v>
      </c>
      <c r="B9">
        <v>20</v>
      </c>
      <c r="C9" s="26">
        <v>10</v>
      </c>
      <c r="D9" s="26" t="e">
        <f>Boundaries!#REF!</f>
        <v>#REF!</v>
      </c>
      <c r="E9" s="26" t="e">
        <f>Boundaries!#REF!</f>
        <v>#REF!</v>
      </c>
      <c r="F9" s="26" t="e">
        <f>Boundaries!#REF!</f>
        <v>#REF!</v>
      </c>
      <c r="G9" s="26" t="e">
        <f>Boundaries!#REF!</f>
        <v>#REF!</v>
      </c>
      <c r="H9" s="26" t="e">
        <f>Boundaries!#REF!</f>
        <v>#REF!</v>
      </c>
      <c r="I9" s="26" t="e">
        <f>Boundaries!#REF!</f>
        <v>#REF!</v>
      </c>
      <c r="J9" s="26" t="e">
        <f>Boundaries!#REF!</f>
        <v>#REF!</v>
      </c>
      <c r="K9" s="26" t="e">
        <f>Boundaries!#REF!</f>
        <v>#REF!</v>
      </c>
      <c r="L9" s="26" t="e">
        <f>Boundaries!#REF!</f>
        <v>#REF!</v>
      </c>
    </row>
    <row r="10" spans="1:12" x14ac:dyDescent="0.2">
      <c r="A10" t="s">
        <v>103</v>
      </c>
      <c r="B10">
        <v>20</v>
      </c>
      <c r="C10" s="26">
        <v>10</v>
      </c>
      <c r="D10" s="26" t="e">
        <f>Boundaries!#REF!</f>
        <v>#REF!</v>
      </c>
      <c r="E10" s="26" t="e">
        <f>Boundaries!#REF!</f>
        <v>#REF!</v>
      </c>
      <c r="F10" s="26" t="e">
        <f>Boundaries!#REF!</f>
        <v>#REF!</v>
      </c>
      <c r="G10" s="26" t="e">
        <f>Boundaries!#REF!</f>
        <v>#REF!</v>
      </c>
      <c r="H10" s="26" t="e">
        <f>Boundaries!#REF!</f>
        <v>#REF!</v>
      </c>
      <c r="I10" s="26" t="e">
        <f>Boundaries!#REF!</f>
        <v>#REF!</v>
      </c>
      <c r="J10" s="26" t="e">
        <f>Boundaries!#REF!</f>
        <v>#REF!</v>
      </c>
      <c r="K10" s="26" t="e">
        <f>Boundaries!#REF!</f>
        <v>#REF!</v>
      </c>
      <c r="L10" s="26" t="e">
        <f>Boundaries!#REF!</f>
        <v>#REF!</v>
      </c>
    </row>
    <row r="11" spans="1:12" x14ac:dyDescent="0.2">
      <c r="A11" t="s">
        <v>101</v>
      </c>
      <c r="B11">
        <v>20</v>
      </c>
      <c r="C11" s="26">
        <v>10</v>
      </c>
      <c r="D11" s="26" t="e">
        <f>Boundaries!#REF!</f>
        <v>#REF!</v>
      </c>
      <c r="E11" s="26" t="e">
        <f>Boundaries!#REF!</f>
        <v>#REF!</v>
      </c>
      <c r="F11" s="26" t="e">
        <f>Boundaries!#REF!</f>
        <v>#REF!</v>
      </c>
      <c r="G11" s="26" t="e">
        <f>Boundaries!#REF!</f>
        <v>#REF!</v>
      </c>
      <c r="H11" s="26" t="e">
        <f>Boundaries!#REF!</f>
        <v>#REF!</v>
      </c>
      <c r="I11" s="26" t="e">
        <f>Boundaries!#REF!</f>
        <v>#REF!</v>
      </c>
      <c r="J11" s="26" t="e">
        <f>Boundaries!#REF!</f>
        <v>#REF!</v>
      </c>
      <c r="K11" s="26" t="e">
        <f>Boundaries!#REF!</f>
        <v>#REF!</v>
      </c>
      <c r="L11" s="26" t="e">
        <f>Boundaries!#REF!</f>
        <v>#REF!</v>
      </c>
    </row>
    <row r="12" spans="1:12" x14ac:dyDescent="0.2">
      <c r="A12" t="s">
        <v>99</v>
      </c>
      <c r="B12">
        <v>100</v>
      </c>
      <c r="C12" s="26">
        <v>10</v>
      </c>
      <c r="D12" s="26">
        <f>Boundaries!C45</f>
        <v>60781.093333333331</v>
      </c>
      <c r="E12" s="26">
        <f>Boundaries!D45</f>
        <v>121562.18666666666</v>
      </c>
      <c r="F12" s="26">
        <f>Boundaries!E45</f>
        <v>182343.28</v>
      </c>
      <c r="G12" s="26">
        <f>Boundaries!F45</f>
        <v>243124.37333333332</v>
      </c>
      <c r="H12" s="26">
        <f>Boundaries!G45</f>
        <v>303905.46666666662</v>
      </c>
      <c r="I12" s="26">
        <f>Boundaries!H45</f>
        <v>364686.56</v>
      </c>
      <c r="J12" s="26">
        <f>Boundaries!I45</f>
        <v>425467.65333333332</v>
      </c>
      <c r="K12" s="26">
        <f>Boundaries!J45</f>
        <v>486248.74666666664</v>
      </c>
      <c r="L12" s="26">
        <f>Boundaries!K45</f>
        <v>547029.84</v>
      </c>
    </row>
    <row r="13" spans="1:12" x14ac:dyDescent="0.2">
      <c r="A13" t="s">
        <v>104</v>
      </c>
      <c r="B13">
        <v>100</v>
      </c>
      <c r="C13" s="26">
        <v>10</v>
      </c>
      <c r="D13" s="26" t="e">
        <f>Boundaries!#REF!</f>
        <v>#REF!</v>
      </c>
      <c r="E13" s="26" t="e">
        <f>Boundaries!#REF!</f>
        <v>#REF!</v>
      </c>
      <c r="F13" s="26" t="e">
        <f>Boundaries!#REF!</f>
        <v>#REF!</v>
      </c>
      <c r="G13" s="26" t="e">
        <f>Boundaries!#REF!</f>
        <v>#REF!</v>
      </c>
      <c r="H13" s="26" t="e">
        <f>Boundaries!#REF!</f>
        <v>#REF!</v>
      </c>
      <c r="I13" s="26" t="e">
        <f>Boundaries!#REF!</f>
        <v>#REF!</v>
      </c>
      <c r="J13" s="26" t="e">
        <f>Boundaries!#REF!</f>
        <v>#REF!</v>
      </c>
      <c r="K13" s="26" t="e">
        <f>Boundaries!#REF!</f>
        <v>#REF!</v>
      </c>
      <c r="L13" s="26" t="e">
        <f>Boundaries!#REF!</f>
        <v>#REF!</v>
      </c>
    </row>
    <row r="14" spans="1:12" x14ac:dyDescent="0.2">
      <c r="A14" t="s">
        <v>100</v>
      </c>
      <c r="B14">
        <v>100</v>
      </c>
      <c r="C14" s="26">
        <v>10</v>
      </c>
      <c r="D14" s="26" t="e">
        <f>Boundaries!#REF!</f>
        <v>#REF!</v>
      </c>
      <c r="E14" s="26" t="e">
        <f>Boundaries!#REF!</f>
        <v>#REF!</v>
      </c>
      <c r="F14" s="26" t="e">
        <f>Boundaries!#REF!</f>
        <v>#REF!</v>
      </c>
      <c r="G14" s="26" t="e">
        <f>Boundaries!#REF!</f>
        <v>#REF!</v>
      </c>
      <c r="H14" s="26" t="e">
        <f>Boundaries!#REF!</f>
        <v>#REF!</v>
      </c>
      <c r="I14" s="26" t="e">
        <f>Boundaries!#REF!</f>
        <v>#REF!</v>
      </c>
      <c r="J14" s="26" t="e">
        <f>Boundaries!#REF!</f>
        <v>#REF!</v>
      </c>
      <c r="K14" s="26" t="e">
        <f>Boundaries!#REF!</f>
        <v>#REF!</v>
      </c>
      <c r="L14" s="26" t="e">
        <f>Boundaries!#REF!</f>
        <v>#REF!</v>
      </c>
    </row>
    <row r="15" spans="1:12" x14ac:dyDescent="0.2">
      <c r="A15" t="s">
        <v>103</v>
      </c>
      <c r="B15">
        <v>100</v>
      </c>
      <c r="C15" s="26">
        <v>10</v>
      </c>
      <c r="D15" s="26" t="e">
        <f>Boundaries!#REF!</f>
        <v>#REF!</v>
      </c>
      <c r="E15" s="26" t="e">
        <f>Boundaries!#REF!</f>
        <v>#REF!</v>
      </c>
      <c r="F15" s="26" t="e">
        <f>Boundaries!#REF!</f>
        <v>#REF!</v>
      </c>
      <c r="G15" s="26" t="e">
        <f>Boundaries!#REF!</f>
        <v>#REF!</v>
      </c>
      <c r="H15" s="26" t="e">
        <f>Boundaries!#REF!</f>
        <v>#REF!</v>
      </c>
      <c r="I15" s="26" t="e">
        <f>Boundaries!#REF!</f>
        <v>#REF!</v>
      </c>
      <c r="J15" s="26" t="e">
        <f>Boundaries!#REF!</f>
        <v>#REF!</v>
      </c>
      <c r="K15" s="26" t="e">
        <f>Boundaries!#REF!</f>
        <v>#REF!</v>
      </c>
      <c r="L15" s="26" t="e">
        <f>Boundaries!#REF!</f>
        <v>#REF!</v>
      </c>
    </row>
    <row r="16" spans="1:12" x14ac:dyDescent="0.2">
      <c r="A16" t="s">
        <v>101</v>
      </c>
      <c r="B16">
        <v>100</v>
      </c>
      <c r="C16" s="26">
        <v>10</v>
      </c>
      <c r="D16" s="26" t="e">
        <f>Boundaries!#REF!</f>
        <v>#REF!</v>
      </c>
      <c r="E16" s="26" t="e">
        <f>Boundaries!#REF!</f>
        <v>#REF!</v>
      </c>
      <c r="F16" s="26" t="e">
        <f>Boundaries!#REF!</f>
        <v>#REF!</v>
      </c>
      <c r="G16" s="26" t="e">
        <f>Boundaries!#REF!</f>
        <v>#REF!</v>
      </c>
      <c r="H16" s="26" t="e">
        <f>Boundaries!#REF!</f>
        <v>#REF!</v>
      </c>
      <c r="I16" s="26" t="e">
        <f>Boundaries!#REF!</f>
        <v>#REF!</v>
      </c>
      <c r="J16" s="26" t="e">
        <f>Boundaries!#REF!</f>
        <v>#REF!</v>
      </c>
      <c r="K16" s="26" t="e">
        <f>Boundaries!#REF!</f>
        <v>#REF!</v>
      </c>
      <c r="L16" s="26" t="e">
        <f>Boundaries!#REF!</f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D785-0BD3-214B-94B7-2A4B796A3A87}">
  <dimension ref="A1:D10"/>
  <sheetViews>
    <sheetView zoomScale="120" zoomScaleNormal="120" workbookViewId="0">
      <selection activeCell="G12" sqref="G12"/>
    </sheetView>
  </sheetViews>
  <sheetFormatPr baseColWidth="10" defaultRowHeight="15" x14ac:dyDescent="0.2"/>
  <cols>
    <col min="1" max="1" width="16.83203125" bestFit="1" customWidth="1"/>
    <col min="2" max="2" width="16.83203125" customWidth="1"/>
    <col min="3" max="3" width="17.6640625" bestFit="1" customWidth="1"/>
    <col min="4" max="4" width="17.33203125" bestFit="1" customWidth="1"/>
  </cols>
  <sheetData>
    <row r="1" spans="1:4" x14ac:dyDescent="0.2">
      <c r="A1" t="s">
        <v>128</v>
      </c>
      <c r="C1">
        <v>720</v>
      </c>
    </row>
    <row r="2" spans="1:4" x14ac:dyDescent="0.2">
      <c r="A2" t="s">
        <v>129</v>
      </c>
      <c r="C2">
        <v>30</v>
      </c>
    </row>
    <row r="3" spans="1:4" x14ac:dyDescent="0.2">
      <c r="A3" t="s">
        <v>130</v>
      </c>
      <c r="C3">
        <v>25</v>
      </c>
      <c r="D3" t="s">
        <v>135</v>
      </c>
    </row>
    <row r="5" spans="1:4" x14ac:dyDescent="0.2">
      <c r="A5" t="s">
        <v>131</v>
      </c>
      <c r="C5">
        <v>5569000</v>
      </c>
    </row>
    <row r="7" spans="1:4" x14ac:dyDescent="0.2">
      <c r="A7" t="s">
        <v>132</v>
      </c>
      <c r="B7" t="s">
        <v>138</v>
      </c>
      <c r="C7" t="s">
        <v>133</v>
      </c>
      <c r="D7" t="s">
        <v>134</v>
      </c>
    </row>
    <row r="8" spans="1:4" x14ac:dyDescent="0.2">
      <c r="C8" t="s">
        <v>136</v>
      </c>
      <c r="D8" t="s">
        <v>137</v>
      </c>
    </row>
    <row r="9" spans="1:4" x14ac:dyDescent="0.2">
      <c r="B9" s="16">
        <v>0</v>
      </c>
      <c r="C9" s="25">
        <f>C2*C5*C1/100</f>
        <v>1202904000</v>
      </c>
      <c r="D9" s="25">
        <f>C3*C1*(365*24*10)</f>
        <v>1576800000</v>
      </c>
    </row>
    <row r="10" spans="1:4" x14ac:dyDescent="0.2">
      <c r="B10" s="16">
        <v>0.1</v>
      </c>
      <c r="C10" s="41">
        <f>C9</f>
        <v>1202904000</v>
      </c>
      <c r="D10" s="42">
        <f>C3*C1*(365*24)*(1-POWER(1/(1+B10),10))/(1-(1/(1+B10)))</f>
        <v>1065762875.3502659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2179-2135-43B7-98DA-D4A6A7868310}">
  <dimension ref="A1:H8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8.6640625" style="1"/>
    <col min="2" max="2" width="85.6640625" bestFit="1" customWidth="1"/>
  </cols>
  <sheetData>
    <row r="1" spans="1:8" x14ac:dyDescent="0.2">
      <c r="A1" s="1" t="s">
        <v>11</v>
      </c>
      <c r="B1" t="s">
        <v>1</v>
      </c>
      <c r="C1" t="s">
        <v>10</v>
      </c>
    </row>
    <row r="2" spans="1:8" x14ac:dyDescent="0.2">
      <c r="A2" s="67" t="s">
        <v>2</v>
      </c>
      <c r="B2" s="67"/>
      <c r="C2" t="s">
        <v>4</v>
      </c>
      <c r="F2" t="s">
        <v>14</v>
      </c>
      <c r="G2" t="s">
        <v>4</v>
      </c>
      <c r="H2" t="s">
        <v>19</v>
      </c>
    </row>
    <row r="3" spans="1:8" x14ac:dyDescent="0.2">
      <c r="A3" s="1" t="s">
        <v>5</v>
      </c>
      <c r="B3" t="s">
        <v>3</v>
      </c>
      <c r="C3">
        <v>15</v>
      </c>
      <c r="F3" t="s">
        <v>15</v>
      </c>
      <c r="G3">
        <v>7</v>
      </c>
      <c r="H3">
        <v>49.222000000000001</v>
      </c>
    </row>
    <row r="4" spans="1:8" x14ac:dyDescent="0.2">
      <c r="A4" s="1" t="s">
        <v>6</v>
      </c>
      <c r="B4" t="s">
        <v>7</v>
      </c>
      <c r="C4">
        <v>10</v>
      </c>
      <c r="F4" t="s">
        <v>16</v>
      </c>
      <c r="G4">
        <v>15</v>
      </c>
      <c r="H4">
        <v>49.24</v>
      </c>
    </row>
    <row r="5" spans="1:8" x14ac:dyDescent="0.2">
      <c r="A5" s="1" t="s">
        <v>20</v>
      </c>
      <c r="B5" t="s">
        <v>9</v>
      </c>
      <c r="C5">
        <v>7</v>
      </c>
      <c r="F5" t="s">
        <v>17</v>
      </c>
      <c r="G5">
        <v>20</v>
      </c>
      <c r="H5">
        <v>49.220999999999997</v>
      </c>
    </row>
    <row r="6" spans="1:8" x14ac:dyDescent="0.2">
      <c r="A6" s="1" t="s">
        <v>12</v>
      </c>
      <c r="B6" t="s">
        <v>13</v>
      </c>
      <c r="C6">
        <v>15</v>
      </c>
      <c r="E6" t="s">
        <v>34</v>
      </c>
      <c r="F6" t="s">
        <v>18</v>
      </c>
      <c r="G6">
        <v>20</v>
      </c>
      <c r="H6">
        <v>49.220999999999997</v>
      </c>
    </row>
    <row r="7" spans="1:8" x14ac:dyDescent="0.2">
      <c r="A7" s="1" t="s">
        <v>8</v>
      </c>
      <c r="B7" t="s">
        <v>21</v>
      </c>
      <c r="C7">
        <v>20</v>
      </c>
    </row>
    <row r="8" spans="1:8" x14ac:dyDescent="0.2">
      <c r="A8" s="1" t="s">
        <v>22</v>
      </c>
      <c r="B8" t="s">
        <v>23</v>
      </c>
      <c r="C8">
        <v>5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15393-90AE-4217-9780-C6903F6FBFD3}">
  <dimension ref="A1:C16"/>
  <sheetViews>
    <sheetView workbookViewId="0">
      <selection activeCell="H35" sqref="H35"/>
    </sheetView>
  </sheetViews>
  <sheetFormatPr baseColWidth="10" defaultColWidth="8.83203125" defaultRowHeight="15" x14ac:dyDescent="0.2"/>
  <cols>
    <col min="1" max="1" width="29" bestFit="1" customWidth="1"/>
    <col min="2" max="2" width="15.33203125" customWidth="1"/>
    <col min="3" max="3" width="12.1640625" bestFit="1" customWidth="1"/>
  </cols>
  <sheetData>
    <row r="1" spans="1:3" ht="16" thickBot="1" x14ac:dyDescent="0.25">
      <c r="A1" t="s">
        <v>0</v>
      </c>
      <c r="B1" t="s">
        <v>24</v>
      </c>
    </row>
    <row r="2" spans="1:3" x14ac:dyDescent="0.2">
      <c r="A2" s="6" t="s">
        <v>26</v>
      </c>
      <c r="B2" s="7" t="s">
        <v>27</v>
      </c>
      <c r="C2" s="8" t="s">
        <v>28</v>
      </c>
    </row>
    <row r="3" spans="1:3" x14ac:dyDescent="0.2">
      <c r="A3" s="9" t="s">
        <v>25</v>
      </c>
      <c r="B3" s="5">
        <v>36.799999999999997</v>
      </c>
      <c r="C3" s="10" t="s">
        <v>29</v>
      </c>
    </row>
    <row r="4" spans="1:3" x14ac:dyDescent="0.2">
      <c r="A4" s="9"/>
      <c r="B4" s="5">
        <f>1/B3</f>
        <v>2.7173913043478264E-2</v>
      </c>
      <c r="C4" s="10" t="s">
        <v>63</v>
      </c>
    </row>
    <row r="5" spans="1:3" x14ac:dyDescent="0.2">
      <c r="A5" s="9" t="s">
        <v>30</v>
      </c>
      <c r="B5">
        <v>6.4</v>
      </c>
      <c r="C5" s="10" t="s">
        <v>31</v>
      </c>
    </row>
    <row r="6" spans="1:3" x14ac:dyDescent="0.2">
      <c r="A6" s="9" t="s">
        <v>36</v>
      </c>
      <c r="B6">
        <v>590</v>
      </c>
      <c r="C6" s="10" t="s">
        <v>33</v>
      </c>
    </row>
    <row r="7" spans="1:3" x14ac:dyDescent="0.2">
      <c r="A7" s="9" t="s">
        <v>37</v>
      </c>
      <c r="B7">
        <v>763</v>
      </c>
      <c r="C7" s="10" t="s">
        <v>33</v>
      </c>
    </row>
    <row r="8" spans="1:3" x14ac:dyDescent="0.2">
      <c r="A8" s="9" t="s">
        <v>32</v>
      </c>
      <c r="B8">
        <v>544</v>
      </c>
      <c r="C8" s="10" t="s">
        <v>33</v>
      </c>
    </row>
    <row r="9" spans="1:3" x14ac:dyDescent="0.2">
      <c r="A9" s="9" t="s">
        <v>35</v>
      </c>
      <c r="B9" s="5">
        <v>703</v>
      </c>
      <c r="C9" s="10" t="s">
        <v>33</v>
      </c>
    </row>
    <row r="10" spans="1:3" x14ac:dyDescent="0.2">
      <c r="A10" s="9" t="s">
        <v>38</v>
      </c>
      <c r="B10">
        <v>20</v>
      </c>
      <c r="C10" s="10" t="s">
        <v>39</v>
      </c>
    </row>
    <row r="11" spans="1:3" x14ac:dyDescent="0.2">
      <c r="A11" s="9" t="s">
        <v>40</v>
      </c>
      <c r="B11" s="5">
        <v>32.64</v>
      </c>
      <c r="C11" s="10" t="s">
        <v>41</v>
      </c>
    </row>
    <row r="12" spans="1:3" x14ac:dyDescent="0.2">
      <c r="A12" s="9" t="s">
        <v>42</v>
      </c>
      <c r="B12" s="5">
        <v>3.41</v>
      </c>
      <c r="C12" s="10" t="s">
        <v>43</v>
      </c>
    </row>
    <row r="13" spans="1:3" x14ac:dyDescent="0.2">
      <c r="A13" s="9" t="s">
        <v>44</v>
      </c>
      <c r="B13">
        <v>10</v>
      </c>
      <c r="C13" s="10" t="s">
        <v>45</v>
      </c>
    </row>
    <row r="14" spans="1:3" ht="16" thickBot="1" x14ac:dyDescent="0.25">
      <c r="A14" s="11" t="s">
        <v>46</v>
      </c>
      <c r="B14" s="12">
        <v>20</v>
      </c>
      <c r="C14" s="13" t="s">
        <v>39</v>
      </c>
    </row>
    <row r="16" spans="1:3" x14ac:dyDescent="0.2">
      <c r="A16" s="4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2611-1C98-4542-8DB1-2F02A6C58FDE}">
  <dimension ref="A1:I44"/>
  <sheetViews>
    <sheetView workbookViewId="0">
      <selection activeCell="M17" sqref="M17"/>
    </sheetView>
  </sheetViews>
  <sheetFormatPr baseColWidth="10" defaultRowHeight="15" x14ac:dyDescent="0.2"/>
  <cols>
    <col min="1" max="1" width="25.83203125" bestFit="1" customWidth="1"/>
    <col min="2" max="2" width="14.33203125" customWidth="1"/>
    <col min="3" max="4" width="12.6640625" bestFit="1" customWidth="1"/>
    <col min="6" max="6" width="15.33203125" bestFit="1" customWidth="1"/>
  </cols>
  <sheetData>
    <row r="1" spans="1:8" x14ac:dyDescent="0.2">
      <c r="A1" t="s">
        <v>172</v>
      </c>
      <c r="G1" t="s">
        <v>169</v>
      </c>
    </row>
    <row r="2" spans="1:8" x14ac:dyDescent="0.2">
      <c r="A2" t="s">
        <v>171</v>
      </c>
      <c r="B2">
        <v>1.2E-2</v>
      </c>
      <c r="G2" t="s">
        <v>170</v>
      </c>
      <c r="H2">
        <v>3.7854100000000002</v>
      </c>
    </row>
    <row r="3" spans="1:8" ht="16" thickBot="1" x14ac:dyDescent="0.25">
      <c r="G3" t="s">
        <v>169</v>
      </c>
    </row>
    <row r="4" spans="1:8" ht="16" thickBot="1" x14ac:dyDescent="0.25">
      <c r="A4" s="55" t="s">
        <v>146</v>
      </c>
      <c r="B4" s="19">
        <v>100</v>
      </c>
      <c r="C4" s="19">
        <v>500</v>
      </c>
      <c r="D4" s="57">
        <v>1000</v>
      </c>
      <c r="G4" t="s">
        <v>152</v>
      </c>
      <c r="H4">
        <v>0.77</v>
      </c>
    </row>
    <row r="5" spans="1:8" x14ac:dyDescent="0.2">
      <c r="A5" s="9" t="s">
        <v>78</v>
      </c>
      <c r="B5">
        <f>[1]MeOH_original_data!B2*(1+MeOH!$B$2)</f>
        <v>167921429.192</v>
      </c>
      <c r="C5">
        <f>[1]MeOH_original_data!C2*(1+MeOH!$B$2)</f>
        <v>376933297.796</v>
      </c>
      <c r="D5" s="56">
        <f>[1]MeOH_original_data!D2*(1+MeOH!$B$2)</f>
        <v>655027563.25600004</v>
      </c>
      <c r="G5" t="s">
        <v>150</v>
      </c>
      <c r="H5">
        <v>0.8</v>
      </c>
    </row>
    <row r="6" spans="1:8" x14ac:dyDescent="0.2">
      <c r="A6" s="9" t="s">
        <v>168</v>
      </c>
      <c r="B6">
        <f>[1]MeOH_original_data!B3*(1+MeOH!$B$2)</f>
        <v>11297541.948000001</v>
      </c>
      <c r="C6">
        <f>[1]MeOH_original_data!C3*(1+MeOH!$B$2)</f>
        <v>19962889.100000001</v>
      </c>
      <c r="D6" s="56">
        <f>[1]MeOH_original_data!D3*(1+MeOH!$B$2)</f>
        <v>27050057.672000002</v>
      </c>
      <c r="G6" t="s">
        <v>149</v>
      </c>
      <c r="H6">
        <v>0.85</v>
      </c>
    </row>
    <row r="7" spans="1:8" x14ac:dyDescent="0.2">
      <c r="A7" s="9"/>
      <c r="D7" s="10"/>
    </row>
    <row r="8" spans="1:8" x14ac:dyDescent="0.2">
      <c r="A8" s="9" t="s">
        <v>167</v>
      </c>
      <c r="B8">
        <f>SUM(B9:B13)</f>
        <v>631442.96600000001</v>
      </c>
      <c r="C8">
        <f>SUM(C9:C13)</f>
        <v>3156650.1339999996</v>
      </c>
      <c r="D8" s="56">
        <f>SUM(D9:D13)</f>
        <v>6314321.8819999993</v>
      </c>
    </row>
    <row r="9" spans="1:8" x14ac:dyDescent="0.2">
      <c r="A9" s="9" t="s">
        <v>158</v>
      </c>
      <c r="B9">
        <v>0</v>
      </c>
      <c r="C9">
        <v>0</v>
      </c>
      <c r="D9" s="10">
        <v>0</v>
      </c>
    </row>
    <row r="10" spans="1:8" x14ac:dyDescent="0.2">
      <c r="A10" s="9" t="s">
        <v>156</v>
      </c>
      <c r="B10">
        <v>0</v>
      </c>
      <c r="C10">
        <v>0</v>
      </c>
      <c r="D10" s="10">
        <v>0</v>
      </c>
    </row>
    <row r="11" spans="1:8" x14ac:dyDescent="0.2">
      <c r="A11" s="9" t="s">
        <v>154</v>
      </c>
      <c r="B11">
        <v>0</v>
      </c>
      <c r="C11">
        <v>0</v>
      </c>
      <c r="D11" s="10">
        <v>0</v>
      </c>
    </row>
    <row r="12" spans="1:8" x14ac:dyDescent="0.2">
      <c r="A12" s="9" t="s">
        <v>166</v>
      </c>
      <c r="B12">
        <f>0.25*[1]MeOH_original_data!B8*(1+MeOH!$B$2)</f>
        <v>125952.00200000001</v>
      </c>
      <c r="C12">
        <f>0.25*[1]MeOH_original_data!C8*(1+MeOH!$B$2)</f>
        <v>629646.91899999999</v>
      </c>
      <c r="D12" s="10">
        <f>0.25*[1]MeOH_original_data!D8*(1+MeOH!$B$2)</f>
        <v>1259519.0079999999</v>
      </c>
    </row>
    <row r="13" spans="1:8" ht="16" thickBot="1" x14ac:dyDescent="0.25">
      <c r="A13" s="11" t="s">
        <v>165</v>
      </c>
      <c r="B13" s="18">
        <f>0.25*[1]MeOH_original_data!B9*(1+MeOH!$B$2)</f>
        <v>505490.96399999998</v>
      </c>
      <c r="C13" s="18">
        <f>0.25*[1]MeOH_original_data!C9*(1+MeOH!$B$2)</f>
        <v>2527003.2149999999</v>
      </c>
      <c r="D13" s="13">
        <f>0.25*[1]MeOH_original_data!D9*(1+MeOH!$B$2)</f>
        <v>5054802.8739999998</v>
      </c>
    </row>
    <row r="15" spans="1:8" x14ac:dyDescent="0.2">
      <c r="A15" t="s">
        <v>164</v>
      </c>
      <c r="B15" t="s">
        <v>163</v>
      </c>
    </row>
    <row r="16" spans="1:8" x14ac:dyDescent="0.2">
      <c r="B16" t="s">
        <v>162</v>
      </c>
    </row>
    <row r="18" spans="1:9" ht="16" thickBot="1" x14ac:dyDescent="0.25">
      <c r="A18" t="s">
        <v>161</v>
      </c>
    </row>
    <row r="19" spans="1:9" ht="16" thickBot="1" x14ac:dyDescent="0.25">
      <c r="A19" s="55" t="s">
        <v>146</v>
      </c>
      <c r="B19" s="19">
        <v>100</v>
      </c>
      <c r="C19" s="19">
        <v>500</v>
      </c>
      <c r="D19" s="20">
        <v>1000</v>
      </c>
    </row>
    <row r="20" spans="1:9" ht="16" thickBot="1" x14ac:dyDescent="0.25">
      <c r="A20" s="71" t="s">
        <v>160</v>
      </c>
      <c r="B20" s="72"/>
      <c r="C20" s="72"/>
      <c r="D20" s="73"/>
      <c r="F20" s="21" t="s">
        <v>159</v>
      </c>
      <c r="G20" s="19">
        <v>100</v>
      </c>
      <c r="H20" s="19">
        <v>500</v>
      </c>
      <c r="I20" s="20">
        <v>1000</v>
      </c>
    </row>
    <row r="21" spans="1:9" x14ac:dyDescent="0.2">
      <c r="A21" s="54" t="s">
        <v>158</v>
      </c>
      <c r="B21" s="53">
        <f>[1]MeOH_original_data!B18*1000/(24)</f>
        <v>2416.6666666666665</v>
      </c>
      <c r="C21" s="53">
        <f>[1]MeOH_original_data!C18*1000/(24)</f>
        <v>12125</v>
      </c>
      <c r="D21" s="52">
        <f>[1]MeOH_original_data!D18*1000/(24)</f>
        <v>24291.666666666668</v>
      </c>
      <c r="F21" s="22" t="s">
        <v>158</v>
      </c>
      <c r="G21" s="51">
        <v>1</v>
      </c>
      <c r="H21" s="51">
        <v>1</v>
      </c>
      <c r="I21" s="50">
        <v>1</v>
      </c>
    </row>
    <row r="22" spans="1:9" ht="16" thickBot="1" x14ac:dyDescent="0.25">
      <c r="A22" s="11" t="s">
        <v>157</v>
      </c>
      <c r="B22" s="45">
        <f>[1]MeOH_original_data!B19*1000/(24)</f>
        <v>14666.666666666666</v>
      </c>
      <c r="C22" s="45">
        <f>[1]MeOH_original_data!C19*1000/(24)</f>
        <v>73375</v>
      </c>
      <c r="D22" s="44">
        <f>[1]MeOH_original_data!D19*1000/(24)</f>
        <v>146791.66666666666</v>
      </c>
      <c r="F22" s="22" t="s">
        <v>156</v>
      </c>
      <c r="G22" s="51">
        <f>G$21*B22/B$21</f>
        <v>6.068965517241379</v>
      </c>
      <c r="H22" s="51">
        <f>H$21*C22/C21</f>
        <v>6.0515463917525771</v>
      </c>
      <c r="I22" s="50">
        <f>I$21*D22/D21</f>
        <v>6.0428816466552311</v>
      </c>
    </row>
    <row r="23" spans="1:9" ht="16" thickBot="1" x14ac:dyDescent="0.25">
      <c r="A23" s="9" t="s">
        <v>155</v>
      </c>
      <c r="B23" s="49">
        <f>[1]MeOH_original_data!B20</f>
        <v>5.5</v>
      </c>
      <c r="C23" s="49">
        <f>[1]MeOH_original_data!C20</f>
        <v>27</v>
      </c>
      <c r="D23" s="49">
        <f>[1]MeOH_original_data!D20</f>
        <v>53</v>
      </c>
      <c r="F23" s="22" t="s">
        <v>154</v>
      </c>
      <c r="G23" s="51">
        <f>G$21*B23/B$21</f>
        <v>2.2758620689655173E-3</v>
      </c>
      <c r="H23" s="51">
        <f>H$21*C23/C22</f>
        <v>3.6797274275979556E-4</v>
      </c>
      <c r="I23" s="50">
        <f>I$21*D23/D22</f>
        <v>3.6105591825149024E-4</v>
      </c>
    </row>
    <row r="24" spans="1:9" ht="16" thickBot="1" x14ac:dyDescent="0.25">
      <c r="A24" s="60" t="s">
        <v>153</v>
      </c>
      <c r="B24" s="66"/>
      <c r="C24" s="66"/>
      <c r="D24" s="61"/>
      <c r="F24" s="22" t="s">
        <v>152</v>
      </c>
      <c r="G24" s="51">
        <f t="shared" ref="G24:I26" si="0">G$21*B25/B$21</f>
        <v>4.1379310344827586E-2</v>
      </c>
      <c r="H24" s="51">
        <f t="shared" si="0"/>
        <v>4.192439862542955E-2</v>
      </c>
      <c r="I24" s="50">
        <f t="shared" si="0"/>
        <v>4.1852487135506003E-2</v>
      </c>
    </row>
    <row r="25" spans="1:9" x14ac:dyDescent="0.2">
      <c r="A25" s="54" t="s">
        <v>151</v>
      </c>
      <c r="B25" s="53">
        <f>[1]MeOH_original_data!B22*1000/(24)</f>
        <v>100</v>
      </c>
      <c r="C25" s="53">
        <f>[1]MeOH_original_data!C22*1000/(24)</f>
        <v>508.33333333333331</v>
      </c>
      <c r="D25" s="52">
        <f>[1]MeOH_original_data!D22*1000/(24)</f>
        <v>1016.6666666666666</v>
      </c>
      <c r="F25" s="22" t="s">
        <v>150</v>
      </c>
      <c r="G25" s="51">
        <f t="shared" si="0"/>
        <v>0.34655172413793106</v>
      </c>
      <c r="H25" s="51">
        <f t="shared" si="0"/>
        <v>0.3446735395189004</v>
      </c>
      <c r="I25" s="50">
        <f t="shared" si="0"/>
        <v>0.34425385934819897</v>
      </c>
    </row>
    <row r="26" spans="1:9" ht="16" thickBot="1" x14ac:dyDescent="0.25">
      <c r="A26" s="9" t="s">
        <v>150</v>
      </c>
      <c r="B26" s="49">
        <f>[1]MeOH_original_data!B23*1000/(24)</f>
        <v>837.5</v>
      </c>
      <c r="C26" s="49">
        <f>[1]MeOH_original_data!C23*1000/(24)</f>
        <v>4179.166666666667</v>
      </c>
      <c r="D26" s="48">
        <f>[1]MeOH_original_data!D23*1000/(24)</f>
        <v>8362.5</v>
      </c>
      <c r="F26" s="23" t="s">
        <v>149</v>
      </c>
      <c r="G26" s="47">
        <f t="shared" si="0"/>
        <v>1.4896551724137932</v>
      </c>
      <c r="H26" s="47">
        <f t="shared" si="0"/>
        <v>1.4838487972508592</v>
      </c>
      <c r="I26" s="46">
        <f t="shared" si="0"/>
        <v>1.481303602058319</v>
      </c>
    </row>
    <row r="27" spans="1:9" ht="16" thickBot="1" x14ac:dyDescent="0.25">
      <c r="A27" s="11" t="s">
        <v>149</v>
      </c>
      <c r="B27" s="45">
        <f>[1]MeOH_original_data!B24*1000/(24)</f>
        <v>3600</v>
      </c>
      <c r="C27" s="45">
        <f>[1]MeOH_original_data!C24*1000/(24)</f>
        <v>17991.666666666668</v>
      </c>
      <c r="D27" s="44">
        <f>[1]MeOH_original_data!D24*1000/(24)</f>
        <v>35983.333333333336</v>
      </c>
    </row>
    <row r="30" spans="1:9" x14ac:dyDescent="0.2">
      <c r="A30" t="s">
        <v>148</v>
      </c>
      <c r="B30" t="s">
        <v>147</v>
      </c>
    </row>
    <row r="31" spans="1:9" x14ac:dyDescent="0.2">
      <c r="A31" t="s">
        <v>146</v>
      </c>
      <c r="B31">
        <v>100</v>
      </c>
      <c r="C31">
        <v>500</v>
      </c>
      <c r="D31">
        <v>1000</v>
      </c>
    </row>
    <row r="32" spans="1:9" x14ac:dyDescent="0.2">
      <c r="A32" t="s">
        <v>78</v>
      </c>
      <c r="B32">
        <v>167921429.192</v>
      </c>
      <c r="C32">
        <v>376933297.796</v>
      </c>
      <c r="D32">
        <v>655027563.25600004</v>
      </c>
    </row>
    <row r="33" spans="1:4" x14ac:dyDescent="0.2">
      <c r="A33" t="s">
        <v>146</v>
      </c>
      <c r="B33" t="s">
        <v>78</v>
      </c>
      <c r="C33" t="s">
        <v>145</v>
      </c>
      <c r="D33" t="s">
        <v>144</v>
      </c>
    </row>
    <row r="34" spans="1:4" x14ac:dyDescent="0.2">
      <c r="A34">
        <v>100</v>
      </c>
      <c r="B34">
        <v>167921429.192</v>
      </c>
      <c r="C34">
        <f>LN(A34/$A$36)</f>
        <v>-2.3025850929940455</v>
      </c>
      <c r="D34">
        <f>LN(B34)</f>
        <v>18.939006744588596</v>
      </c>
    </row>
    <row r="35" spans="1:4" x14ac:dyDescent="0.2">
      <c r="A35">
        <v>500</v>
      </c>
      <c r="B35">
        <v>376933297.796</v>
      </c>
      <c r="C35">
        <f>LN(A35/$A$36)</f>
        <v>-0.69314718055994529</v>
      </c>
      <c r="D35">
        <f>LN(B35)</f>
        <v>19.747578800835441</v>
      </c>
    </row>
    <row r="36" spans="1:4" x14ac:dyDescent="0.2">
      <c r="A36">
        <v>1000</v>
      </c>
      <c r="B36">
        <v>655027563.25600004</v>
      </c>
      <c r="C36">
        <f>LN(A36/$A$36)</f>
        <v>0</v>
      </c>
      <c r="D36">
        <f>LN(B36)</f>
        <v>20.300187874021002</v>
      </c>
    </row>
    <row r="38" spans="1:4" x14ac:dyDescent="0.2">
      <c r="A38" t="s">
        <v>143</v>
      </c>
    </row>
    <row r="39" spans="1:4" x14ac:dyDescent="0.2">
      <c r="A39" s="43" t="s">
        <v>142</v>
      </c>
      <c r="B39" s="43">
        <f>EXP(20.237)</f>
        <v>614918317.57584751</v>
      </c>
    </row>
    <row r="40" spans="1:4" x14ac:dyDescent="0.2">
      <c r="A40" s="43" t="s">
        <v>141</v>
      </c>
      <c r="B40" s="43">
        <v>0.57550000000000001</v>
      </c>
    </row>
    <row r="42" spans="1:4" x14ac:dyDescent="0.2">
      <c r="A42" t="s">
        <v>140</v>
      </c>
      <c r="B42">
        <f>B19</f>
        <v>100</v>
      </c>
      <c r="C42">
        <f>C19</f>
        <v>500</v>
      </c>
      <c r="D42">
        <f>D19</f>
        <v>1000</v>
      </c>
    </row>
    <row r="43" spans="1:4" x14ac:dyDescent="0.2">
      <c r="A43" t="s">
        <v>139</v>
      </c>
      <c r="B43">
        <f>B21/B42</f>
        <v>24.166666666666664</v>
      </c>
      <c r="C43">
        <f>C21/C42</f>
        <v>24.25</v>
      </c>
      <c r="D43">
        <f>D21/D42</f>
        <v>24.291666666666668</v>
      </c>
    </row>
    <row r="44" spans="1:4" x14ac:dyDescent="0.2">
      <c r="A44" t="s">
        <v>139</v>
      </c>
      <c r="B44">
        <f>B43</f>
        <v>24.166666666666664</v>
      </c>
    </row>
  </sheetData>
  <mergeCells count="2">
    <mergeCell ref="A20:D20"/>
    <mergeCell ref="A24:D24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AFE3-923D-0D45-AD95-63532D278F10}">
  <dimension ref="A1:D24"/>
  <sheetViews>
    <sheetView workbookViewId="0">
      <selection activeCell="N27" sqref="N27"/>
    </sheetView>
  </sheetViews>
  <sheetFormatPr baseColWidth="10" defaultRowHeight="15" x14ac:dyDescent="0.2"/>
  <cols>
    <col min="1" max="1" width="25.83203125" bestFit="1" customWidth="1"/>
    <col min="4" max="4" width="11.1640625" bestFit="1" customWidth="1"/>
  </cols>
  <sheetData>
    <row r="1" spans="1:4" x14ac:dyDescent="0.2">
      <c r="A1" t="s">
        <v>146</v>
      </c>
      <c r="B1">
        <v>100</v>
      </c>
      <c r="C1">
        <v>500</v>
      </c>
      <c r="D1">
        <v>1000</v>
      </c>
    </row>
    <row r="2" spans="1:4" x14ac:dyDescent="0.2">
      <c r="A2" t="s">
        <v>78</v>
      </c>
      <c r="B2">
        <v>165930266</v>
      </c>
      <c r="C2">
        <v>372463733</v>
      </c>
      <c r="D2">
        <v>647260438</v>
      </c>
    </row>
    <row r="3" spans="1:4" x14ac:dyDescent="0.2">
      <c r="A3" t="s">
        <v>168</v>
      </c>
      <c r="B3">
        <v>11163579</v>
      </c>
      <c r="C3">
        <v>19726175</v>
      </c>
      <c r="D3">
        <v>26729306</v>
      </c>
    </row>
    <row r="4" spans="1:4" x14ac:dyDescent="0.2">
      <c r="A4" t="s">
        <v>173</v>
      </c>
      <c r="B4">
        <v>41496911</v>
      </c>
      <c r="C4">
        <v>195785234</v>
      </c>
      <c r="D4">
        <v>389682027</v>
      </c>
    </row>
    <row r="5" spans="1:4" x14ac:dyDescent="0.2">
      <c r="A5" t="s">
        <v>158</v>
      </c>
      <c r="B5">
        <v>33150</v>
      </c>
      <c r="C5">
        <v>154050000</v>
      </c>
      <c r="D5">
        <v>3022500000</v>
      </c>
    </row>
    <row r="6" spans="1:4" x14ac:dyDescent="0.2">
      <c r="A6" t="s">
        <v>156</v>
      </c>
      <c r="B6">
        <v>3972302</v>
      </c>
      <c r="C6">
        <v>14860183</v>
      </c>
      <c r="D6">
        <v>33686363</v>
      </c>
    </row>
    <row r="7" spans="1:4" x14ac:dyDescent="0.2">
      <c r="A7" t="s">
        <v>154</v>
      </c>
      <c r="B7">
        <v>2878787</v>
      </c>
      <c r="C7">
        <v>14398173</v>
      </c>
      <c r="D7">
        <v>28787869</v>
      </c>
    </row>
    <row r="8" spans="1:4" x14ac:dyDescent="0.2">
      <c r="A8" t="s">
        <v>166</v>
      </c>
      <c r="B8">
        <v>497834</v>
      </c>
      <c r="C8">
        <v>2488723</v>
      </c>
      <c r="D8">
        <v>4978336</v>
      </c>
    </row>
    <row r="9" spans="1:4" x14ac:dyDescent="0.2">
      <c r="A9" t="s">
        <v>165</v>
      </c>
      <c r="B9">
        <v>1997988</v>
      </c>
      <c r="C9">
        <v>9988155</v>
      </c>
      <c r="D9">
        <v>19979458</v>
      </c>
    </row>
    <row r="11" spans="1:4" x14ac:dyDescent="0.2">
      <c r="A11" s="58" t="s">
        <v>174</v>
      </c>
    </row>
    <row r="12" spans="1:4" x14ac:dyDescent="0.2">
      <c r="A12" t="s">
        <v>175</v>
      </c>
    </row>
    <row r="13" spans="1:4" x14ac:dyDescent="0.2">
      <c r="A13" t="s">
        <v>176</v>
      </c>
    </row>
    <row r="15" spans="1:4" x14ac:dyDescent="0.2">
      <c r="A15" t="s">
        <v>161</v>
      </c>
    </row>
    <row r="16" spans="1:4" x14ac:dyDescent="0.2">
      <c r="A16" t="s">
        <v>146</v>
      </c>
      <c r="B16">
        <v>100</v>
      </c>
      <c r="C16">
        <v>500</v>
      </c>
      <c r="D16">
        <v>1000</v>
      </c>
    </row>
    <row r="17" spans="1:4" x14ac:dyDescent="0.2">
      <c r="A17" t="s">
        <v>177</v>
      </c>
    </row>
    <row r="18" spans="1:4" x14ac:dyDescent="0.2">
      <c r="A18" t="s">
        <v>158</v>
      </c>
      <c r="B18">
        <v>58</v>
      </c>
      <c r="C18">
        <v>291</v>
      </c>
      <c r="D18">
        <v>583</v>
      </c>
    </row>
    <row r="19" spans="1:4" x14ac:dyDescent="0.2">
      <c r="A19" t="s">
        <v>157</v>
      </c>
      <c r="B19">
        <v>352</v>
      </c>
      <c r="C19">
        <v>1761</v>
      </c>
      <c r="D19">
        <v>3523</v>
      </c>
    </row>
    <row r="20" spans="1:4" x14ac:dyDescent="0.2">
      <c r="A20" t="s">
        <v>155</v>
      </c>
      <c r="B20">
        <v>5.5</v>
      </c>
      <c r="C20">
        <v>27</v>
      </c>
      <c r="D20">
        <v>53</v>
      </c>
    </row>
    <row r="21" spans="1:4" x14ac:dyDescent="0.2">
      <c r="A21" t="s">
        <v>178</v>
      </c>
    </row>
    <row r="22" spans="1:4" x14ac:dyDescent="0.2">
      <c r="A22" t="s">
        <v>151</v>
      </c>
      <c r="B22">
        <v>2.4</v>
      </c>
      <c r="C22">
        <v>12.2</v>
      </c>
      <c r="D22">
        <v>24.4</v>
      </c>
    </row>
    <row r="23" spans="1:4" x14ac:dyDescent="0.2">
      <c r="A23" t="s">
        <v>150</v>
      </c>
      <c r="B23">
        <v>20.100000000000001</v>
      </c>
      <c r="C23">
        <v>100.3</v>
      </c>
      <c r="D23">
        <v>200.7</v>
      </c>
    </row>
    <row r="24" spans="1:4" x14ac:dyDescent="0.2">
      <c r="A24" t="s">
        <v>149</v>
      </c>
      <c r="B24">
        <v>86.4</v>
      </c>
      <c r="C24">
        <v>431.8</v>
      </c>
      <c r="D24">
        <v>863.6</v>
      </c>
    </row>
  </sheetData>
  <sheetProtection algorithmName="SHA-512" hashValue="E5wXOZaLLrrq7SCc6l+P2ZRx9IPEuRyCimf3Z0baz1pnEGajuwEnyXDqCBaOzjtZXMtVpsqDvw4pp6yfyAXdcg==" saltValue="DJDNe6oto2IcuT0txsQDEg==" spinCount="100000" sheet="1" objects="1" scenario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47DE-C2D1-4559-861B-2B8673B56208}">
  <dimension ref="A1:C15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0.1640625" bestFit="1" customWidth="1"/>
    <col min="2" max="2" width="33.1640625" bestFit="1" customWidth="1"/>
  </cols>
  <sheetData>
    <row r="1" spans="1:3" x14ac:dyDescent="0.2">
      <c r="A1" t="s">
        <v>65</v>
      </c>
      <c r="B1" t="s">
        <v>69</v>
      </c>
    </row>
    <row r="2" spans="1:3" x14ac:dyDescent="0.2">
      <c r="A2" t="s">
        <v>47</v>
      </c>
    </row>
    <row r="3" spans="1:3" x14ac:dyDescent="0.2">
      <c r="A3" t="s">
        <v>48</v>
      </c>
      <c r="B3" t="s">
        <v>49</v>
      </c>
      <c r="C3" t="s">
        <v>51</v>
      </c>
    </row>
    <row r="4" spans="1:3" x14ac:dyDescent="0.2">
      <c r="A4" t="s">
        <v>55</v>
      </c>
      <c r="B4">
        <v>164.77</v>
      </c>
      <c r="C4">
        <v>1.395</v>
      </c>
    </row>
    <row r="5" spans="1:3" x14ac:dyDescent="0.2">
      <c r="A5" t="s">
        <v>54</v>
      </c>
      <c r="B5">
        <v>100</v>
      </c>
      <c r="C5">
        <v>1.395</v>
      </c>
    </row>
    <row r="6" spans="1:3" x14ac:dyDescent="0.2">
      <c r="A6" t="s">
        <v>53</v>
      </c>
      <c r="B6">
        <v>76.53</v>
      </c>
      <c r="C6">
        <v>1.395</v>
      </c>
    </row>
    <row r="7" spans="1:3" x14ac:dyDescent="0.2">
      <c r="A7" t="s">
        <v>52</v>
      </c>
      <c r="B7">
        <v>140</v>
      </c>
      <c r="C7">
        <v>1.395</v>
      </c>
    </row>
    <row r="8" spans="1:3" x14ac:dyDescent="0.2">
      <c r="A8" t="s">
        <v>68</v>
      </c>
      <c r="B8">
        <f>AVERAGE(B4:B7)</f>
        <v>120.32499999999999</v>
      </c>
    </row>
    <row r="10" spans="1:3" x14ac:dyDescent="0.2">
      <c r="A10" t="s">
        <v>67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66</v>
      </c>
    </row>
    <row r="14" spans="1:3" x14ac:dyDescent="0.2">
      <c r="A14" t="s">
        <v>50</v>
      </c>
      <c r="B14" t="s">
        <v>58</v>
      </c>
    </row>
    <row r="15" spans="1:3" x14ac:dyDescent="0.2">
      <c r="A15" t="s">
        <v>59</v>
      </c>
      <c r="B15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045A-41A7-AF40-95B6-DBF867B04F6F}">
  <dimension ref="A1:E10"/>
  <sheetViews>
    <sheetView workbookViewId="0">
      <selection activeCell="I12" sqref="I12"/>
    </sheetView>
  </sheetViews>
  <sheetFormatPr baseColWidth="10" defaultRowHeight="15" x14ac:dyDescent="0.2"/>
  <cols>
    <col min="1" max="1" width="20.6640625" bestFit="1" customWidth="1"/>
  </cols>
  <sheetData>
    <row r="1" spans="1:5" x14ac:dyDescent="0.2">
      <c r="A1" s="3" t="s">
        <v>98</v>
      </c>
      <c r="B1" s="3" t="s">
        <v>80</v>
      </c>
      <c r="C1" s="3" t="s">
        <v>81</v>
      </c>
      <c r="D1" s="3" t="s">
        <v>82</v>
      </c>
      <c r="E1" s="3" t="s">
        <v>96</v>
      </c>
    </row>
    <row r="2" spans="1:5" x14ac:dyDescent="0.2">
      <c r="A2" t="s">
        <v>99</v>
      </c>
      <c r="B2" t="s">
        <v>83</v>
      </c>
      <c r="C2" t="s">
        <v>84</v>
      </c>
      <c r="D2" s="17">
        <v>9.5000000000000001E-2</v>
      </c>
      <c r="E2" s="15">
        <f>$B$10+D2*(1-$B$10)</f>
        <v>0.28505000000000003</v>
      </c>
    </row>
    <row r="3" spans="1:5" x14ac:dyDescent="0.2">
      <c r="A3" t="s">
        <v>100</v>
      </c>
      <c r="B3" t="s">
        <v>83</v>
      </c>
      <c r="C3" t="s">
        <v>85</v>
      </c>
      <c r="D3" s="17">
        <v>0</v>
      </c>
      <c r="E3" s="15">
        <f t="shared" ref="E3:E8" si="0">$B$10+D3*(1-$B$10)</f>
        <v>0.21</v>
      </c>
    </row>
    <row r="4" spans="1:5" x14ac:dyDescent="0.2">
      <c r="A4" t="s">
        <v>101</v>
      </c>
      <c r="B4" t="s">
        <v>86</v>
      </c>
      <c r="C4" t="s">
        <v>87</v>
      </c>
      <c r="D4" s="17">
        <v>0</v>
      </c>
      <c r="E4" s="15">
        <f t="shared" si="0"/>
        <v>0.21</v>
      </c>
    </row>
    <row r="5" spans="1:5" x14ac:dyDescent="0.2">
      <c r="A5" t="s">
        <v>102</v>
      </c>
      <c r="B5" t="s">
        <v>88</v>
      </c>
      <c r="C5" t="s">
        <v>89</v>
      </c>
      <c r="D5" s="17">
        <v>8.8400000000000006E-2</v>
      </c>
      <c r="E5" s="15">
        <f t="shared" si="0"/>
        <v>0.27983599999999997</v>
      </c>
    </row>
    <row r="6" spans="1:5" x14ac:dyDescent="0.2">
      <c r="A6" t="s">
        <v>103</v>
      </c>
      <c r="B6" t="s">
        <v>90</v>
      </c>
      <c r="C6" t="s">
        <v>91</v>
      </c>
      <c r="D6" s="17">
        <v>9.8000000000000004E-2</v>
      </c>
      <c r="E6" s="15">
        <f t="shared" si="0"/>
        <v>0.28742000000000001</v>
      </c>
    </row>
    <row r="7" spans="1:5" x14ac:dyDescent="0.2">
      <c r="A7" t="s">
        <v>104</v>
      </c>
      <c r="B7" t="s">
        <v>92</v>
      </c>
      <c r="C7" t="s">
        <v>93</v>
      </c>
      <c r="D7" s="17">
        <v>7.8100000000000003E-2</v>
      </c>
      <c r="E7" s="15">
        <f t="shared" si="0"/>
        <v>0.27169900000000002</v>
      </c>
    </row>
    <row r="8" spans="1:5" x14ac:dyDescent="0.2">
      <c r="A8" t="s">
        <v>105</v>
      </c>
      <c r="B8" t="s">
        <v>94</v>
      </c>
      <c r="C8" t="s">
        <v>95</v>
      </c>
      <c r="D8" s="17">
        <v>4.9000000000000002E-2</v>
      </c>
      <c r="E8" s="15">
        <f t="shared" si="0"/>
        <v>0.24870999999999999</v>
      </c>
    </row>
    <row r="9" spans="1:5" x14ac:dyDescent="0.2">
      <c r="C9" s="14"/>
    </row>
    <row r="10" spans="1:5" x14ac:dyDescent="0.2">
      <c r="A10" t="s">
        <v>97</v>
      </c>
      <c r="B10" s="16">
        <v>0.21</v>
      </c>
      <c r="C1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SMR</vt:lpstr>
      <vt:lpstr>Boundaries_5steps</vt:lpstr>
      <vt:lpstr>Boundaries_6steps</vt:lpstr>
      <vt:lpstr>Boundaries_7steps</vt:lpstr>
      <vt:lpstr>Boundaries_8steps</vt:lpstr>
      <vt:lpstr>40_MWe</vt:lpstr>
      <vt:lpstr>80_MWe</vt:lpstr>
      <vt:lpstr>Boundaries</vt:lpstr>
      <vt:lpstr>HTSE_steps</vt:lpstr>
      <vt:lpstr>MeOH_steps</vt:lpstr>
      <vt:lpstr>storage_steps</vt:lpstr>
      <vt:lpstr>PTC vs. ITC</vt:lpstr>
      <vt:lpstr>MACRS</vt:lpstr>
      <vt:lpstr>HTSE</vt:lpstr>
      <vt:lpstr>MeOH</vt:lpstr>
      <vt:lpstr>MeOH_original_data</vt:lpstr>
      <vt:lpstr>Capacity_Market</vt:lpstr>
      <vt:lpstr>Tax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Garrouste</dc:creator>
  <cp:lastModifiedBy>Microsoft Office User</cp:lastModifiedBy>
  <dcterms:created xsi:type="dcterms:W3CDTF">2022-05-18T16:54:28Z</dcterms:created>
  <dcterms:modified xsi:type="dcterms:W3CDTF">2023-09-12T15:33:51Z</dcterms:modified>
</cp:coreProperties>
</file>