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MeOH_2023/data/"/>
    </mc:Choice>
  </mc:AlternateContent>
  <xr:revisionPtr revIDLastSave="0" documentId="13_ncr:1_{CB805E72-8AE5-C143-B931-873DC120F73B}" xr6:coauthVersionLast="47" xr6:coauthVersionMax="47" xr10:uidLastSave="{00000000-0000-0000-0000-000000000000}"/>
  <bookViews>
    <workbookView xWindow="-300" yWindow="880" windowWidth="35840" windowHeight="20200" activeTab="1" xr2:uid="{3CE7F202-39F9-48AF-B0C7-575379157397}"/>
  </bookViews>
  <sheets>
    <sheet name="Sweep values" sheetId="10" r:id="rId1"/>
    <sheet name="storage_steps" sheetId="17" r:id="rId2"/>
    <sheet name="MeOH_steps" sheetId="16" r:id="rId3"/>
    <sheet name="HTSE_steps" sheetId="15" r:id="rId4"/>
    <sheet name="MACRS" sheetId="1" r:id="rId5"/>
    <sheet name="MeOH" sheetId="14" r:id="rId6"/>
    <sheet name="MeOH_original_data" sheetId="13" r:id="rId7"/>
    <sheet name="HTSE" sheetId="2" r:id="rId8"/>
    <sheet name="Capacity_Market" sheetId="3" r:id="rId9"/>
    <sheet name="NPP_capacities" sheetId="12" r:id="rId10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C3" i="17"/>
  <c r="D3" i="17"/>
  <c r="E3" i="17"/>
  <c r="F3" i="17"/>
  <c r="G3" i="17"/>
  <c r="H3" i="17"/>
  <c r="I3" i="17"/>
  <c r="J3" i="17"/>
  <c r="K3" i="17"/>
  <c r="C4" i="17"/>
  <c r="D4" i="17"/>
  <c r="E4" i="17"/>
  <c r="F4" i="17"/>
  <c r="G4" i="17"/>
  <c r="H4" i="17"/>
  <c r="I4" i="17"/>
  <c r="J4" i="17"/>
  <c r="K4" i="17"/>
  <c r="C5" i="17"/>
  <c r="D5" i="17"/>
  <c r="E5" i="17"/>
  <c r="F5" i="17"/>
  <c r="G5" i="17"/>
  <c r="H5" i="17"/>
  <c r="I5" i="17"/>
  <c r="J5" i="17"/>
  <c r="K5" i="17"/>
  <c r="C6" i="17"/>
  <c r="D6" i="17"/>
  <c r="E6" i="17"/>
  <c r="F6" i="17"/>
  <c r="G6" i="17"/>
  <c r="H6" i="17"/>
  <c r="I6" i="17"/>
  <c r="J6" i="17"/>
  <c r="K6" i="17"/>
  <c r="C2" i="16"/>
  <c r="D2" i="16"/>
  <c r="E2" i="16"/>
  <c r="F2" i="16"/>
  <c r="G2" i="16"/>
  <c r="H2" i="16"/>
  <c r="I2" i="16"/>
  <c r="J2" i="16"/>
  <c r="K2" i="16"/>
  <c r="C3" i="16"/>
  <c r="D3" i="16"/>
  <c r="E3" i="16"/>
  <c r="F3" i="16"/>
  <c r="G3" i="16"/>
  <c r="H3" i="16"/>
  <c r="I3" i="16"/>
  <c r="J3" i="16"/>
  <c r="K3" i="16"/>
  <c r="C4" i="16"/>
  <c r="D4" i="16"/>
  <c r="E4" i="16"/>
  <c r="F4" i="16"/>
  <c r="G4" i="16"/>
  <c r="H4" i="16"/>
  <c r="I4" i="16"/>
  <c r="J4" i="16"/>
  <c r="K4" i="16"/>
  <c r="C5" i="16"/>
  <c r="D5" i="16"/>
  <c r="E5" i="16"/>
  <c r="F5" i="16"/>
  <c r="G5" i="16"/>
  <c r="H5" i="16"/>
  <c r="I5" i="16"/>
  <c r="J5" i="16"/>
  <c r="K5" i="16"/>
  <c r="C6" i="16"/>
  <c r="D6" i="16"/>
  <c r="E6" i="16"/>
  <c r="F6" i="16"/>
  <c r="G6" i="16"/>
  <c r="H6" i="16"/>
  <c r="I6" i="16"/>
  <c r="J6" i="16"/>
  <c r="K6" i="16"/>
  <c r="B3" i="16"/>
  <c r="B4" i="16"/>
  <c r="B5" i="16"/>
  <c r="B6" i="16"/>
  <c r="B2" i="16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C2" i="15"/>
  <c r="D2" i="15"/>
  <c r="E2" i="15"/>
  <c r="F2" i="15"/>
  <c r="G2" i="15"/>
  <c r="H2" i="15"/>
  <c r="I2" i="15"/>
  <c r="J2" i="15"/>
  <c r="K2" i="15"/>
  <c r="B2" i="15"/>
  <c r="I22" i="14"/>
  <c r="G25" i="14"/>
  <c r="H25" i="14"/>
  <c r="I25" i="14"/>
  <c r="G26" i="14"/>
  <c r="H26" i="14"/>
  <c r="I26" i="14"/>
  <c r="H24" i="14"/>
  <c r="I24" i="14"/>
  <c r="G24" i="14"/>
  <c r="G23" i="14"/>
  <c r="G22" i="14"/>
  <c r="H22" i="14"/>
  <c r="H23" i="14"/>
  <c r="I23" i="14"/>
  <c r="C23" i="14"/>
  <c r="D23" i="14"/>
  <c r="B23" i="14"/>
  <c r="B26" i="14"/>
  <c r="C26" i="14"/>
  <c r="D26" i="14"/>
  <c r="B27" i="14"/>
  <c r="C27" i="14"/>
  <c r="D27" i="14"/>
  <c r="C25" i="14"/>
  <c r="D25" i="14"/>
  <c r="B25" i="14"/>
  <c r="B22" i="14"/>
  <c r="C22" i="14"/>
  <c r="D22" i="14"/>
  <c r="C21" i="14"/>
  <c r="D21" i="14"/>
  <c r="D43" i="14" s="1"/>
  <c r="B21" i="14"/>
  <c r="B43" i="14" s="1"/>
  <c r="B44" i="14" s="1"/>
  <c r="B16" i="10" s="1"/>
  <c r="C42" i="14"/>
  <c r="D42" i="14"/>
  <c r="B42" i="14"/>
  <c r="B39" i="14"/>
  <c r="D35" i="14"/>
  <c r="D36" i="14"/>
  <c r="D34" i="14"/>
  <c r="C34" i="14"/>
  <c r="C35" i="14"/>
  <c r="C36" i="14"/>
  <c r="B13" i="14"/>
  <c r="C13" i="14"/>
  <c r="D13" i="14"/>
  <c r="C12" i="14"/>
  <c r="D12" i="14"/>
  <c r="D8" i="14" s="1"/>
  <c r="B12" i="14"/>
  <c r="C8" i="14"/>
  <c r="B6" i="14"/>
  <c r="C6" i="14"/>
  <c r="D6" i="14"/>
  <c r="C5" i="14"/>
  <c r="D5" i="14"/>
  <c r="B5" i="14"/>
  <c r="I20" i="10"/>
  <c r="I21" i="10"/>
  <c r="I22" i="10"/>
  <c r="I23" i="10"/>
  <c r="G21" i="10"/>
  <c r="G22" i="10"/>
  <c r="G23" i="10"/>
  <c r="G24" i="10"/>
  <c r="G20" i="10"/>
  <c r="C21" i="10"/>
  <c r="C22" i="10"/>
  <c r="C23" i="10"/>
  <c r="C24" i="10"/>
  <c r="C20" i="10"/>
  <c r="D21" i="10"/>
  <c r="D22" i="10"/>
  <c r="D23" i="10"/>
  <c r="D24" i="10"/>
  <c r="D20" i="10"/>
  <c r="J3" i="12"/>
  <c r="J4" i="12"/>
  <c r="J5" i="12"/>
  <c r="J6" i="12"/>
  <c r="J7" i="12"/>
  <c r="J8" i="12"/>
  <c r="J2" i="12"/>
  <c r="B8" i="3"/>
  <c r="B4" i="2"/>
  <c r="C43" i="14" l="1"/>
  <c r="B8" i="14"/>
  <c r="E22" i="10"/>
  <c r="E24" i="10"/>
  <c r="F21" i="10"/>
  <c r="E23" i="10"/>
  <c r="F22" i="10"/>
  <c r="F23" i="10"/>
  <c r="J39" i="10" s="1"/>
  <c r="F24" i="10"/>
  <c r="J40" i="10" s="1"/>
  <c r="F20" i="10"/>
  <c r="E21" i="10"/>
  <c r="B37" i="10" s="1"/>
  <c r="E20" i="10"/>
  <c r="J36" i="10" s="1"/>
  <c r="H23" i="10"/>
  <c r="I47" i="10" s="1"/>
  <c r="H21" i="10"/>
  <c r="K45" i="10" s="1"/>
  <c r="H22" i="10"/>
  <c r="I46" i="10" s="1"/>
  <c r="H24" i="10"/>
  <c r="B48" i="10" s="1"/>
  <c r="C31" i="10"/>
  <c r="K30" i="10"/>
  <c r="J30" i="10"/>
  <c r="D29" i="10"/>
  <c r="D31" i="10"/>
  <c r="C29" i="10"/>
  <c r="B29" i="10"/>
  <c r="K32" i="10"/>
  <c r="D39" i="10"/>
  <c r="H32" i="10"/>
  <c r="G32" i="10"/>
  <c r="H37" i="10"/>
  <c r="F39" i="10"/>
  <c r="E39" i="10"/>
  <c r="J32" i="10"/>
  <c r="I32" i="10"/>
  <c r="E31" i="10"/>
  <c r="I30" i="10"/>
  <c r="H30" i="10"/>
  <c r="G29" i="10"/>
  <c r="F29" i="10"/>
  <c r="E29" i="10"/>
  <c r="B38" i="10"/>
  <c r="J28" i="10"/>
  <c r="K28" i="10"/>
  <c r="E32" i="10"/>
  <c r="I38" i="10"/>
  <c r="F30" i="10"/>
  <c r="C32" i="10"/>
  <c r="G28" i="10"/>
  <c r="D30" i="10"/>
  <c r="J31" i="10"/>
  <c r="I28" i="10"/>
  <c r="D32" i="10"/>
  <c r="H28" i="10"/>
  <c r="E30" i="10"/>
  <c r="K31" i="10"/>
  <c r="C30" i="10"/>
  <c r="K29" i="10"/>
  <c r="B32" i="10"/>
  <c r="J29" i="10"/>
  <c r="G31" i="10"/>
  <c r="F32" i="10"/>
  <c r="G30" i="10"/>
  <c r="F28" i="10"/>
  <c r="E28" i="10"/>
  <c r="B28" i="10"/>
  <c r="I31" i="10"/>
  <c r="D28" i="10"/>
  <c r="H31" i="10"/>
  <c r="C28" i="10"/>
  <c r="B31" i="10"/>
  <c r="I29" i="10"/>
  <c r="B30" i="10"/>
  <c r="F31" i="10"/>
  <c r="H29" i="10"/>
  <c r="I37" i="10" l="1"/>
  <c r="E38" i="10"/>
  <c r="K40" i="10"/>
  <c r="K38" i="10"/>
  <c r="E40" i="10"/>
  <c r="K39" i="10"/>
  <c r="C37" i="10"/>
  <c r="D37" i="10"/>
  <c r="C38" i="10"/>
  <c r="F38" i="10"/>
  <c r="C40" i="10"/>
  <c r="G38" i="10"/>
  <c r="F47" i="10"/>
  <c r="H36" i="10"/>
  <c r="C36" i="10"/>
  <c r="B40" i="10"/>
  <c r="E37" i="10"/>
  <c r="E45" i="10"/>
  <c r="D40" i="10"/>
  <c r="H39" i="10"/>
  <c r="D46" i="10"/>
  <c r="H38" i="10"/>
  <c r="F36" i="10"/>
  <c r="J37" i="10"/>
  <c r="G36" i="10"/>
  <c r="J46" i="10"/>
  <c r="K46" i="10"/>
  <c r="C39" i="10"/>
  <c r="H46" i="10"/>
  <c r="I40" i="10"/>
  <c r="F40" i="10"/>
  <c r="D48" i="10"/>
  <c r="E47" i="10"/>
  <c r="G45" i="10"/>
  <c r="K48" i="10"/>
  <c r="K37" i="10"/>
  <c r="F37" i="10"/>
  <c r="C47" i="10"/>
  <c r="G48" i="10"/>
  <c r="F45" i="10"/>
  <c r="H48" i="10"/>
  <c r="E46" i="10"/>
  <c r="B36" i="10"/>
  <c r="H20" i="10"/>
  <c r="C44" i="10" s="1"/>
  <c r="I48" i="10"/>
  <c r="K47" i="10"/>
  <c r="E36" i="10"/>
  <c r="H40" i="10"/>
  <c r="G37" i="10"/>
  <c r="G39" i="10"/>
  <c r="B46" i="10"/>
  <c r="C48" i="10"/>
  <c r="D36" i="10"/>
  <c r="K36" i="10"/>
  <c r="H47" i="10"/>
  <c r="F46" i="10"/>
  <c r="I39" i="10"/>
  <c r="G40" i="10"/>
  <c r="J38" i="10"/>
  <c r="B39" i="10"/>
  <c r="I36" i="10"/>
  <c r="C46" i="10"/>
  <c r="G46" i="10"/>
  <c r="D38" i="10"/>
  <c r="D47" i="10"/>
  <c r="H45" i="10"/>
  <c r="I45" i="10"/>
  <c r="J47" i="10"/>
  <c r="J48" i="10"/>
  <c r="C45" i="10"/>
  <c r="E48" i="10"/>
  <c r="G47" i="10"/>
  <c r="B45" i="10"/>
  <c r="D45" i="10"/>
  <c r="J45" i="10"/>
  <c r="B47" i="10"/>
  <c r="F48" i="10"/>
  <c r="D44" i="10" l="1"/>
  <c r="J44" i="10"/>
  <c r="E44" i="10"/>
  <c r="H44" i="10"/>
  <c r="K44" i="10"/>
  <c r="B44" i="10"/>
  <c r="I44" i="10"/>
  <c r="F44" i="10"/>
  <c r="G44" i="10"/>
</calcChain>
</file>

<file path=xl/sharedStrings.xml><?xml version="1.0" encoding="utf-8"?>
<sst xmlns="http://schemas.openxmlformats.org/spreadsheetml/2006/main" count="284" uniqueCount="194">
  <si>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</si>
  <si>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</si>
  <si>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</si>
  <si>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</si>
  <si>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</si>
  <si>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</si>
  <si>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</si>
  <si>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</si>
  <si>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</si>
  <si>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</si>
  <si>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</si>
  <si>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</si>
  <si>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</si>
  <si>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</si>
  <si>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</si>
  <si>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</si>
  <si>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</si>
  <si>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</si>
  <si>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</si>
  <si>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</si>
  <si>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</si>
  <si>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</si>
  <si>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</si>
  <si>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</si>
  <si>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</si>
  <si>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</si>
  <si>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</si>
  <si>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</si>
  <si>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</si>
  <si>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</si>
  <si>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</si>
  <si>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</si>
  <si>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</si>
  <si>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</si>
  <si>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</si>
  <si>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</si>
  <si>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</si>
  <si>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</si>
  <si>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</si>
  <si>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</si>
  <si>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</si>
  <si>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</si>
  <si>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</si>
  <si>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</si>
  <si>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</si>
  <si>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</si>
  <si>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</si>
  <si>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</si>
  <si>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</si>
  <si>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</si>
  <si>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</si>
  <si>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</si>
  <si>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</si>
  <si>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</si>
  <si>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</si>
  <si>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</si>
  <si>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</si>
  <si>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</si>
  <si>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</si>
  <si>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</si>
  <si>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</si>
  <si>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MWe</t>
  </si>
  <si>
    <t>Using NOAK values</t>
  </si>
  <si>
    <t>kg-H2/kWh-e</t>
  </si>
  <si>
    <t>Name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</si>
  <si>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</si>
  <si>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</si>
  <si>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</si>
  <si>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</si>
  <si>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</si>
  <si>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Components capacities optimization boundaries calculation</t>
  </si>
  <si>
    <t>Fixed components</t>
  </si>
  <si>
    <t>Purpose</t>
  </si>
  <si>
    <t>Capacity negative when component is consuming a resource</t>
  </si>
  <si>
    <t>Lower</t>
  </si>
  <si>
    <t>Upper</t>
  </si>
  <si>
    <t xml:space="preserve">Capacity  </t>
  </si>
  <si>
    <t>ft_elec_consumption</t>
  </si>
  <si>
    <t>jet_fuel_market</t>
  </si>
  <si>
    <t>diesel_market</t>
  </si>
  <si>
    <t>naphtha_market</t>
  </si>
  <si>
    <t>CAPEX</t>
  </si>
  <si>
    <t>elec_market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</si>
  <si>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</si>
  <si>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</si>
  <si>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</si>
  <si>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</si>
  <si>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</si>
  <si>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</si>
  <si>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</si>
  <si>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</si>
  <si>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</si>
  <si>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</si>
  <si>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</si>
  <si>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</si>
  <si>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</si>
  <si>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</si>
  <si>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</si>
  <si>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</si>
  <si>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</si>
  <si>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</si>
  <si>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</si>
  <si>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</si>
  <si>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</si>
  <si>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</si>
  <si>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</si>
  <si>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</si>
  <si>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</si>
  <si>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</si>
  <si>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</si>
  <si>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</si>
  <si>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</si>
  <si>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</si>
  <si>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</si>
  <si>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</si>
  <si>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</si>
  <si>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</si>
  <si>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</si>
  <si>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</si>
  <si>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</si>
  <si>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</si>
  <si>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</si>
  <si>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</si>
  <si>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</si>
  <si>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</si>
  <si>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</si>
  <si>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Storage lower</t>
  </si>
  <si>
    <t>10 so 0 storage</t>
  </si>
  <si>
    <t>Storage upper</t>
  </si>
  <si>
    <t>14 days worth of storage for the FT max capacity</t>
  </si>
  <si>
    <t>HTSE Steps</t>
  </si>
  <si>
    <t>Lower bound HTSE</t>
  </si>
  <si>
    <t>100MW combined HTSE+FT power req</t>
  </si>
  <si>
    <t>Higher bound HTSE</t>
  </si>
  <si>
    <t>1000MW combined HTSE+FT power req</t>
  </si>
  <si>
    <t>HTSE (MWe)</t>
  </si>
  <si>
    <t>H2 storage (kg-H2)</t>
  </si>
  <si>
    <t>Hydrogen storage steps</t>
  </si>
  <si>
    <t>Max elec. Price</t>
  </si>
  <si>
    <t>Standard set for STP at max 14 days worth of FT hyd. Consumpt.</t>
  </si>
  <si>
    <t>Days FT prod. for sto max cap.</t>
  </si>
  <si>
    <t>Cooper</t>
  </si>
  <si>
    <t>Scale. (MWe, htse+MeOH comb.)</t>
  </si>
  <si>
    <t>Fixed OPEX ($/year)</t>
  </si>
  <si>
    <t>h2</t>
  </si>
  <si>
    <t>co2</t>
  </si>
  <si>
    <t>electricity</t>
  </si>
  <si>
    <t>refrigerant</t>
  </si>
  <si>
    <t>other</t>
  </si>
  <si>
    <t>in $(2019)</t>
  </si>
  <si>
    <t>75% of refrigerant is electricity costs</t>
  </si>
  <si>
    <t>Variable OPEX ($/MWh)</t>
  </si>
  <si>
    <t>$ variable OPEX in $MWh?</t>
  </si>
  <si>
    <t>Efficiency</t>
  </si>
  <si>
    <t xml:space="preserve">naphtha </t>
  </si>
  <si>
    <t xml:space="preserve">co2 </t>
  </si>
  <si>
    <t>jet fuel</t>
  </si>
  <si>
    <t>diesel</t>
  </si>
  <si>
    <t>Costs ($(2020))</t>
  </si>
  <si>
    <t>Inflation rate 2019 to 2020</t>
  </si>
  <si>
    <t>Comments</t>
  </si>
  <si>
    <t>For variable OPEX only costs not input related</t>
  </si>
  <si>
    <t>Linear regressions show R2=1 so using 1000MWe values</t>
  </si>
  <si>
    <t>Inputs (kg/h)</t>
  </si>
  <si>
    <t>Fuel products (kg/h)</t>
  </si>
  <si>
    <t>Density (kg/L)</t>
  </si>
  <si>
    <t>l/gal</t>
  </si>
  <si>
    <t>naphtha</t>
  </si>
  <si>
    <t xml:space="preserve">CAPEX regression </t>
  </si>
  <si>
    <t>ln(CAPEX) = ln(alpha)+x.ln(driver/ref)</t>
  </si>
  <si>
    <t>ln(driver/ref)</t>
  </si>
  <si>
    <t>ln(CAPEX)</t>
  </si>
  <si>
    <t>Identification</t>
  </si>
  <si>
    <t>Alpha</t>
  </si>
  <si>
    <t>Scaling factor</t>
  </si>
  <si>
    <t>Constant MeOH power req (MW)</t>
  </si>
  <si>
    <t>Ask Hernan about this</t>
  </si>
  <si>
    <t>H2 to MWe rate</t>
  </si>
  <si>
    <t>Scale</t>
  </si>
  <si>
    <t>H2 to MW rate MeOH</t>
  </si>
  <si>
    <t>MeOH (kg-H2/h)</t>
  </si>
  <si>
    <t>MeOH Steps</t>
  </si>
  <si>
    <t>Variable OPEX ($/year)</t>
  </si>
  <si>
    <t>SA sweep values</t>
  </si>
  <si>
    <t>Inputs (MT/d)</t>
  </si>
  <si>
    <t>Fuel products (MT/d)</t>
  </si>
  <si>
    <t>electricity (MW)</t>
  </si>
  <si>
    <t>Ratios\Scale(MWe)</t>
  </si>
  <si>
    <t>location</t>
  </si>
  <si>
    <t>braidwood</t>
  </si>
  <si>
    <t>cooper</t>
  </si>
  <si>
    <t>davis_besse</t>
  </si>
  <si>
    <t>prairie_island</t>
  </si>
  <si>
    <t>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</si>
</sst>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5" borderId="12" applyNumberFormat="0" applyAlignment="0" applyProtection="0"/>
  </cellStyleXfs>
  <cellXfs count="65">
    <xf numFmtId="0" fontId="0" fillId="0" borderId="0" xfId="0"/>
    <xf numFmtId="49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2" borderId="0" xfId="1"/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3" fillId="0" borderId="0" xfId="2"/>
    <xf numFmtId="10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6" fontId="0" fillId="0" borderId="0" xfId="0" applyNumberFormat="1"/>
    <xf numFmtId="0" fontId="0" fillId="3" borderId="5" xfId="0" applyFill="1" applyBorder="1"/>
    <xf numFmtId="0" fontId="0" fillId="0" borderId="11" xfId="0" applyBorder="1"/>
    <xf numFmtId="0" fontId="0" fillId="3" borderId="10" xfId="0" applyFill="1" applyBorder="1"/>
    <xf numFmtId="2" fontId="0" fillId="0" borderId="5" xfId="0" applyNumberFormat="1" applyBorder="1"/>
    <xf numFmtId="0" fontId="0" fillId="4" borderId="0" xfId="0" applyFill="1"/>
    <xf numFmtId="0" fontId="5" fillId="5" borderId="12" xfId="4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1" fontId="5" fillId="5" borderId="12" xfId="4" applyNumberFormat="1"/>
    <xf numFmtId="1" fontId="0" fillId="0" borderId="0" xfId="0" applyNumberFormat="1"/>
    <xf numFmtId="1" fontId="0" fillId="0" borderId="5" xfId="0" applyNumberFormat="1" applyBorder="1"/>
    <xf numFmtId="1" fontId="5" fillId="5" borderId="16" xfId="4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164" fontId="0" fillId="0" borderId="7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165" fontId="0" fillId="6" borderId="0" xfId="0" applyNumberFormat="1" applyFill="1"/>
    <xf numFmtId="165" fontId="0" fillId="6" borderId="5" xfId="0" applyNumberFormat="1" applyFill="1" applyBorder="1"/>
    <xf numFmtId="165" fontId="0" fillId="6" borderId="7" xfId="0" applyNumberFormat="1" applyFill="1" applyBorder="1"/>
    <xf numFmtId="165" fontId="0" fillId="6" borderId="8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5">
    <cellStyle name="Calculation" xfId="4" builtinId="22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MeOH!$D$33</c:f>
              <c:strCache>
                <c:ptCount val="1"/>
                <c:pt idx="0">
                  <c:v>ln(CAPEX)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MeOH!$C$34:$C$36</c:f>
              <c:numCache>
                <c:formatCode>General</c:formatCode>
                <c:ptCount val="3"/>
                <c:pt idx="0">
                  <c:v>-2.3025850929940455</c:v>
                </c:pt>
                <c:pt idx="1">
                  <c:v>-0.69314718055994529</c:v>
                </c:pt>
                <c:pt idx="2">
                  <c:v>0</c:v>
                </c:pt>
              </c:numCache>
            </c:numRef>
          </c:xVal>
          <c:yVal>
            <c:numRef>
              <c:f>MeOH!$D$34:$D$36</c:f>
              <c:numCache>
                <c:formatCode>General</c:formatCode>
                <c:ptCount val="3"/>
                <c:pt idx="0">
                  <c:v>18.939006744588596</c:v>
                </c:pt>
                <c:pt idx="1">
                  <c:v>19.747578800835441</c:v>
                </c:pt>
                <c:pt idx="2">
                  <c:v>20.300187874021002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2-0F45-83AD-7D6A2038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21632"/>
        <c:axId val="712799008"/>
      </c:scatterChart>
      <c:valAx>
        <c:axId val="71282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9008"/>
        <c:crosses val="autoZero"/>
        <c:crossBetween val="midCat"/>
      </c:valAx>
      <c:valAx>
        <c:axId val="712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45</xdr:row>
      <xdr:rowOff>69850</xdr:rowOff>
    </xdr:from>
    <xdr:to>
      <xdr:col>5</xdr:col>
      <xdr:colOff>584200</xdr:colOff>
      <xdr:row>62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F04C5-6207-A072-DBA5-22A9E9483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K51"/>
  <sheetViews>
    <sheetView topLeftCell="A15" zoomScale="120" zoomScaleNormal="120" workbookViewId="0">
      <selection activeCell="O36" sqref="O36"/>
    </sheetView>
  </sheetViews>
  <sheetFormatPr baseColWidth="10" defaultColWidth="8.83203125" defaultRowHeight="15" x14ac:dyDescent="0.2"/>
  <cols>
    <col min="1" max="1" width="15.1640625" customWidth="1"/>
    <col min="2" max="2" width="13.33203125" customWidth="1"/>
    <col min="4" max="4" width="9" customWidth="1"/>
    <col min="5" max="5" width="10.5" customWidth="1"/>
    <col min="6" max="6" width="11" customWidth="1"/>
    <col min="7" max="7" width="9.5" customWidth="1"/>
    <col min="8" max="8" width="11.1640625" customWidth="1"/>
    <col min="9" max="9" width="23.6640625" bestFit="1" customWidth="1"/>
    <col min="10" max="10" width="12.33203125" bestFit="1" customWidth="1"/>
    <col min="11" max="11" width="13.6640625" customWidth="1"/>
    <col min="12" max="12" width="11.83203125" customWidth="1"/>
  </cols>
  <sheetData>
    <row r="1" spans="1:3" x14ac:dyDescent="0.2">
      <c r="A1" t="s">
        <v>72</v>
      </c>
      <c r="B1" t="s">
        <v>70</v>
      </c>
    </row>
    <row r="2" spans="1:3" x14ac:dyDescent="0.2">
      <c r="A2" t="s">
        <v>65</v>
      </c>
      <c r="B2" t="s">
        <v>73</v>
      </c>
    </row>
    <row r="3" spans="1:3" x14ac:dyDescent="0.2">
      <c r="A3" t="s">
        <v>71</v>
      </c>
    </row>
    <row r="4" spans="1:3" x14ac:dyDescent="0.2">
      <c r="A4" t="s">
        <v>64</v>
      </c>
      <c r="B4" t="s">
        <v>76</v>
      </c>
      <c r="C4" t="s">
        <v>28</v>
      </c>
    </row>
    <row r="5" spans="1:3" x14ac:dyDescent="0.2">
      <c r="A5" t="s">
        <v>77</v>
      </c>
      <c r="B5">
        <v>14.9</v>
      </c>
      <c r="C5" t="s">
        <v>61</v>
      </c>
    </row>
    <row r="6" spans="1:3" x14ac:dyDescent="0.2">
      <c r="A6" t="s">
        <v>82</v>
      </c>
      <c r="B6" s="2">
        <v>-9.9999999999999997E+199</v>
      </c>
      <c r="C6" t="s">
        <v>61</v>
      </c>
    </row>
    <row r="7" spans="1:3" x14ac:dyDescent="0.2">
      <c r="A7" t="s">
        <v>78</v>
      </c>
      <c r="B7" s="2">
        <v>-9.9999999999999997E+199</v>
      </c>
      <c r="C7" t="s">
        <v>61</v>
      </c>
    </row>
    <row r="8" spans="1:3" x14ac:dyDescent="0.2">
      <c r="A8" t="s">
        <v>79</v>
      </c>
      <c r="B8" s="2">
        <v>-9.9999999999999997E+199</v>
      </c>
      <c r="C8" t="s">
        <v>61</v>
      </c>
    </row>
    <row r="9" spans="1:3" x14ac:dyDescent="0.2">
      <c r="A9" t="s">
        <v>80</v>
      </c>
      <c r="B9" s="2">
        <v>-9.9999999999999997E+199</v>
      </c>
      <c r="C9" t="s">
        <v>61</v>
      </c>
    </row>
    <row r="10" spans="1:3" x14ac:dyDescent="0.2">
      <c r="B10" s="2"/>
    </row>
    <row r="11" spans="1:3" x14ac:dyDescent="0.2">
      <c r="A11" t="s">
        <v>126</v>
      </c>
      <c r="B11" s="2" t="s">
        <v>127</v>
      </c>
    </row>
    <row r="12" spans="1:3" x14ac:dyDescent="0.2">
      <c r="A12" t="s">
        <v>128</v>
      </c>
      <c r="B12" s="2" t="s">
        <v>129</v>
      </c>
    </row>
    <row r="13" spans="1:3" x14ac:dyDescent="0.2">
      <c r="A13" t="s">
        <v>131</v>
      </c>
      <c r="B13" s="2" t="s">
        <v>132</v>
      </c>
    </row>
    <row r="14" spans="1:3" x14ac:dyDescent="0.2">
      <c r="A14" t="s">
        <v>133</v>
      </c>
      <c r="B14" s="2" t="s">
        <v>134</v>
      </c>
    </row>
    <row r="15" spans="1:3" x14ac:dyDescent="0.2">
      <c r="A15" t="s">
        <v>175</v>
      </c>
      <c r="B15" s="28">
        <v>0</v>
      </c>
      <c r="C15" t="s">
        <v>176</v>
      </c>
    </row>
    <row r="16" spans="1:3" x14ac:dyDescent="0.2">
      <c r="A16" t="s">
        <v>179</v>
      </c>
      <c r="B16">
        <f>MeOH!B44</f>
        <v>24.166666666666664</v>
      </c>
    </row>
    <row r="17" spans="1:11" ht="16" thickBot="1" x14ac:dyDescent="0.25">
      <c r="B17" s="2"/>
    </row>
    <row r="18" spans="1:11" x14ac:dyDescent="0.2">
      <c r="A18" s="54" t="s">
        <v>83</v>
      </c>
      <c r="B18" s="56" t="s">
        <v>88</v>
      </c>
      <c r="C18" s="58" t="s">
        <v>135</v>
      </c>
      <c r="D18" s="59"/>
      <c r="E18" s="58" t="s">
        <v>180</v>
      </c>
      <c r="F18" s="59"/>
      <c r="G18" s="58" t="s">
        <v>136</v>
      </c>
      <c r="H18" s="59"/>
      <c r="I18" s="31"/>
      <c r="J18" s="32"/>
    </row>
    <row r="19" spans="1:11" ht="16" thickBot="1" x14ac:dyDescent="0.25">
      <c r="A19" s="55"/>
      <c r="B19" s="57"/>
      <c r="C19" s="11" t="s">
        <v>74</v>
      </c>
      <c r="D19" s="13" t="s">
        <v>75</v>
      </c>
      <c r="E19" s="11" t="s">
        <v>74</v>
      </c>
      <c r="F19" s="13" t="s">
        <v>75</v>
      </c>
      <c r="G19" s="11" t="s">
        <v>74</v>
      </c>
      <c r="H19" s="13" t="s">
        <v>75</v>
      </c>
      <c r="I19" s="19" t="s">
        <v>140</v>
      </c>
      <c r="J19" s="13" t="s">
        <v>138</v>
      </c>
    </row>
    <row r="20" spans="1:11" x14ac:dyDescent="0.2">
      <c r="A20" s="9" t="s">
        <v>91</v>
      </c>
      <c r="B20">
        <v>1194</v>
      </c>
      <c r="C20">
        <f>MAX(-B20+$B$15, -1000+$B$15)</f>
        <v>-1000</v>
      </c>
      <c r="D20">
        <f>-100+$B$15</f>
        <v>-100</v>
      </c>
      <c r="E20" s="39">
        <f>C20*$B$16</f>
        <v>-24166.666666666664</v>
      </c>
      <c r="F20" s="39">
        <f>D20*$B$16</f>
        <v>-2416.6666666666665</v>
      </c>
      <c r="G20" s="34">
        <f>0</f>
        <v>0</v>
      </c>
      <c r="H20" s="34">
        <f>ABS(E20)*24*I20</f>
        <v>1160000</v>
      </c>
      <c r="I20">
        <f t="shared" ref="I20:I22" si="0">ROUNDUP(J20*$I$24/$J$24,0)</f>
        <v>2</v>
      </c>
      <c r="J20" s="10">
        <v>934</v>
      </c>
    </row>
    <row r="21" spans="1:11" x14ac:dyDescent="0.2">
      <c r="A21" s="9" t="s">
        <v>141</v>
      </c>
      <c r="B21">
        <v>769</v>
      </c>
      <c r="C21">
        <f t="shared" ref="C21:C24" si="1">MAX(-B21+$B$15, -1000+$B$15)</f>
        <v>-769</v>
      </c>
      <c r="D21">
        <f t="shared" ref="D21:D24" si="2">-100+$B$15</f>
        <v>-100</v>
      </c>
      <c r="E21" s="39">
        <f t="shared" ref="E21:E24" si="3">C21*$B$16</f>
        <v>-18584.166666666664</v>
      </c>
      <c r="F21" s="39">
        <f t="shared" ref="F21:F24" si="4">D21*$B$16</f>
        <v>-2416.6666666666665</v>
      </c>
      <c r="G21" s="34">
        <f>0</f>
        <v>0</v>
      </c>
      <c r="H21" s="34">
        <f t="shared" ref="H21:H23" si="5">ABS(E21)*24*I21</f>
        <v>3122139.9999999995</v>
      </c>
      <c r="I21">
        <f t="shared" si="0"/>
        <v>7</v>
      </c>
      <c r="J21" s="10">
        <v>4231</v>
      </c>
    </row>
    <row r="22" spans="1:11" x14ac:dyDescent="0.2">
      <c r="A22" s="9" t="s">
        <v>96</v>
      </c>
      <c r="B22">
        <v>894</v>
      </c>
      <c r="C22">
        <f t="shared" si="1"/>
        <v>-894</v>
      </c>
      <c r="D22">
        <f t="shared" si="2"/>
        <v>-100</v>
      </c>
      <c r="E22" s="39">
        <f t="shared" si="3"/>
        <v>-21604.999999999996</v>
      </c>
      <c r="F22" s="39">
        <f t="shared" si="4"/>
        <v>-2416.6666666666665</v>
      </c>
      <c r="G22" s="34">
        <f>0</f>
        <v>0</v>
      </c>
      <c r="H22" s="34">
        <f t="shared" si="5"/>
        <v>1037039.9999999998</v>
      </c>
      <c r="I22">
        <f t="shared" si="0"/>
        <v>2</v>
      </c>
      <c r="J22" s="10">
        <v>934</v>
      </c>
    </row>
    <row r="23" spans="1:11" x14ac:dyDescent="0.2">
      <c r="A23" s="9" t="s">
        <v>107</v>
      </c>
      <c r="B23">
        <v>522</v>
      </c>
      <c r="C23">
        <f t="shared" si="1"/>
        <v>-522</v>
      </c>
      <c r="D23">
        <f t="shared" si="2"/>
        <v>-100</v>
      </c>
      <c r="E23" s="39">
        <f t="shared" si="3"/>
        <v>-12614.999999999998</v>
      </c>
      <c r="F23" s="39">
        <f t="shared" si="4"/>
        <v>-2416.6666666666665</v>
      </c>
      <c r="G23" s="34">
        <f>0</f>
        <v>0</v>
      </c>
      <c r="H23" s="34">
        <f t="shared" si="5"/>
        <v>302759.99999999994</v>
      </c>
      <c r="I23">
        <f>ROUNDUP(J23*$I$24/$J$24,0)</f>
        <v>1</v>
      </c>
      <c r="J23" s="10">
        <v>97</v>
      </c>
    </row>
    <row r="24" spans="1:11" ht="16" thickBot="1" x14ac:dyDescent="0.25">
      <c r="A24" s="11" t="s">
        <v>99</v>
      </c>
      <c r="B24" s="19">
        <v>1280</v>
      </c>
      <c r="C24" s="19">
        <f t="shared" si="1"/>
        <v>-1000</v>
      </c>
      <c r="D24" s="19">
        <f t="shared" si="2"/>
        <v>-100</v>
      </c>
      <c r="E24" s="40">
        <f t="shared" si="3"/>
        <v>-24166.666666666664</v>
      </c>
      <c r="F24" s="40">
        <f t="shared" si="4"/>
        <v>-2416.6666666666665</v>
      </c>
      <c r="G24" s="37">
        <f>0</f>
        <v>0</v>
      </c>
      <c r="H24" s="37">
        <f>ABS(E24)*24*I24</f>
        <v>8120000</v>
      </c>
      <c r="I24" s="19">
        <v>14</v>
      </c>
      <c r="J24" s="13">
        <v>8997</v>
      </c>
      <c r="K24" t="s">
        <v>139</v>
      </c>
    </row>
    <row r="26" spans="1:11" ht="16" thickBot="1" x14ac:dyDescent="0.25">
      <c r="A26" s="3" t="s">
        <v>130</v>
      </c>
    </row>
    <row r="27" spans="1:11" x14ac:dyDescent="0.2">
      <c r="A27" s="30" t="s">
        <v>83</v>
      </c>
      <c r="B27" s="31">
        <v>0</v>
      </c>
      <c r="C27" s="31">
        <v>1</v>
      </c>
      <c r="D27" s="31">
        <v>2</v>
      </c>
      <c r="E27" s="31">
        <v>3</v>
      </c>
      <c r="F27" s="31">
        <v>4</v>
      </c>
      <c r="G27" s="31">
        <v>5</v>
      </c>
      <c r="H27" s="31">
        <v>6</v>
      </c>
      <c r="I27" s="31">
        <v>7</v>
      </c>
      <c r="J27" s="31">
        <v>8</v>
      </c>
      <c r="K27" s="32">
        <v>9</v>
      </c>
    </row>
    <row r="28" spans="1:11" ht="16" x14ac:dyDescent="0.2">
      <c r="A28" s="9" t="s">
        <v>91</v>
      </c>
      <c r="B28" s="33">
        <f>$C20+B$27*ABS($C20-$D20)/9</f>
        <v>-1000</v>
      </c>
      <c r="C28" s="34">
        <f t="shared" ref="C28:K28" si="6">$C20+C$27*ABS($C20-$D20)/9</f>
        <v>-900</v>
      </c>
      <c r="D28" s="33">
        <f t="shared" si="6"/>
        <v>-800</v>
      </c>
      <c r="E28" s="34">
        <f t="shared" si="6"/>
        <v>-700</v>
      </c>
      <c r="F28" s="33">
        <f t="shared" si="6"/>
        <v>-600</v>
      </c>
      <c r="G28" s="34">
        <f t="shared" si="6"/>
        <v>-500</v>
      </c>
      <c r="H28" s="33">
        <f t="shared" si="6"/>
        <v>-400</v>
      </c>
      <c r="I28" s="34">
        <f t="shared" si="6"/>
        <v>-300</v>
      </c>
      <c r="J28" s="33">
        <f t="shared" si="6"/>
        <v>-200</v>
      </c>
      <c r="K28" s="35">
        <f t="shared" si="6"/>
        <v>-100</v>
      </c>
    </row>
    <row r="29" spans="1:11" ht="16" x14ac:dyDescent="0.2">
      <c r="A29" s="9" t="s">
        <v>111</v>
      </c>
      <c r="B29" s="33">
        <f t="shared" ref="B29:K32" si="7">$C21+B$27*ABS($C21-$D21)/9</f>
        <v>-769</v>
      </c>
      <c r="C29" s="34">
        <f t="shared" si="7"/>
        <v>-694.66666666666663</v>
      </c>
      <c r="D29" s="33">
        <f t="shared" si="7"/>
        <v>-620.33333333333337</v>
      </c>
      <c r="E29" s="34">
        <f t="shared" si="7"/>
        <v>-546</v>
      </c>
      <c r="F29" s="33">
        <f t="shared" si="7"/>
        <v>-471.66666666666669</v>
      </c>
      <c r="G29" s="34">
        <f t="shared" si="7"/>
        <v>-397.33333333333331</v>
      </c>
      <c r="H29" s="33">
        <f t="shared" si="7"/>
        <v>-323</v>
      </c>
      <c r="I29" s="34">
        <f t="shared" si="7"/>
        <v>-248.66666666666663</v>
      </c>
      <c r="J29" s="33">
        <f t="shared" si="7"/>
        <v>-174.33333333333337</v>
      </c>
      <c r="K29" s="35">
        <f t="shared" si="7"/>
        <v>-100</v>
      </c>
    </row>
    <row r="30" spans="1:11" ht="16" x14ac:dyDescent="0.2">
      <c r="A30" s="9" t="s">
        <v>96</v>
      </c>
      <c r="B30" s="33">
        <f t="shared" si="7"/>
        <v>-894</v>
      </c>
      <c r="C30" s="34">
        <f t="shared" si="7"/>
        <v>-805.77777777777783</v>
      </c>
      <c r="D30" s="33">
        <f t="shared" si="7"/>
        <v>-717.55555555555554</v>
      </c>
      <c r="E30" s="34">
        <f t="shared" si="7"/>
        <v>-629.33333333333326</v>
      </c>
      <c r="F30" s="33">
        <f t="shared" si="7"/>
        <v>-541.11111111111109</v>
      </c>
      <c r="G30" s="34">
        <f t="shared" si="7"/>
        <v>-452.88888888888891</v>
      </c>
      <c r="H30" s="33">
        <f t="shared" si="7"/>
        <v>-364.66666666666663</v>
      </c>
      <c r="I30" s="34">
        <f t="shared" si="7"/>
        <v>-276.44444444444446</v>
      </c>
      <c r="J30" s="33">
        <f t="shared" si="7"/>
        <v>-188.22222222222217</v>
      </c>
      <c r="K30" s="35">
        <f t="shared" si="7"/>
        <v>-100</v>
      </c>
    </row>
    <row r="31" spans="1:11" ht="16" x14ac:dyDescent="0.2">
      <c r="A31" s="9" t="s">
        <v>107</v>
      </c>
      <c r="B31" s="33">
        <f t="shared" si="7"/>
        <v>-522</v>
      </c>
      <c r="C31" s="34">
        <f t="shared" si="7"/>
        <v>-475.11111111111109</v>
      </c>
      <c r="D31" s="33">
        <f t="shared" si="7"/>
        <v>-428.22222222222223</v>
      </c>
      <c r="E31" s="34">
        <f t="shared" si="7"/>
        <v>-381.33333333333337</v>
      </c>
      <c r="F31" s="33">
        <f t="shared" si="7"/>
        <v>-334.44444444444446</v>
      </c>
      <c r="G31" s="34">
        <f t="shared" si="7"/>
        <v>-287.55555555555554</v>
      </c>
      <c r="H31" s="33">
        <f t="shared" si="7"/>
        <v>-240.66666666666669</v>
      </c>
      <c r="I31" s="34">
        <f t="shared" si="7"/>
        <v>-193.77777777777777</v>
      </c>
      <c r="J31" s="33">
        <f t="shared" si="7"/>
        <v>-146.88888888888891</v>
      </c>
      <c r="K31" s="35">
        <f t="shared" si="7"/>
        <v>-100</v>
      </c>
    </row>
    <row r="32" spans="1:11" ht="17" thickBot="1" x14ac:dyDescent="0.25">
      <c r="A32" s="11" t="s">
        <v>99</v>
      </c>
      <c r="B32" s="36">
        <f t="shared" si="7"/>
        <v>-1000</v>
      </c>
      <c r="C32" s="37">
        <f t="shared" si="7"/>
        <v>-900</v>
      </c>
      <c r="D32" s="36">
        <f t="shared" si="7"/>
        <v>-800</v>
      </c>
      <c r="E32" s="37">
        <f t="shared" si="7"/>
        <v>-700</v>
      </c>
      <c r="F32" s="36">
        <f t="shared" si="7"/>
        <v>-600</v>
      </c>
      <c r="G32" s="37">
        <f t="shared" si="7"/>
        <v>-500</v>
      </c>
      <c r="H32" s="36">
        <f t="shared" si="7"/>
        <v>-400</v>
      </c>
      <c r="I32" s="37">
        <f t="shared" si="7"/>
        <v>-300</v>
      </c>
      <c r="J32" s="36">
        <f t="shared" si="7"/>
        <v>-200</v>
      </c>
      <c r="K32" s="38">
        <f t="shared" si="7"/>
        <v>-100</v>
      </c>
    </row>
    <row r="34" spans="1:11" ht="16" thickBot="1" x14ac:dyDescent="0.25">
      <c r="A34" s="3" t="s">
        <v>181</v>
      </c>
    </row>
    <row r="35" spans="1:11" x14ac:dyDescent="0.2">
      <c r="A35" s="30" t="s">
        <v>83</v>
      </c>
      <c r="B35" s="31">
        <v>0</v>
      </c>
      <c r="C35" s="31">
        <v>1</v>
      </c>
      <c r="D35" s="31">
        <v>2</v>
      </c>
      <c r="E35" s="31">
        <v>3</v>
      </c>
      <c r="F35" s="31">
        <v>4</v>
      </c>
      <c r="G35" s="31">
        <v>5</v>
      </c>
      <c r="H35" s="31">
        <v>6</v>
      </c>
      <c r="I35" s="31">
        <v>7</v>
      </c>
      <c r="J35" s="31">
        <v>8</v>
      </c>
      <c r="K35" s="32">
        <v>9</v>
      </c>
    </row>
    <row r="36" spans="1:11" ht="16" x14ac:dyDescent="0.2">
      <c r="A36" s="9" t="s">
        <v>91</v>
      </c>
      <c r="B36" s="33">
        <f>$E20+B$35*ABS($E20-$F20)/9</f>
        <v>-24166.666666666664</v>
      </c>
      <c r="C36" s="34">
        <f t="shared" ref="C36:K36" si="8">$E20+C$35*ABS($E20-$F20)/9</f>
        <v>-21750</v>
      </c>
      <c r="D36" s="33">
        <f t="shared" si="8"/>
        <v>-19333.333333333332</v>
      </c>
      <c r="E36" s="34">
        <f t="shared" si="8"/>
        <v>-16916.666666666664</v>
      </c>
      <c r="F36" s="33">
        <f t="shared" si="8"/>
        <v>-14500</v>
      </c>
      <c r="G36" s="34">
        <f t="shared" si="8"/>
        <v>-12083.333333333332</v>
      </c>
      <c r="H36" s="33">
        <f t="shared" si="8"/>
        <v>-9666.6666666666679</v>
      </c>
      <c r="I36" s="34">
        <f t="shared" si="8"/>
        <v>-7250</v>
      </c>
      <c r="J36" s="33">
        <f t="shared" si="8"/>
        <v>-4833.3333333333358</v>
      </c>
      <c r="K36" s="35">
        <f t="shared" si="8"/>
        <v>-2416.6666666666679</v>
      </c>
    </row>
    <row r="37" spans="1:11" ht="16" x14ac:dyDescent="0.2">
      <c r="A37" s="9" t="s">
        <v>111</v>
      </c>
      <c r="B37" s="33">
        <f t="shared" ref="B37:K40" si="9">$E21+B$35*ABS($E21-$F21)/9</f>
        <v>-18584.166666666664</v>
      </c>
      <c r="C37" s="34">
        <f t="shared" si="9"/>
        <v>-16787.777777777774</v>
      </c>
      <c r="D37" s="33">
        <f t="shared" si="9"/>
        <v>-14991.388888888887</v>
      </c>
      <c r="E37" s="34">
        <f t="shared" si="9"/>
        <v>-13194.999999999998</v>
      </c>
      <c r="F37" s="33">
        <f t="shared" si="9"/>
        <v>-11398.611111111109</v>
      </c>
      <c r="G37" s="34">
        <f t="shared" si="9"/>
        <v>-9602.2222222222208</v>
      </c>
      <c r="H37" s="33">
        <f t="shared" si="9"/>
        <v>-7805.8333333333321</v>
      </c>
      <c r="I37" s="34">
        <f t="shared" si="9"/>
        <v>-6009.4444444444434</v>
      </c>
      <c r="J37" s="33">
        <f t="shared" si="9"/>
        <v>-4213.0555555555547</v>
      </c>
      <c r="K37" s="35">
        <f t="shared" si="9"/>
        <v>-2416.6666666666679</v>
      </c>
    </row>
    <row r="38" spans="1:11" ht="16" x14ac:dyDescent="0.2">
      <c r="A38" s="9" t="s">
        <v>96</v>
      </c>
      <c r="B38" s="33">
        <f t="shared" si="9"/>
        <v>-21604.999999999996</v>
      </c>
      <c r="C38" s="34">
        <f t="shared" si="9"/>
        <v>-19472.96296296296</v>
      </c>
      <c r="D38" s="33">
        <f t="shared" si="9"/>
        <v>-17340.925925925923</v>
      </c>
      <c r="E38" s="34">
        <f t="shared" si="9"/>
        <v>-15208.888888888887</v>
      </c>
      <c r="F38" s="33">
        <f t="shared" si="9"/>
        <v>-13076.85185185185</v>
      </c>
      <c r="G38" s="34">
        <f t="shared" si="9"/>
        <v>-10944.814814814814</v>
      </c>
      <c r="H38" s="33">
        <f t="shared" si="9"/>
        <v>-8812.7777777777774</v>
      </c>
      <c r="I38" s="34">
        <f t="shared" si="9"/>
        <v>-6680.7407407407391</v>
      </c>
      <c r="J38" s="33">
        <f t="shared" si="9"/>
        <v>-4548.7037037037044</v>
      </c>
      <c r="K38" s="35">
        <f t="shared" si="9"/>
        <v>-2416.6666666666679</v>
      </c>
    </row>
    <row r="39" spans="1:11" ht="16" x14ac:dyDescent="0.2">
      <c r="A39" s="9" t="s">
        <v>107</v>
      </c>
      <c r="B39" s="33">
        <f t="shared" si="9"/>
        <v>-12614.999999999998</v>
      </c>
      <c r="C39" s="34">
        <f t="shared" si="9"/>
        <v>-11481.85185185185</v>
      </c>
      <c r="D39" s="33">
        <f t="shared" si="9"/>
        <v>-10348.703703703703</v>
      </c>
      <c r="E39" s="34">
        <f t="shared" si="9"/>
        <v>-9215.5555555555547</v>
      </c>
      <c r="F39" s="33">
        <f t="shared" si="9"/>
        <v>-8082.407407407406</v>
      </c>
      <c r="G39" s="34">
        <f t="shared" si="9"/>
        <v>-6949.2592592592582</v>
      </c>
      <c r="H39" s="33">
        <f t="shared" si="9"/>
        <v>-5816.1111111111104</v>
      </c>
      <c r="I39" s="34">
        <f t="shared" si="9"/>
        <v>-4682.9629629629617</v>
      </c>
      <c r="J39" s="33">
        <f t="shared" si="9"/>
        <v>-3549.8148148148139</v>
      </c>
      <c r="K39" s="35">
        <f t="shared" si="9"/>
        <v>-2416.6666666666661</v>
      </c>
    </row>
    <row r="40" spans="1:11" ht="17" thickBot="1" x14ac:dyDescent="0.25">
      <c r="A40" s="11" t="s">
        <v>99</v>
      </c>
      <c r="B40" s="36">
        <f t="shared" si="9"/>
        <v>-24166.666666666664</v>
      </c>
      <c r="C40" s="37">
        <f t="shared" si="9"/>
        <v>-21750</v>
      </c>
      <c r="D40" s="36">
        <f t="shared" si="9"/>
        <v>-19333.333333333332</v>
      </c>
      <c r="E40" s="37">
        <f t="shared" si="9"/>
        <v>-16916.666666666664</v>
      </c>
      <c r="F40" s="36">
        <f t="shared" si="9"/>
        <v>-14500</v>
      </c>
      <c r="G40" s="37">
        <f t="shared" si="9"/>
        <v>-12083.333333333332</v>
      </c>
      <c r="H40" s="36">
        <f t="shared" si="9"/>
        <v>-9666.6666666666679</v>
      </c>
      <c r="I40" s="37">
        <f t="shared" si="9"/>
        <v>-7250</v>
      </c>
      <c r="J40" s="36">
        <f t="shared" si="9"/>
        <v>-4833.3333333333358</v>
      </c>
      <c r="K40" s="38">
        <f t="shared" si="9"/>
        <v>-2416.6666666666679</v>
      </c>
    </row>
    <row r="42" spans="1:11" ht="16" thickBot="1" x14ac:dyDescent="0.25">
      <c r="A42" s="3" t="s">
        <v>137</v>
      </c>
    </row>
    <row r="43" spans="1:11" x14ac:dyDescent="0.2">
      <c r="A43" s="30" t="s">
        <v>83</v>
      </c>
      <c r="B43" s="31">
        <v>0</v>
      </c>
      <c r="C43" s="31">
        <v>1</v>
      </c>
      <c r="D43" s="31">
        <v>2</v>
      </c>
      <c r="E43" s="31">
        <v>3</v>
      </c>
      <c r="F43" s="31">
        <v>4</v>
      </c>
      <c r="G43" s="31">
        <v>5</v>
      </c>
      <c r="H43" s="31">
        <v>6</v>
      </c>
      <c r="I43" s="31">
        <v>7</v>
      </c>
      <c r="J43" s="31">
        <v>8</v>
      </c>
      <c r="K43" s="32">
        <v>9</v>
      </c>
    </row>
    <row r="44" spans="1:11" ht="16" x14ac:dyDescent="0.2">
      <c r="A44" s="9" t="s">
        <v>91</v>
      </c>
      <c r="B44" s="33">
        <f>B$43*ABS($G20-$H20)/9</f>
        <v>0</v>
      </c>
      <c r="C44" s="34">
        <f t="shared" ref="C44:J44" si="10">C$43*ABS($G20-$H20)/9</f>
        <v>128888.88888888889</v>
      </c>
      <c r="D44" s="33">
        <f t="shared" si="10"/>
        <v>257777.77777777778</v>
      </c>
      <c r="E44" s="34">
        <f t="shared" si="10"/>
        <v>386666.66666666669</v>
      </c>
      <c r="F44" s="33">
        <f t="shared" si="10"/>
        <v>515555.55555555556</v>
      </c>
      <c r="G44" s="34">
        <f t="shared" si="10"/>
        <v>644444.4444444445</v>
      </c>
      <c r="H44" s="33">
        <f t="shared" si="10"/>
        <v>773333.33333333337</v>
      </c>
      <c r="I44" s="34">
        <f t="shared" si="10"/>
        <v>902222.22222222225</v>
      </c>
      <c r="J44" s="33">
        <f t="shared" si="10"/>
        <v>1031111.1111111111</v>
      </c>
      <c r="K44" s="35">
        <f>K$43*ABS($G20-$H20)/9</f>
        <v>1160000</v>
      </c>
    </row>
    <row r="45" spans="1:11" ht="16" x14ac:dyDescent="0.2">
      <c r="A45" s="9" t="s">
        <v>111</v>
      </c>
      <c r="B45" s="33">
        <f t="shared" ref="B45:K45" si="11">B$43*ABS($G21-$H21)/9</f>
        <v>0</v>
      </c>
      <c r="C45" s="34">
        <f t="shared" si="11"/>
        <v>346904.44444444438</v>
      </c>
      <c r="D45" s="33">
        <f t="shared" si="11"/>
        <v>693808.88888888876</v>
      </c>
      <c r="E45" s="34">
        <f t="shared" si="11"/>
        <v>1040713.3333333331</v>
      </c>
      <c r="F45" s="33">
        <f t="shared" si="11"/>
        <v>1387617.7777777775</v>
      </c>
      <c r="G45" s="34">
        <f t="shared" si="11"/>
        <v>1734522.222222222</v>
      </c>
      <c r="H45" s="33">
        <f t="shared" si="11"/>
        <v>2081426.6666666663</v>
      </c>
      <c r="I45" s="34">
        <f t="shared" si="11"/>
        <v>2428331.1111111105</v>
      </c>
      <c r="J45" s="33">
        <f t="shared" si="11"/>
        <v>2775235.555555555</v>
      </c>
      <c r="K45" s="35">
        <f t="shared" si="11"/>
        <v>3122139.9999999995</v>
      </c>
    </row>
    <row r="46" spans="1:11" ht="16" x14ac:dyDescent="0.2">
      <c r="A46" s="9" t="s">
        <v>96</v>
      </c>
      <c r="B46" s="33">
        <f t="shared" ref="B46:K46" si="12">B$43*ABS($G22-$H22)/9</f>
        <v>0</v>
      </c>
      <c r="C46" s="34">
        <f t="shared" si="12"/>
        <v>115226.66666666664</v>
      </c>
      <c r="D46" s="33">
        <f t="shared" si="12"/>
        <v>230453.33333333328</v>
      </c>
      <c r="E46" s="34">
        <f t="shared" si="12"/>
        <v>345679.99999999988</v>
      </c>
      <c r="F46" s="33">
        <f t="shared" si="12"/>
        <v>460906.66666666657</v>
      </c>
      <c r="G46" s="34">
        <f t="shared" si="12"/>
        <v>576133.33333333326</v>
      </c>
      <c r="H46" s="33">
        <f t="shared" si="12"/>
        <v>691359.99999999977</v>
      </c>
      <c r="I46" s="34">
        <f t="shared" si="12"/>
        <v>806586.66666666651</v>
      </c>
      <c r="J46" s="33">
        <f t="shared" si="12"/>
        <v>921813.33333333314</v>
      </c>
      <c r="K46" s="35">
        <f t="shared" si="12"/>
        <v>1037039.9999999998</v>
      </c>
    </row>
    <row r="47" spans="1:11" ht="16" x14ac:dyDescent="0.2">
      <c r="A47" s="9" t="s">
        <v>107</v>
      </c>
      <c r="B47" s="33">
        <f t="shared" ref="B47:K47" si="13">B$43*ABS($G23-$H23)/9</f>
        <v>0</v>
      </c>
      <c r="C47" s="34">
        <f t="shared" si="13"/>
        <v>33639.999999999993</v>
      </c>
      <c r="D47" s="33">
        <f t="shared" si="13"/>
        <v>67279.999999999985</v>
      </c>
      <c r="E47" s="34">
        <f t="shared" si="13"/>
        <v>100919.99999999997</v>
      </c>
      <c r="F47" s="33">
        <f t="shared" si="13"/>
        <v>134559.99999999997</v>
      </c>
      <c r="G47" s="34">
        <f t="shared" si="13"/>
        <v>168199.99999999997</v>
      </c>
      <c r="H47" s="33">
        <f t="shared" si="13"/>
        <v>201839.99999999994</v>
      </c>
      <c r="I47" s="34">
        <f t="shared" si="13"/>
        <v>235479.99999999994</v>
      </c>
      <c r="J47" s="33">
        <f t="shared" si="13"/>
        <v>269119.99999999994</v>
      </c>
      <c r="K47" s="35">
        <f t="shared" si="13"/>
        <v>302759.99999999994</v>
      </c>
    </row>
    <row r="48" spans="1:11" ht="17" thickBot="1" x14ac:dyDescent="0.25">
      <c r="A48" s="11" t="s">
        <v>99</v>
      </c>
      <c r="B48" s="36">
        <f t="shared" ref="B48:K48" si="14">B$43*ABS($G24-$H24)/9</f>
        <v>0</v>
      </c>
      <c r="C48" s="37">
        <f t="shared" si="14"/>
        <v>902222.22222222225</v>
      </c>
      <c r="D48" s="36">
        <f t="shared" si="14"/>
        <v>1804444.4444444445</v>
      </c>
      <c r="E48" s="37">
        <f t="shared" si="14"/>
        <v>2706666.6666666665</v>
      </c>
      <c r="F48" s="36">
        <f t="shared" si="14"/>
        <v>3608888.888888889</v>
      </c>
      <c r="G48" s="37">
        <f t="shared" si="14"/>
        <v>4511111.111111111</v>
      </c>
      <c r="H48" s="36">
        <f t="shared" si="14"/>
        <v>5413333.333333333</v>
      </c>
      <c r="I48" s="37">
        <f t="shared" si="14"/>
        <v>6315555.555555556</v>
      </c>
      <c r="J48" s="36">
        <f t="shared" si="14"/>
        <v>7217777.777777778</v>
      </c>
      <c r="K48" s="38">
        <f t="shared" si="14"/>
        <v>8120000</v>
      </c>
    </row>
    <row r="51" spans="1:1" ht="16" x14ac:dyDescent="0.2">
      <c r="A51" s="29" t="s">
        <v>183</v>
      </c>
    </row>
  </sheetData>
  <mergeCells count="5">
    <mergeCell ref="A18:A19"/>
    <mergeCell ref="B18:B19"/>
    <mergeCell ref="E18:F18"/>
    <mergeCell ref="C18:D18"/>
    <mergeCell ref="G18:H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E44" sqref="E44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0</v>
      </c>
      <c r="H1" s="3" t="s">
        <v>89</v>
      </c>
      <c r="I1" s="3" t="s">
        <v>90</v>
      </c>
      <c r="J1" s="3" t="s">
        <v>124</v>
      </c>
    </row>
    <row r="2" spans="1:10" x14ac:dyDescent="0.2">
      <c r="A2" t="s">
        <v>91</v>
      </c>
      <c r="B2" t="s">
        <v>92</v>
      </c>
      <c r="C2" t="s">
        <v>93</v>
      </c>
      <c r="D2">
        <v>2</v>
      </c>
      <c r="E2">
        <v>3645</v>
      </c>
      <c r="F2" t="s">
        <v>120</v>
      </c>
      <c r="G2" s="14" t="s">
        <v>94</v>
      </c>
      <c r="H2" t="s">
        <v>95</v>
      </c>
      <c r="I2" s="18">
        <v>9.5000000000000001E-2</v>
      </c>
      <c r="J2" s="15">
        <f>$B$10+I2*(1-$B$10)</f>
        <v>0.28505000000000003</v>
      </c>
    </row>
    <row r="3" spans="1:10" x14ac:dyDescent="0.2">
      <c r="A3" t="s">
        <v>96</v>
      </c>
      <c r="B3" t="s">
        <v>92</v>
      </c>
      <c r="C3" t="s">
        <v>93</v>
      </c>
      <c r="D3">
        <v>1</v>
      </c>
      <c r="E3">
        <v>2817</v>
      </c>
      <c r="F3">
        <v>894</v>
      </c>
      <c r="G3" s="14" t="s">
        <v>97</v>
      </c>
      <c r="H3" t="s">
        <v>98</v>
      </c>
      <c r="I3" s="18">
        <v>0</v>
      </c>
      <c r="J3" s="15">
        <f t="shared" ref="J3:J8" si="0">$B$10+I3*(1-$B$10)</f>
        <v>0.21</v>
      </c>
    </row>
    <row r="4" spans="1:10" x14ac:dyDescent="0.2">
      <c r="A4" t="s">
        <v>99</v>
      </c>
      <c r="B4" t="s">
        <v>100</v>
      </c>
      <c r="C4" t="s">
        <v>93</v>
      </c>
      <c r="D4">
        <v>2</v>
      </c>
      <c r="E4">
        <v>3853</v>
      </c>
      <c r="F4">
        <v>1280</v>
      </c>
      <c r="G4" s="14" t="s">
        <v>101</v>
      </c>
      <c r="H4" t="s">
        <v>102</v>
      </c>
      <c r="I4" s="18">
        <v>0</v>
      </c>
      <c r="J4" s="15">
        <f t="shared" si="0"/>
        <v>0.21</v>
      </c>
    </row>
    <row r="5" spans="1:10" x14ac:dyDescent="0.2">
      <c r="A5" t="s">
        <v>103</v>
      </c>
      <c r="B5" t="s">
        <v>104</v>
      </c>
      <c r="C5" t="s">
        <v>93</v>
      </c>
      <c r="D5">
        <v>2</v>
      </c>
      <c r="E5">
        <v>3411</v>
      </c>
      <c r="F5" t="s">
        <v>121</v>
      </c>
      <c r="G5" s="14" t="s">
        <v>105</v>
      </c>
      <c r="H5" t="s">
        <v>106</v>
      </c>
      <c r="I5" s="18">
        <v>8.8400000000000006E-2</v>
      </c>
      <c r="J5" s="15">
        <f t="shared" si="0"/>
        <v>0.27983599999999997</v>
      </c>
    </row>
    <row r="6" spans="1:10" x14ac:dyDescent="0.2">
      <c r="A6" t="s">
        <v>107</v>
      </c>
      <c r="B6" t="s">
        <v>108</v>
      </c>
      <c r="C6" t="s">
        <v>93</v>
      </c>
      <c r="D6">
        <v>2</v>
      </c>
      <c r="E6">
        <v>1677</v>
      </c>
      <c r="F6" t="s">
        <v>122</v>
      </c>
      <c r="G6" s="14" t="s">
        <v>109</v>
      </c>
      <c r="H6" t="s">
        <v>110</v>
      </c>
      <c r="I6" s="18">
        <v>9.8000000000000004E-2</v>
      </c>
      <c r="J6" s="15">
        <f t="shared" si="0"/>
        <v>0.28742000000000001</v>
      </c>
    </row>
    <row r="7" spans="1:10" x14ac:dyDescent="0.2">
      <c r="A7" t="s">
        <v>111</v>
      </c>
      <c r="B7" t="s">
        <v>112</v>
      </c>
      <c r="C7" t="s">
        <v>113</v>
      </c>
      <c r="D7">
        <v>1</v>
      </c>
      <c r="E7">
        <v>2419</v>
      </c>
      <c r="F7">
        <v>769</v>
      </c>
      <c r="G7" s="14" t="s">
        <v>114</v>
      </c>
      <c r="H7" t="s">
        <v>115</v>
      </c>
      <c r="I7" s="18">
        <v>7.8100000000000003E-2</v>
      </c>
      <c r="J7" s="15">
        <f t="shared" si="0"/>
        <v>0.27169900000000002</v>
      </c>
    </row>
    <row r="8" spans="1:10" x14ac:dyDescent="0.2">
      <c r="A8" t="s">
        <v>116</v>
      </c>
      <c r="B8" t="s">
        <v>117</v>
      </c>
      <c r="C8" t="s">
        <v>93</v>
      </c>
      <c r="D8">
        <v>3</v>
      </c>
      <c r="E8">
        <v>3990</v>
      </c>
      <c r="F8" t="s">
        <v>123</v>
      </c>
      <c r="G8" s="14" t="s">
        <v>118</v>
      </c>
      <c r="H8" t="s">
        <v>119</v>
      </c>
      <c r="I8" s="18">
        <v>4.9000000000000002E-2</v>
      </c>
      <c r="J8" s="15">
        <f t="shared" si="0"/>
        <v>0.24870999999999999</v>
      </c>
    </row>
    <row r="9" spans="1:10" x14ac:dyDescent="0.2">
      <c r="H9" s="14"/>
    </row>
    <row r="10" spans="1:10" x14ac:dyDescent="0.2">
      <c r="A10" t="s">
        <v>125</v>
      </c>
      <c r="B10" s="17">
        <v>0.21</v>
      </c>
      <c r="G10" s="16"/>
      <c r="H10" s="14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F170-3B2F-5A4A-A635-8F248BA69D8B}">
  <dimension ref="A1:K7"/>
  <sheetViews>
    <sheetView tabSelected="1" workbookViewId="0">
      <selection activeCell="H23" sqref="H23"/>
    </sheetView>
  </sheetViews>
  <sheetFormatPr baseColWidth="10" defaultRowHeight="15" x14ac:dyDescent="0.2"/>
  <sheetData>
    <row r="1" spans="1:11" x14ac:dyDescent="0.2">
      <c r="A1" t="s">
        <v>188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 t="s">
        <v>189</v>
      </c>
      <c r="B2" s="34">
        <v>10</v>
      </c>
      <c r="C2" s="34">
        <f>'Sweep values'!C44</f>
        <v>128888.88888888889</v>
      </c>
      <c r="D2" s="34">
        <f>'Sweep values'!D44</f>
        <v>257777.77777777778</v>
      </c>
      <c r="E2" s="34">
        <f>'Sweep values'!E44</f>
        <v>386666.66666666669</v>
      </c>
      <c r="F2" s="34">
        <f>'Sweep values'!F44</f>
        <v>515555.55555555556</v>
      </c>
      <c r="G2" s="34">
        <f>'Sweep values'!G44</f>
        <v>644444.4444444445</v>
      </c>
      <c r="H2" s="34">
        <f>'Sweep values'!H44</f>
        <v>773333.33333333337</v>
      </c>
      <c r="I2" s="34">
        <f>'Sweep values'!I44</f>
        <v>902222.22222222225</v>
      </c>
      <c r="J2" s="34">
        <f>'Sweep values'!J44</f>
        <v>1031111.1111111111</v>
      </c>
      <c r="K2" s="34">
        <f>'Sweep values'!K44</f>
        <v>1160000</v>
      </c>
    </row>
    <row r="3" spans="1:11" x14ac:dyDescent="0.2">
      <c r="A3" t="s">
        <v>190</v>
      </c>
      <c r="B3" s="34">
        <v>10</v>
      </c>
      <c r="C3" s="34">
        <f>'Sweep values'!C45</f>
        <v>346904.44444444438</v>
      </c>
      <c r="D3" s="34">
        <f>'Sweep values'!D45</f>
        <v>693808.88888888876</v>
      </c>
      <c r="E3" s="34">
        <f>'Sweep values'!E45</f>
        <v>1040713.3333333331</v>
      </c>
      <c r="F3" s="34">
        <f>'Sweep values'!F45</f>
        <v>1387617.7777777775</v>
      </c>
      <c r="G3" s="34">
        <f>'Sweep values'!G45</f>
        <v>1734522.222222222</v>
      </c>
      <c r="H3" s="34">
        <f>'Sweep values'!H45</f>
        <v>2081426.6666666663</v>
      </c>
      <c r="I3" s="34">
        <f>'Sweep values'!I45</f>
        <v>2428331.1111111105</v>
      </c>
      <c r="J3" s="34">
        <f>'Sweep values'!J45</f>
        <v>2775235.555555555</v>
      </c>
      <c r="K3" s="34">
        <f>'Sweep values'!K45</f>
        <v>3122139.9999999995</v>
      </c>
    </row>
    <row r="4" spans="1:11" x14ac:dyDescent="0.2">
      <c r="A4" t="s">
        <v>191</v>
      </c>
      <c r="B4" s="34">
        <v>10</v>
      </c>
      <c r="C4" s="34">
        <f>'Sweep values'!C46</f>
        <v>115226.66666666664</v>
      </c>
      <c r="D4" s="34">
        <f>'Sweep values'!D46</f>
        <v>230453.33333333328</v>
      </c>
      <c r="E4" s="34">
        <f>'Sweep values'!E46</f>
        <v>345679.99999999988</v>
      </c>
      <c r="F4" s="34">
        <f>'Sweep values'!F46</f>
        <v>460906.66666666657</v>
      </c>
      <c r="G4" s="34">
        <f>'Sweep values'!G46</f>
        <v>576133.33333333326</v>
      </c>
      <c r="H4" s="34">
        <f>'Sweep values'!H46</f>
        <v>691359.99999999977</v>
      </c>
      <c r="I4" s="34">
        <f>'Sweep values'!I46</f>
        <v>806586.66666666651</v>
      </c>
      <c r="J4" s="34">
        <f>'Sweep values'!J46</f>
        <v>921813.33333333314</v>
      </c>
      <c r="K4" s="34">
        <f>'Sweep values'!K46</f>
        <v>1037039.9999999998</v>
      </c>
    </row>
    <row r="5" spans="1:11" x14ac:dyDescent="0.2">
      <c r="A5" t="s">
        <v>192</v>
      </c>
      <c r="B5" s="34">
        <v>10</v>
      </c>
      <c r="C5" s="34">
        <f>'Sweep values'!C47</f>
        <v>33639.999999999993</v>
      </c>
      <c r="D5" s="34">
        <f>'Sweep values'!D47</f>
        <v>67279.999999999985</v>
      </c>
      <c r="E5" s="34">
        <f>'Sweep values'!E47</f>
        <v>100919.99999999997</v>
      </c>
      <c r="F5" s="34">
        <f>'Sweep values'!F47</f>
        <v>134559.99999999997</v>
      </c>
      <c r="G5" s="34">
        <f>'Sweep values'!G47</f>
        <v>168199.99999999997</v>
      </c>
      <c r="H5" s="34">
        <f>'Sweep values'!H47</f>
        <v>201839.99999999994</v>
      </c>
      <c r="I5" s="34">
        <f>'Sweep values'!I47</f>
        <v>235479.99999999994</v>
      </c>
      <c r="J5" s="34">
        <f>'Sweep values'!J47</f>
        <v>269119.99999999994</v>
      </c>
      <c r="K5" s="34">
        <f>'Sweep values'!K47</f>
        <v>302759.99999999994</v>
      </c>
    </row>
    <row r="6" spans="1:11" x14ac:dyDescent="0.2">
      <c r="A6" t="s">
        <v>193</v>
      </c>
      <c r="B6" s="34">
        <v>10</v>
      </c>
      <c r="C6" s="34">
        <f>'Sweep values'!C48</f>
        <v>902222.22222222225</v>
      </c>
      <c r="D6" s="34">
        <f>'Sweep values'!D48</f>
        <v>1804444.4444444445</v>
      </c>
      <c r="E6" s="34">
        <f>'Sweep values'!E48</f>
        <v>2706666.6666666665</v>
      </c>
      <c r="F6" s="34">
        <f>'Sweep values'!F48</f>
        <v>3608888.888888889</v>
      </c>
      <c r="G6" s="34">
        <f>'Sweep values'!G48</f>
        <v>4511111.111111111</v>
      </c>
      <c r="H6" s="34">
        <f>'Sweep values'!H48</f>
        <v>5413333.333333333</v>
      </c>
      <c r="I6" s="34">
        <f>'Sweep values'!I48</f>
        <v>6315555.555555556</v>
      </c>
      <c r="J6" s="34">
        <f>'Sweep values'!J48</f>
        <v>7217777.777777778</v>
      </c>
      <c r="K6" s="34">
        <f>'Sweep values'!K48</f>
        <v>8120000</v>
      </c>
    </row>
    <row r="7" spans="1:11" x14ac:dyDescent="0.2">
      <c r="B7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BDAA-9A2B-B347-BAD4-55130E108AD7}">
  <dimension ref="A1:K6"/>
  <sheetViews>
    <sheetView workbookViewId="0">
      <selection activeCell="A2" sqref="A2:A6"/>
    </sheetView>
  </sheetViews>
  <sheetFormatPr baseColWidth="10" defaultRowHeight="15" x14ac:dyDescent="0.2"/>
  <sheetData>
    <row r="1" spans="1:11" x14ac:dyDescent="0.2">
      <c r="A1" t="s">
        <v>188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 t="s">
        <v>189</v>
      </c>
      <c r="B2" s="34">
        <f>'Sweep values'!B36</f>
        <v>-24166.666666666664</v>
      </c>
      <c r="C2" s="34">
        <f>'Sweep values'!C36</f>
        <v>-21750</v>
      </c>
      <c r="D2" s="34">
        <f>'Sweep values'!D36</f>
        <v>-19333.333333333332</v>
      </c>
      <c r="E2" s="34">
        <f>'Sweep values'!E36</f>
        <v>-16916.666666666664</v>
      </c>
      <c r="F2" s="34">
        <f>'Sweep values'!F36</f>
        <v>-14500</v>
      </c>
      <c r="G2" s="34">
        <f>'Sweep values'!G36</f>
        <v>-12083.333333333332</v>
      </c>
      <c r="H2" s="34">
        <f>'Sweep values'!H36</f>
        <v>-9666.6666666666679</v>
      </c>
      <c r="I2" s="34">
        <f>'Sweep values'!I36</f>
        <v>-7250</v>
      </c>
      <c r="J2" s="34">
        <f>'Sweep values'!J36</f>
        <v>-4833.3333333333358</v>
      </c>
      <c r="K2" s="34">
        <f>'Sweep values'!K36</f>
        <v>-2416.6666666666679</v>
      </c>
    </row>
    <row r="3" spans="1:11" x14ac:dyDescent="0.2">
      <c r="A3" t="s">
        <v>190</v>
      </c>
      <c r="B3" s="34">
        <f>'Sweep values'!B37</f>
        <v>-18584.166666666664</v>
      </c>
      <c r="C3" s="34">
        <f>'Sweep values'!C37</f>
        <v>-16787.777777777774</v>
      </c>
      <c r="D3" s="34">
        <f>'Sweep values'!D37</f>
        <v>-14991.388888888887</v>
      </c>
      <c r="E3" s="34">
        <f>'Sweep values'!E37</f>
        <v>-13194.999999999998</v>
      </c>
      <c r="F3" s="34">
        <f>'Sweep values'!F37</f>
        <v>-11398.611111111109</v>
      </c>
      <c r="G3" s="34">
        <f>'Sweep values'!G37</f>
        <v>-9602.2222222222208</v>
      </c>
      <c r="H3" s="34">
        <f>'Sweep values'!H37</f>
        <v>-7805.8333333333321</v>
      </c>
      <c r="I3" s="34">
        <f>'Sweep values'!I37</f>
        <v>-6009.4444444444434</v>
      </c>
      <c r="J3" s="34">
        <f>'Sweep values'!J37</f>
        <v>-4213.0555555555547</v>
      </c>
      <c r="K3" s="34">
        <f>'Sweep values'!K37</f>
        <v>-2416.6666666666679</v>
      </c>
    </row>
    <row r="4" spans="1:11" x14ac:dyDescent="0.2">
      <c r="A4" t="s">
        <v>191</v>
      </c>
      <c r="B4" s="34">
        <f>'Sweep values'!B38</f>
        <v>-21604.999999999996</v>
      </c>
      <c r="C4" s="34">
        <f>'Sweep values'!C38</f>
        <v>-19472.96296296296</v>
      </c>
      <c r="D4" s="34">
        <f>'Sweep values'!D38</f>
        <v>-17340.925925925923</v>
      </c>
      <c r="E4" s="34">
        <f>'Sweep values'!E38</f>
        <v>-15208.888888888887</v>
      </c>
      <c r="F4" s="34">
        <f>'Sweep values'!F38</f>
        <v>-13076.85185185185</v>
      </c>
      <c r="G4" s="34">
        <f>'Sweep values'!G38</f>
        <v>-10944.814814814814</v>
      </c>
      <c r="H4" s="34">
        <f>'Sweep values'!H38</f>
        <v>-8812.7777777777774</v>
      </c>
      <c r="I4" s="34">
        <f>'Sweep values'!I38</f>
        <v>-6680.7407407407391</v>
      </c>
      <c r="J4" s="34">
        <f>'Sweep values'!J38</f>
        <v>-4548.7037037037044</v>
      </c>
      <c r="K4" s="34">
        <f>'Sweep values'!K38</f>
        <v>-2416.6666666666679</v>
      </c>
    </row>
    <row r="5" spans="1:11" x14ac:dyDescent="0.2">
      <c r="A5" t="s">
        <v>192</v>
      </c>
      <c r="B5" s="34">
        <f>'Sweep values'!B39</f>
        <v>-12614.999999999998</v>
      </c>
      <c r="C5" s="34">
        <f>'Sweep values'!C39</f>
        <v>-11481.85185185185</v>
      </c>
      <c r="D5" s="34">
        <f>'Sweep values'!D39</f>
        <v>-10348.703703703703</v>
      </c>
      <c r="E5" s="34">
        <f>'Sweep values'!E39</f>
        <v>-9215.5555555555547</v>
      </c>
      <c r="F5" s="34">
        <f>'Sweep values'!F39</f>
        <v>-8082.407407407406</v>
      </c>
      <c r="G5" s="34">
        <f>'Sweep values'!G39</f>
        <v>-6949.2592592592582</v>
      </c>
      <c r="H5" s="34">
        <f>'Sweep values'!H39</f>
        <v>-5816.1111111111104</v>
      </c>
      <c r="I5" s="34">
        <f>'Sweep values'!I39</f>
        <v>-4682.9629629629617</v>
      </c>
      <c r="J5" s="34">
        <f>'Sweep values'!J39</f>
        <v>-3549.8148148148139</v>
      </c>
      <c r="K5" s="34">
        <f>'Sweep values'!K39</f>
        <v>-2416.6666666666661</v>
      </c>
    </row>
    <row r="6" spans="1:11" x14ac:dyDescent="0.2">
      <c r="A6" t="s">
        <v>193</v>
      </c>
      <c r="B6" s="34">
        <f>'Sweep values'!B40</f>
        <v>-24166.666666666664</v>
      </c>
      <c r="C6" s="34">
        <f>'Sweep values'!C40</f>
        <v>-21750</v>
      </c>
      <c r="D6" s="34">
        <f>'Sweep values'!D40</f>
        <v>-19333.333333333332</v>
      </c>
      <c r="E6" s="34">
        <f>'Sweep values'!E40</f>
        <v>-16916.666666666664</v>
      </c>
      <c r="F6" s="34">
        <f>'Sweep values'!F40</f>
        <v>-14500</v>
      </c>
      <c r="G6" s="34">
        <f>'Sweep values'!G40</f>
        <v>-12083.333333333332</v>
      </c>
      <c r="H6" s="34">
        <f>'Sweep values'!H40</f>
        <v>-9666.6666666666679</v>
      </c>
      <c r="I6" s="34">
        <f>'Sweep values'!I40</f>
        <v>-7250</v>
      </c>
      <c r="J6" s="34">
        <f>'Sweep values'!J40</f>
        <v>-4833.3333333333358</v>
      </c>
      <c r="K6" s="34">
        <f>'Sweep values'!K40</f>
        <v>-2416.6666666666679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0096-220E-7649-A477-8C79C6C2607D}">
  <dimension ref="A1:K6"/>
  <sheetViews>
    <sheetView workbookViewId="0">
      <selection activeCell="A2" sqref="A2:A6"/>
    </sheetView>
  </sheetViews>
  <sheetFormatPr baseColWidth="10" defaultRowHeight="15" x14ac:dyDescent="0.2"/>
  <sheetData>
    <row r="1" spans="1:11" x14ac:dyDescent="0.2">
      <c r="A1" t="s">
        <v>188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 t="s">
        <v>189</v>
      </c>
      <c r="B2" s="34">
        <f>'Sweep values'!B28</f>
        <v>-1000</v>
      </c>
      <c r="C2" s="34">
        <f>'Sweep values'!C28</f>
        <v>-900</v>
      </c>
      <c r="D2" s="34">
        <f>'Sweep values'!D28</f>
        <v>-800</v>
      </c>
      <c r="E2" s="34">
        <f>'Sweep values'!E28</f>
        <v>-700</v>
      </c>
      <c r="F2" s="34">
        <f>'Sweep values'!F28</f>
        <v>-600</v>
      </c>
      <c r="G2" s="34">
        <f>'Sweep values'!G28</f>
        <v>-500</v>
      </c>
      <c r="H2" s="34">
        <f>'Sweep values'!H28</f>
        <v>-400</v>
      </c>
      <c r="I2" s="34">
        <f>'Sweep values'!I28</f>
        <v>-300</v>
      </c>
      <c r="J2" s="34">
        <f>'Sweep values'!J28</f>
        <v>-200</v>
      </c>
      <c r="K2" s="34">
        <f>'Sweep values'!K28</f>
        <v>-100</v>
      </c>
    </row>
    <row r="3" spans="1:11" x14ac:dyDescent="0.2">
      <c r="A3" t="s">
        <v>190</v>
      </c>
      <c r="B3" s="34">
        <f>'Sweep values'!B29</f>
        <v>-769</v>
      </c>
      <c r="C3" s="34">
        <f>'Sweep values'!C29</f>
        <v>-694.66666666666663</v>
      </c>
      <c r="D3" s="34">
        <f>'Sweep values'!D29</f>
        <v>-620.33333333333337</v>
      </c>
      <c r="E3" s="34">
        <f>'Sweep values'!E29</f>
        <v>-546</v>
      </c>
      <c r="F3" s="34">
        <f>'Sweep values'!F29</f>
        <v>-471.66666666666669</v>
      </c>
      <c r="G3" s="34">
        <f>'Sweep values'!G29</f>
        <v>-397.33333333333331</v>
      </c>
      <c r="H3" s="34">
        <f>'Sweep values'!H29</f>
        <v>-323</v>
      </c>
      <c r="I3" s="34">
        <f>'Sweep values'!I29</f>
        <v>-248.66666666666663</v>
      </c>
      <c r="J3" s="34">
        <f>'Sweep values'!J29</f>
        <v>-174.33333333333337</v>
      </c>
      <c r="K3" s="34">
        <f>'Sweep values'!K29</f>
        <v>-100</v>
      </c>
    </row>
    <row r="4" spans="1:11" x14ac:dyDescent="0.2">
      <c r="A4" t="s">
        <v>191</v>
      </c>
      <c r="B4" s="34">
        <f>'Sweep values'!B30</f>
        <v>-894</v>
      </c>
      <c r="C4" s="34">
        <f>'Sweep values'!C30</f>
        <v>-805.77777777777783</v>
      </c>
      <c r="D4" s="34">
        <f>'Sweep values'!D30</f>
        <v>-717.55555555555554</v>
      </c>
      <c r="E4" s="34">
        <f>'Sweep values'!E30</f>
        <v>-629.33333333333326</v>
      </c>
      <c r="F4" s="34">
        <f>'Sweep values'!F30</f>
        <v>-541.11111111111109</v>
      </c>
      <c r="G4" s="34">
        <f>'Sweep values'!G30</f>
        <v>-452.88888888888891</v>
      </c>
      <c r="H4" s="34">
        <f>'Sweep values'!H30</f>
        <v>-364.66666666666663</v>
      </c>
      <c r="I4" s="34">
        <f>'Sweep values'!I30</f>
        <v>-276.44444444444446</v>
      </c>
      <c r="J4" s="34">
        <f>'Sweep values'!J30</f>
        <v>-188.22222222222217</v>
      </c>
      <c r="K4" s="34">
        <f>'Sweep values'!K30</f>
        <v>-100</v>
      </c>
    </row>
    <row r="5" spans="1:11" x14ac:dyDescent="0.2">
      <c r="A5" t="s">
        <v>192</v>
      </c>
      <c r="B5" s="34">
        <f>'Sweep values'!B31</f>
        <v>-522</v>
      </c>
      <c r="C5" s="34">
        <f>'Sweep values'!C31</f>
        <v>-475.11111111111109</v>
      </c>
      <c r="D5" s="34">
        <f>'Sweep values'!D31</f>
        <v>-428.22222222222223</v>
      </c>
      <c r="E5" s="34">
        <f>'Sweep values'!E31</f>
        <v>-381.33333333333337</v>
      </c>
      <c r="F5" s="34">
        <f>'Sweep values'!F31</f>
        <v>-334.44444444444446</v>
      </c>
      <c r="G5" s="34">
        <f>'Sweep values'!G31</f>
        <v>-287.55555555555554</v>
      </c>
      <c r="H5" s="34">
        <f>'Sweep values'!H31</f>
        <v>-240.66666666666669</v>
      </c>
      <c r="I5" s="34">
        <f>'Sweep values'!I31</f>
        <v>-193.77777777777777</v>
      </c>
      <c r="J5" s="34">
        <f>'Sweep values'!J31</f>
        <v>-146.88888888888891</v>
      </c>
      <c r="K5" s="34">
        <f>'Sweep values'!K31</f>
        <v>-100</v>
      </c>
    </row>
    <row r="6" spans="1:11" x14ac:dyDescent="0.2">
      <c r="A6" t="s">
        <v>193</v>
      </c>
      <c r="B6" s="34">
        <f>'Sweep values'!B32</f>
        <v>-1000</v>
      </c>
      <c r="C6" s="34">
        <f>'Sweep values'!C32</f>
        <v>-900</v>
      </c>
      <c r="D6" s="34">
        <f>'Sweep values'!D32</f>
        <v>-800</v>
      </c>
      <c r="E6" s="34">
        <f>'Sweep values'!E32</f>
        <v>-700</v>
      </c>
      <c r="F6" s="34">
        <f>'Sweep values'!F32</f>
        <v>-600</v>
      </c>
      <c r="G6" s="34">
        <f>'Sweep values'!G32</f>
        <v>-500</v>
      </c>
      <c r="H6" s="34">
        <f>'Sweep values'!H32</f>
        <v>-400</v>
      </c>
      <c r="I6" s="34">
        <f>'Sweep values'!I32</f>
        <v>-300</v>
      </c>
      <c r="J6" s="34">
        <f>'Sweep values'!J32</f>
        <v>-200</v>
      </c>
      <c r="K6" s="34">
        <f>'Sweep values'!K32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60" t="s">
        <v>2</v>
      </c>
      <c r="B2" s="60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404-39E7-6B45-B584-7FD70EB84AF5}">
  <dimension ref="A1:I44"/>
  <sheetViews>
    <sheetView workbookViewId="0">
      <selection activeCell="F24" sqref="F24"/>
    </sheetView>
  </sheetViews>
  <sheetFormatPr baseColWidth="10" defaultRowHeight="15" x14ac:dyDescent="0.2"/>
  <cols>
    <col min="1" max="1" width="25.83203125" bestFit="1" customWidth="1"/>
    <col min="2" max="2" width="14.33203125" customWidth="1"/>
    <col min="3" max="4" width="12.6640625" bestFit="1" customWidth="1"/>
    <col min="6" max="6" width="15.33203125" bestFit="1" customWidth="1"/>
  </cols>
  <sheetData>
    <row r="1" spans="1:8" x14ac:dyDescent="0.2">
      <c r="A1" t="s">
        <v>158</v>
      </c>
      <c r="G1" t="s">
        <v>165</v>
      </c>
    </row>
    <row r="2" spans="1:8" x14ac:dyDescent="0.2">
      <c r="A2" t="s">
        <v>159</v>
      </c>
      <c r="B2">
        <v>1.2E-2</v>
      </c>
      <c r="G2" t="s">
        <v>166</v>
      </c>
      <c r="H2">
        <v>3.7854100000000002</v>
      </c>
    </row>
    <row r="3" spans="1:8" ht="16" thickBot="1" x14ac:dyDescent="0.25">
      <c r="G3" t="s">
        <v>165</v>
      </c>
    </row>
    <row r="4" spans="1:8" ht="16" thickBot="1" x14ac:dyDescent="0.25">
      <c r="A4" s="25" t="s">
        <v>142</v>
      </c>
      <c r="B4" s="20">
        <v>100</v>
      </c>
      <c r="C4" s="20">
        <v>500</v>
      </c>
      <c r="D4" s="26">
        <v>1000</v>
      </c>
      <c r="G4" t="s">
        <v>167</v>
      </c>
      <c r="H4">
        <v>0.77</v>
      </c>
    </row>
    <row r="5" spans="1:8" x14ac:dyDescent="0.2">
      <c r="A5" s="9" t="s">
        <v>81</v>
      </c>
      <c r="B5">
        <f>MeOH_original_data!B2*(1+MeOH!$B$2)</f>
        <v>167921429.192</v>
      </c>
      <c r="C5">
        <f>MeOH_original_data!C2*(1+MeOH!$B$2)</f>
        <v>376933297.796</v>
      </c>
      <c r="D5" s="24">
        <f>MeOH_original_data!D2*(1+MeOH!$B$2)</f>
        <v>655027563.25600004</v>
      </c>
      <c r="G5" t="s">
        <v>156</v>
      </c>
      <c r="H5">
        <v>0.8</v>
      </c>
    </row>
    <row r="6" spans="1:8" x14ac:dyDescent="0.2">
      <c r="A6" s="9" t="s">
        <v>143</v>
      </c>
      <c r="B6">
        <f>MeOH_original_data!B3*(1+MeOH!$B$2)</f>
        <v>11297541.948000001</v>
      </c>
      <c r="C6">
        <f>MeOH_original_data!C3*(1+MeOH!$B$2)</f>
        <v>19962889.100000001</v>
      </c>
      <c r="D6" s="24">
        <f>MeOH_original_data!D3*(1+MeOH!$B$2)</f>
        <v>27050057.672000002</v>
      </c>
      <c r="G6" t="s">
        <v>157</v>
      </c>
      <c r="H6">
        <v>0.85</v>
      </c>
    </row>
    <row r="7" spans="1:8" x14ac:dyDescent="0.2">
      <c r="A7" s="9"/>
      <c r="D7" s="10"/>
    </row>
    <row r="8" spans="1:8" x14ac:dyDescent="0.2">
      <c r="A8" s="9" t="s">
        <v>182</v>
      </c>
      <c r="B8">
        <f>SUM(B9:B13)</f>
        <v>631442.96600000001</v>
      </c>
      <c r="C8">
        <f t="shared" ref="C8:D8" si="0">SUM(C9:C13)</f>
        <v>3156650.1339999996</v>
      </c>
      <c r="D8" s="24">
        <f t="shared" si="0"/>
        <v>6314321.8819999993</v>
      </c>
    </row>
    <row r="9" spans="1:8" x14ac:dyDescent="0.2">
      <c r="A9" s="9" t="s">
        <v>144</v>
      </c>
      <c r="B9">
        <v>0</v>
      </c>
      <c r="C9">
        <v>0</v>
      </c>
      <c r="D9" s="10">
        <v>0</v>
      </c>
    </row>
    <row r="10" spans="1:8" x14ac:dyDescent="0.2">
      <c r="A10" s="9" t="s">
        <v>145</v>
      </c>
      <c r="B10">
        <v>0</v>
      </c>
      <c r="C10">
        <v>0</v>
      </c>
      <c r="D10" s="10">
        <v>0</v>
      </c>
    </row>
    <row r="11" spans="1:8" x14ac:dyDescent="0.2">
      <c r="A11" s="9" t="s">
        <v>146</v>
      </c>
      <c r="B11">
        <v>0</v>
      </c>
      <c r="C11">
        <v>0</v>
      </c>
      <c r="D11" s="10">
        <v>0</v>
      </c>
    </row>
    <row r="12" spans="1:8" x14ac:dyDescent="0.2">
      <c r="A12" s="9" t="s">
        <v>147</v>
      </c>
      <c r="B12">
        <f>0.25*MeOH_original_data!B8*(1+MeOH!$B$2)</f>
        <v>125952.00200000001</v>
      </c>
      <c r="C12">
        <f>0.25*MeOH_original_data!C8*(1+MeOH!$B$2)</f>
        <v>629646.91899999999</v>
      </c>
      <c r="D12" s="10">
        <f>0.25*MeOH_original_data!D8*(1+MeOH!$B$2)</f>
        <v>1259519.0079999999</v>
      </c>
    </row>
    <row r="13" spans="1:8" ht="16" thickBot="1" x14ac:dyDescent="0.25">
      <c r="A13" s="11" t="s">
        <v>148</v>
      </c>
      <c r="B13" s="19">
        <f>0.25*MeOH_original_data!B9*(1+MeOH!$B$2)</f>
        <v>505490.96399999998</v>
      </c>
      <c r="C13" s="19">
        <f>0.25*MeOH_original_data!C9*(1+MeOH!$B$2)</f>
        <v>2527003.2149999999</v>
      </c>
      <c r="D13" s="13">
        <f>0.25*MeOH_original_data!D9*(1+MeOH!$B$2)</f>
        <v>5054802.8739999998</v>
      </c>
    </row>
    <row r="15" spans="1:8" x14ac:dyDescent="0.2">
      <c r="A15" t="s">
        <v>160</v>
      </c>
      <c r="B15" t="s">
        <v>161</v>
      </c>
    </row>
    <row r="16" spans="1:8" x14ac:dyDescent="0.2">
      <c r="B16" t="s">
        <v>162</v>
      </c>
    </row>
    <row r="18" spans="1:9" ht="16" thickBot="1" x14ac:dyDescent="0.25">
      <c r="A18" t="s">
        <v>153</v>
      </c>
    </row>
    <row r="19" spans="1:9" ht="16" thickBot="1" x14ac:dyDescent="0.25">
      <c r="A19" s="25" t="s">
        <v>142</v>
      </c>
      <c r="B19" s="20">
        <v>100</v>
      </c>
      <c r="C19" s="20">
        <v>500</v>
      </c>
      <c r="D19" s="21">
        <v>1000</v>
      </c>
    </row>
    <row r="20" spans="1:9" ht="16" thickBot="1" x14ac:dyDescent="0.25">
      <c r="A20" s="61" t="s">
        <v>163</v>
      </c>
      <c r="B20" s="62"/>
      <c r="C20" s="62"/>
      <c r="D20" s="63"/>
      <c r="F20" s="51" t="s">
        <v>187</v>
      </c>
      <c r="G20" s="20">
        <v>100</v>
      </c>
      <c r="H20" s="20">
        <v>500</v>
      </c>
      <c r="I20" s="21">
        <v>1000</v>
      </c>
    </row>
    <row r="21" spans="1:9" x14ac:dyDescent="0.2">
      <c r="A21" s="41" t="s">
        <v>144</v>
      </c>
      <c r="B21" s="42">
        <f>MeOH_original_data!B18*1000/(24)</f>
        <v>2416.6666666666665</v>
      </c>
      <c r="C21" s="42">
        <f>MeOH_original_data!C18*1000/(24)</f>
        <v>12125</v>
      </c>
      <c r="D21" s="43">
        <f>MeOH_original_data!D18*1000/(24)</f>
        <v>24291.666666666668</v>
      </c>
      <c r="F21" s="52" t="s">
        <v>144</v>
      </c>
      <c r="G21" s="47">
        <v>1</v>
      </c>
      <c r="H21" s="47">
        <v>1</v>
      </c>
      <c r="I21" s="48">
        <v>1</v>
      </c>
    </row>
    <row r="22" spans="1:9" ht="16" thickBot="1" x14ac:dyDescent="0.25">
      <c r="A22" s="11" t="s">
        <v>155</v>
      </c>
      <c r="B22" s="45">
        <f>MeOH_original_data!B19*1000/(24)</f>
        <v>14666.666666666666</v>
      </c>
      <c r="C22" s="45">
        <f>MeOH_original_data!C19*1000/(24)</f>
        <v>73375</v>
      </c>
      <c r="D22" s="46">
        <f>MeOH_original_data!D19*1000/(24)</f>
        <v>146791.66666666666</v>
      </c>
      <c r="F22" s="52" t="s">
        <v>145</v>
      </c>
      <c r="G22" s="47">
        <f>G$21*B22/B$21</f>
        <v>6.068965517241379</v>
      </c>
      <c r="H22" s="47">
        <f t="shared" ref="H22:I23" si="1">H$21*C22/C21</f>
        <v>6.0515463917525771</v>
      </c>
      <c r="I22" s="48">
        <f>I$21*D22/D21</f>
        <v>6.0428816466552311</v>
      </c>
    </row>
    <row r="23" spans="1:9" ht="16" thickBot="1" x14ac:dyDescent="0.25">
      <c r="A23" s="9" t="s">
        <v>186</v>
      </c>
      <c r="B23" s="44">
        <f>MeOH_original_data!B20</f>
        <v>5.5</v>
      </c>
      <c r="C23" s="44">
        <f>MeOH_original_data!C20</f>
        <v>27</v>
      </c>
      <c r="D23" s="44">
        <f>MeOH_original_data!D20</f>
        <v>53</v>
      </c>
      <c r="F23" s="52" t="s">
        <v>146</v>
      </c>
      <c r="G23" s="47">
        <f t="shared" ref="G23" si="2">G$21*B23/B$21</f>
        <v>2.2758620689655173E-3</v>
      </c>
      <c r="H23" s="47">
        <f t="shared" si="1"/>
        <v>3.6797274275979556E-4</v>
      </c>
      <c r="I23" s="48">
        <f t="shared" si="1"/>
        <v>3.6105591825149024E-4</v>
      </c>
    </row>
    <row r="24" spans="1:9" ht="16" thickBot="1" x14ac:dyDescent="0.25">
      <c r="A24" s="58" t="s">
        <v>164</v>
      </c>
      <c r="B24" s="64"/>
      <c r="C24" s="64"/>
      <c r="D24" s="59"/>
      <c r="F24" s="52" t="s">
        <v>167</v>
      </c>
      <c r="G24" s="47">
        <f>G$21*B25/B$21</f>
        <v>4.1379310344827586E-2</v>
      </c>
      <c r="H24" s="47">
        <f t="shared" ref="H24:I24" si="3">H$21*C25/C$21</f>
        <v>4.192439862542955E-2</v>
      </c>
      <c r="I24" s="48">
        <f t="shared" si="3"/>
        <v>4.1852487135506003E-2</v>
      </c>
    </row>
    <row r="25" spans="1:9" x14ac:dyDescent="0.2">
      <c r="A25" s="41" t="s">
        <v>154</v>
      </c>
      <c r="B25" s="42">
        <f>MeOH_original_data!B22*1000/(24)</f>
        <v>100</v>
      </c>
      <c r="C25" s="42">
        <f>MeOH_original_data!C22*1000/(24)</f>
        <v>508.33333333333331</v>
      </c>
      <c r="D25" s="43">
        <f>MeOH_original_data!D22*1000/(24)</f>
        <v>1016.6666666666666</v>
      </c>
      <c r="F25" s="52" t="s">
        <v>156</v>
      </c>
      <c r="G25" s="47">
        <f t="shared" ref="G25:G26" si="4">G$21*B26/B$21</f>
        <v>0.34655172413793106</v>
      </c>
      <c r="H25" s="47">
        <f t="shared" ref="H25:H26" si="5">H$21*C26/C$21</f>
        <v>0.3446735395189004</v>
      </c>
      <c r="I25" s="48">
        <f t="shared" ref="I25:I26" si="6">I$21*D26/D$21</f>
        <v>0.34425385934819897</v>
      </c>
    </row>
    <row r="26" spans="1:9" ht="16" thickBot="1" x14ac:dyDescent="0.25">
      <c r="A26" s="9" t="s">
        <v>156</v>
      </c>
      <c r="B26" s="44">
        <f>MeOH_original_data!B23*1000/(24)</f>
        <v>837.5</v>
      </c>
      <c r="C26" s="44">
        <f>MeOH_original_data!C23*1000/(24)</f>
        <v>4179.166666666667</v>
      </c>
      <c r="D26" s="27">
        <f>MeOH_original_data!D23*1000/(24)</f>
        <v>8362.5</v>
      </c>
      <c r="F26" s="53" t="s">
        <v>157</v>
      </c>
      <c r="G26" s="49">
        <f t="shared" si="4"/>
        <v>1.4896551724137932</v>
      </c>
      <c r="H26" s="49">
        <f t="shared" si="5"/>
        <v>1.4838487972508592</v>
      </c>
      <c r="I26" s="50">
        <f t="shared" si="6"/>
        <v>1.481303602058319</v>
      </c>
    </row>
    <row r="27" spans="1:9" ht="16" thickBot="1" x14ac:dyDescent="0.25">
      <c r="A27" s="11" t="s">
        <v>157</v>
      </c>
      <c r="B27" s="45">
        <f>MeOH_original_data!B24*1000/(24)</f>
        <v>3600</v>
      </c>
      <c r="C27" s="45">
        <f>MeOH_original_data!C24*1000/(24)</f>
        <v>17991.666666666668</v>
      </c>
      <c r="D27" s="46">
        <f>MeOH_original_data!D24*1000/(24)</f>
        <v>35983.333333333336</v>
      </c>
    </row>
    <row r="30" spans="1:9" x14ac:dyDescent="0.2">
      <c r="A30" t="s">
        <v>168</v>
      </c>
      <c r="B30" t="s">
        <v>169</v>
      </c>
    </row>
    <row r="31" spans="1:9" x14ac:dyDescent="0.2">
      <c r="A31" t="s">
        <v>142</v>
      </c>
      <c r="B31">
        <v>100</v>
      </c>
      <c r="C31">
        <v>500</v>
      </c>
      <c r="D31">
        <v>1000</v>
      </c>
    </row>
    <row r="32" spans="1:9" x14ac:dyDescent="0.2">
      <c r="A32" t="s">
        <v>81</v>
      </c>
      <c r="B32">
        <v>167921429.192</v>
      </c>
      <c r="C32">
        <v>376933297.796</v>
      </c>
      <c r="D32">
        <v>655027563.25600004</v>
      </c>
    </row>
    <row r="33" spans="1:4" x14ac:dyDescent="0.2">
      <c r="A33" t="s">
        <v>142</v>
      </c>
      <c r="B33" t="s">
        <v>81</v>
      </c>
      <c r="C33" t="s">
        <v>170</v>
      </c>
      <c r="D33" t="s">
        <v>171</v>
      </c>
    </row>
    <row r="34" spans="1:4" x14ac:dyDescent="0.2">
      <c r="A34">
        <v>100</v>
      </c>
      <c r="B34">
        <v>167921429.192</v>
      </c>
      <c r="C34">
        <f>LN(A34/$A$36)</f>
        <v>-2.3025850929940455</v>
      </c>
      <c r="D34">
        <f>LN(B34)</f>
        <v>18.939006744588596</v>
      </c>
    </row>
    <row r="35" spans="1:4" x14ac:dyDescent="0.2">
      <c r="A35">
        <v>500</v>
      </c>
      <c r="B35">
        <v>376933297.796</v>
      </c>
      <c r="C35">
        <f t="shared" ref="C35:C36" si="7">LN(A35/$A$36)</f>
        <v>-0.69314718055994529</v>
      </c>
      <c r="D35">
        <f t="shared" ref="D35:D36" si="8">LN(B35)</f>
        <v>19.747578800835441</v>
      </c>
    </row>
    <row r="36" spans="1:4" x14ac:dyDescent="0.2">
      <c r="A36">
        <v>1000</v>
      </c>
      <c r="B36">
        <v>655027563.25600004</v>
      </c>
      <c r="C36">
        <f t="shared" si="7"/>
        <v>0</v>
      </c>
      <c r="D36">
        <f t="shared" si="8"/>
        <v>20.300187874021002</v>
      </c>
    </row>
    <row r="38" spans="1:4" x14ac:dyDescent="0.2">
      <c r="A38" t="s">
        <v>172</v>
      </c>
    </row>
    <row r="39" spans="1:4" x14ac:dyDescent="0.2">
      <c r="A39" s="22" t="s">
        <v>173</v>
      </c>
      <c r="B39" s="22">
        <f>EXP(20.237)</f>
        <v>614918317.57584751</v>
      </c>
    </row>
    <row r="40" spans="1:4" x14ac:dyDescent="0.2">
      <c r="A40" s="22" t="s">
        <v>174</v>
      </c>
      <c r="B40" s="22">
        <v>0.57550000000000001</v>
      </c>
    </row>
    <row r="42" spans="1:4" x14ac:dyDescent="0.2">
      <c r="A42" t="s">
        <v>178</v>
      </c>
      <c r="B42">
        <f>B19</f>
        <v>100</v>
      </c>
      <c r="C42">
        <f>C19</f>
        <v>500</v>
      </c>
      <c r="D42">
        <f>D19</f>
        <v>1000</v>
      </c>
    </row>
    <row r="43" spans="1:4" x14ac:dyDescent="0.2">
      <c r="A43" t="s">
        <v>177</v>
      </c>
      <c r="B43">
        <f>B21/B42</f>
        <v>24.166666666666664</v>
      </c>
      <c r="C43">
        <f>C21/C42</f>
        <v>24.25</v>
      </c>
      <c r="D43">
        <f>D21/D42</f>
        <v>24.291666666666668</v>
      </c>
    </row>
    <row r="44" spans="1:4" x14ac:dyDescent="0.2">
      <c r="A44" t="s">
        <v>177</v>
      </c>
      <c r="B44">
        <f>B43</f>
        <v>24.166666666666664</v>
      </c>
    </row>
  </sheetData>
  <mergeCells count="2">
    <mergeCell ref="A20:D20"/>
    <mergeCell ref="A24:D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3A5-912B-984E-9A90-BB156C754950}">
  <dimension ref="A1:D24"/>
  <sheetViews>
    <sheetView workbookViewId="0">
      <selection activeCell="G49" sqref="G49"/>
    </sheetView>
  </sheetViews>
  <sheetFormatPr baseColWidth="10" defaultRowHeight="15" x14ac:dyDescent="0.2"/>
  <cols>
    <col min="1" max="1" width="25.83203125" bestFit="1" customWidth="1"/>
    <col min="4" max="4" width="11.1640625" bestFit="1" customWidth="1"/>
  </cols>
  <sheetData>
    <row r="1" spans="1:4" x14ac:dyDescent="0.2">
      <c r="A1" t="s">
        <v>142</v>
      </c>
      <c r="B1">
        <v>100</v>
      </c>
      <c r="C1">
        <v>500</v>
      </c>
      <c r="D1">
        <v>1000</v>
      </c>
    </row>
    <row r="2" spans="1:4" x14ac:dyDescent="0.2">
      <c r="A2" t="s">
        <v>81</v>
      </c>
      <c r="B2">
        <v>165930266</v>
      </c>
      <c r="C2">
        <v>372463733</v>
      </c>
      <c r="D2">
        <v>647260438</v>
      </c>
    </row>
    <row r="3" spans="1:4" x14ac:dyDescent="0.2">
      <c r="A3" t="s">
        <v>143</v>
      </c>
      <c r="B3">
        <v>11163579</v>
      </c>
      <c r="C3">
        <v>19726175</v>
      </c>
      <c r="D3">
        <v>26729306</v>
      </c>
    </row>
    <row r="4" spans="1:4" x14ac:dyDescent="0.2">
      <c r="A4" t="s">
        <v>151</v>
      </c>
      <c r="B4">
        <v>41496911</v>
      </c>
      <c r="C4">
        <v>195785234</v>
      </c>
      <c r="D4">
        <v>389682027</v>
      </c>
    </row>
    <row r="5" spans="1:4" x14ac:dyDescent="0.2">
      <c r="A5" t="s">
        <v>144</v>
      </c>
      <c r="B5">
        <v>33150</v>
      </c>
      <c r="C5">
        <v>154050000</v>
      </c>
      <c r="D5">
        <v>3022500000</v>
      </c>
    </row>
    <row r="6" spans="1:4" x14ac:dyDescent="0.2">
      <c r="A6" t="s">
        <v>145</v>
      </c>
      <c r="B6">
        <v>3972302</v>
      </c>
      <c r="C6">
        <v>14860183</v>
      </c>
      <c r="D6">
        <v>33686363</v>
      </c>
    </row>
    <row r="7" spans="1:4" x14ac:dyDescent="0.2">
      <c r="A7" t="s">
        <v>146</v>
      </c>
      <c r="B7">
        <v>2878787</v>
      </c>
      <c r="C7">
        <v>14398173</v>
      </c>
      <c r="D7">
        <v>28787869</v>
      </c>
    </row>
    <row r="8" spans="1:4" x14ac:dyDescent="0.2">
      <c r="A8" t="s">
        <v>147</v>
      </c>
      <c r="B8">
        <v>497834</v>
      </c>
      <c r="C8">
        <v>2488723</v>
      </c>
      <c r="D8">
        <v>4978336</v>
      </c>
    </row>
    <row r="9" spans="1:4" x14ac:dyDescent="0.2">
      <c r="A9" t="s">
        <v>148</v>
      </c>
      <c r="B9">
        <v>1997988</v>
      </c>
      <c r="C9">
        <v>9988155</v>
      </c>
      <c r="D9">
        <v>19979458</v>
      </c>
    </row>
    <row r="11" spans="1:4" x14ac:dyDescent="0.2">
      <c r="A11" s="23" t="s">
        <v>149</v>
      </c>
    </row>
    <row r="12" spans="1:4" x14ac:dyDescent="0.2">
      <c r="A12" t="s">
        <v>150</v>
      </c>
    </row>
    <row r="13" spans="1:4" x14ac:dyDescent="0.2">
      <c r="A13" t="s">
        <v>152</v>
      </c>
    </row>
    <row r="15" spans="1:4" x14ac:dyDescent="0.2">
      <c r="A15" t="s">
        <v>153</v>
      </c>
    </row>
    <row r="16" spans="1:4" x14ac:dyDescent="0.2">
      <c r="A16" t="s">
        <v>142</v>
      </c>
      <c r="B16">
        <v>100</v>
      </c>
      <c r="C16">
        <v>500</v>
      </c>
      <c r="D16">
        <v>1000</v>
      </c>
    </row>
    <row r="17" spans="1:4" x14ac:dyDescent="0.2">
      <c r="A17" t="s">
        <v>184</v>
      </c>
    </row>
    <row r="18" spans="1:4" x14ac:dyDescent="0.2">
      <c r="A18" t="s">
        <v>144</v>
      </c>
      <c r="B18">
        <v>58</v>
      </c>
      <c r="C18">
        <v>291</v>
      </c>
      <c r="D18">
        <v>583</v>
      </c>
    </row>
    <row r="19" spans="1:4" x14ac:dyDescent="0.2">
      <c r="A19" t="s">
        <v>155</v>
      </c>
      <c r="B19">
        <v>352</v>
      </c>
      <c r="C19">
        <v>1761</v>
      </c>
      <c r="D19">
        <v>3523</v>
      </c>
    </row>
    <row r="20" spans="1:4" x14ac:dyDescent="0.2">
      <c r="A20" t="s">
        <v>186</v>
      </c>
      <c r="B20">
        <v>5.5</v>
      </c>
      <c r="C20">
        <v>27</v>
      </c>
      <c r="D20">
        <v>53</v>
      </c>
    </row>
    <row r="21" spans="1:4" x14ac:dyDescent="0.2">
      <c r="A21" t="s">
        <v>185</v>
      </c>
    </row>
    <row r="22" spans="1:4" x14ac:dyDescent="0.2">
      <c r="A22" t="s">
        <v>154</v>
      </c>
      <c r="B22">
        <v>2.4</v>
      </c>
      <c r="C22">
        <v>12.2</v>
      </c>
      <c r="D22">
        <v>24.4</v>
      </c>
    </row>
    <row r="23" spans="1:4" x14ac:dyDescent="0.2">
      <c r="A23" t="s">
        <v>156</v>
      </c>
      <c r="B23">
        <v>20.100000000000001</v>
      </c>
      <c r="C23">
        <v>100.3</v>
      </c>
      <c r="D23">
        <v>200.7</v>
      </c>
    </row>
    <row r="24" spans="1:4" x14ac:dyDescent="0.2">
      <c r="A24" t="s">
        <v>157</v>
      </c>
      <c r="B24">
        <v>86.4</v>
      </c>
      <c r="C24">
        <v>431.8</v>
      </c>
      <c r="D24">
        <v>863.6</v>
      </c>
    </row>
  </sheetData>
  <sheetProtection algorithmName="SHA-512" hashValue="E5wXOZaLLrrq7SCc6l+P2ZRx9IPEuRyCimf3Z0baz1pnEGajuwEnyXDqCBaOzjtZXMtVpsqDvw4pp6yfyAXdcg==" saltValue="DJDNe6oto2IcuT0txsQDE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6" t="s">
        <v>26</v>
      </c>
      <c r="B2" s="7" t="s">
        <v>27</v>
      </c>
      <c r="C2" s="8" t="s">
        <v>28</v>
      </c>
    </row>
    <row r="3" spans="1:3" x14ac:dyDescent="0.2">
      <c r="A3" s="9" t="s">
        <v>25</v>
      </c>
      <c r="B3" s="5">
        <v>36.799999999999997</v>
      </c>
      <c r="C3" s="10" t="s">
        <v>29</v>
      </c>
    </row>
    <row r="4" spans="1:3" x14ac:dyDescent="0.2">
      <c r="A4" s="9"/>
      <c r="B4" s="5">
        <f>1/B3</f>
        <v>2.7173913043478264E-2</v>
      </c>
      <c r="C4" s="10" t="s">
        <v>63</v>
      </c>
    </row>
    <row r="5" spans="1:3" x14ac:dyDescent="0.2">
      <c r="A5" s="9" t="s">
        <v>30</v>
      </c>
      <c r="B5">
        <v>6.4</v>
      </c>
      <c r="C5" s="10" t="s">
        <v>31</v>
      </c>
    </row>
    <row r="6" spans="1:3" x14ac:dyDescent="0.2">
      <c r="A6" s="9" t="s">
        <v>36</v>
      </c>
      <c r="B6">
        <v>590</v>
      </c>
      <c r="C6" s="10" t="s">
        <v>33</v>
      </c>
    </row>
    <row r="7" spans="1:3" x14ac:dyDescent="0.2">
      <c r="A7" s="9" t="s">
        <v>37</v>
      </c>
      <c r="B7">
        <v>763</v>
      </c>
      <c r="C7" s="10" t="s">
        <v>33</v>
      </c>
    </row>
    <row r="8" spans="1:3" x14ac:dyDescent="0.2">
      <c r="A8" s="9" t="s">
        <v>32</v>
      </c>
      <c r="B8">
        <v>544</v>
      </c>
      <c r="C8" s="10" t="s">
        <v>33</v>
      </c>
    </row>
    <row r="9" spans="1:3" x14ac:dyDescent="0.2">
      <c r="A9" s="9" t="s">
        <v>35</v>
      </c>
      <c r="B9" s="5">
        <v>703</v>
      </c>
      <c r="C9" s="10" t="s">
        <v>33</v>
      </c>
    </row>
    <row r="10" spans="1:3" x14ac:dyDescent="0.2">
      <c r="A10" s="9" t="s">
        <v>38</v>
      </c>
      <c r="B10">
        <v>20</v>
      </c>
      <c r="C10" s="10" t="s">
        <v>39</v>
      </c>
    </row>
    <row r="11" spans="1:3" x14ac:dyDescent="0.2">
      <c r="A11" s="9" t="s">
        <v>40</v>
      </c>
      <c r="B11" s="5">
        <v>32.64</v>
      </c>
      <c r="C11" s="10" t="s">
        <v>41</v>
      </c>
    </row>
    <row r="12" spans="1:3" x14ac:dyDescent="0.2">
      <c r="A12" s="9" t="s">
        <v>42</v>
      </c>
      <c r="B12" s="5">
        <v>3.41</v>
      </c>
      <c r="C12" s="10" t="s">
        <v>43</v>
      </c>
    </row>
    <row r="13" spans="1:3" x14ac:dyDescent="0.2">
      <c r="A13" s="9" t="s">
        <v>44</v>
      </c>
      <c r="B13">
        <v>10</v>
      </c>
      <c r="C13" s="10" t="s">
        <v>45</v>
      </c>
    </row>
    <row r="14" spans="1:3" ht="16" thickBot="1" x14ac:dyDescent="0.25">
      <c r="A14" s="11" t="s">
        <v>46</v>
      </c>
      <c r="B14" s="12">
        <v>20</v>
      </c>
      <c r="C14" s="13" t="s">
        <v>39</v>
      </c>
    </row>
    <row r="16" spans="1:3" x14ac:dyDescent="0.2">
      <c r="A16" s="4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65</v>
      </c>
      <c r="B1" t="s">
        <v>69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68</v>
      </c>
      <c r="B8">
        <f>AVERAGE(B4:B7)</f>
        <v>120.32499999999999</v>
      </c>
    </row>
    <row r="10" spans="1:3" x14ac:dyDescent="0.2">
      <c r="A10" t="s">
        <v>67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66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Sweep values</vt:lpstr>
      <vt:lpstr>storage_steps</vt:lpstr>
      <vt:lpstr>MeOH_steps</vt:lpstr>
      <vt:lpstr>HTSE_steps</vt:lpstr>
      <vt:lpstr>MACRS</vt:lpstr>
      <vt:lpstr>MeOH</vt:lpstr>
      <vt:lpstr>MeOH_original_data</vt:lpstr>
      <vt:lpstr>HTSE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2023-07-21T15:13:44Z</dcterms:modified>
</cp:coreProperties>
</file>