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MeOH_2023/data/"/>
    </mc:Choice>
  </mc:AlternateContent>
  <xr:revisionPtr revIDLastSave="0" documentId="13_ncr:1_{BB36AC93-0787-614D-827B-E8C2FA76C069}" xr6:coauthVersionLast="47" xr6:coauthVersionMax="47" xr10:uidLastSave="{00000000-0000-0000-0000-000000000000}"/>
  <bookViews>
    <workbookView xWindow="-20" yWindow="500" windowWidth="35840" windowHeight="20320" activeTab="8" xr2:uid="{3CE7F202-39F9-48AF-B0C7-575379157397}"/>
  </bookViews>
  <sheets>
    <sheet name="SMR" sheetId="13" r:id="rId1"/>
    <sheet name="Boundaries" sheetId="10" r:id="rId2"/>
    <sheet name="HTSE_steps" sheetId="18" r:id="rId3"/>
    <sheet name="MeOH_steps" sheetId="19" r:id="rId4"/>
    <sheet name="storage_steps" sheetId="20" r:id="rId5"/>
    <sheet name="PTC vs. ITC" sheetId="14" r:id="rId6"/>
    <sheet name="MACRS" sheetId="1" r:id="rId7"/>
    <sheet name="HTSE" sheetId="2" r:id="rId8"/>
    <sheet name="MeOH" sheetId="16" r:id="rId9"/>
    <sheet name="MeOH_original_data" sheetId="17" r:id="rId10"/>
    <sheet name="Capacity_Market" sheetId="3" r:id="rId11"/>
    <sheet name="Tax rates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0" l="1"/>
  <c r="E13" i="20"/>
  <c r="F13" i="20"/>
  <c r="G13" i="20"/>
  <c r="H13" i="20"/>
  <c r="I13" i="20"/>
  <c r="J13" i="20"/>
  <c r="K13" i="20"/>
  <c r="L13" i="20"/>
  <c r="D14" i="20"/>
  <c r="E14" i="20"/>
  <c r="F14" i="20"/>
  <c r="G14" i="20"/>
  <c r="H14" i="20"/>
  <c r="I14" i="20"/>
  <c r="J14" i="20"/>
  <c r="K14" i="20"/>
  <c r="L14" i="20"/>
  <c r="D15" i="20"/>
  <c r="E15" i="20"/>
  <c r="F15" i="20"/>
  <c r="G15" i="20"/>
  <c r="H15" i="20"/>
  <c r="I15" i="20"/>
  <c r="J15" i="20"/>
  <c r="K15" i="20"/>
  <c r="L15" i="20"/>
  <c r="D16" i="20"/>
  <c r="E16" i="20"/>
  <c r="F16" i="20"/>
  <c r="G16" i="20"/>
  <c r="H16" i="20"/>
  <c r="I16" i="20"/>
  <c r="J16" i="20"/>
  <c r="K16" i="20"/>
  <c r="L16" i="20"/>
  <c r="E12" i="20"/>
  <c r="F12" i="20"/>
  <c r="G12" i="20"/>
  <c r="H12" i="20"/>
  <c r="I12" i="20"/>
  <c r="J12" i="20"/>
  <c r="K12" i="20"/>
  <c r="L12" i="20"/>
  <c r="D12" i="20"/>
  <c r="D8" i="20"/>
  <c r="E8" i="20"/>
  <c r="F8" i="20"/>
  <c r="G8" i="20"/>
  <c r="H8" i="20"/>
  <c r="I8" i="20"/>
  <c r="J8" i="20"/>
  <c r="K8" i="20"/>
  <c r="L8" i="20"/>
  <c r="D9" i="20"/>
  <c r="E9" i="20"/>
  <c r="F9" i="20"/>
  <c r="G9" i="20"/>
  <c r="H9" i="20"/>
  <c r="I9" i="20"/>
  <c r="J9" i="20"/>
  <c r="K9" i="20"/>
  <c r="L9" i="20"/>
  <c r="D10" i="20"/>
  <c r="E10" i="20"/>
  <c r="F10" i="20"/>
  <c r="G10" i="20"/>
  <c r="H10" i="20"/>
  <c r="I10" i="20"/>
  <c r="J10" i="20"/>
  <c r="K10" i="20"/>
  <c r="L10" i="20"/>
  <c r="D11" i="20"/>
  <c r="E11" i="20"/>
  <c r="F11" i="20"/>
  <c r="G11" i="20"/>
  <c r="H11" i="20"/>
  <c r="I11" i="20"/>
  <c r="J11" i="20"/>
  <c r="K11" i="20"/>
  <c r="L11" i="20"/>
  <c r="E7" i="20"/>
  <c r="F7" i="20"/>
  <c r="G7" i="20"/>
  <c r="H7" i="20"/>
  <c r="I7" i="20"/>
  <c r="J7" i="20"/>
  <c r="K7" i="20"/>
  <c r="L7" i="20"/>
  <c r="D7" i="20"/>
  <c r="D3" i="20"/>
  <c r="E3" i="20"/>
  <c r="F3" i="20"/>
  <c r="G3" i="20"/>
  <c r="H3" i="20"/>
  <c r="I3" i="20"/>
  <c r="J3" i="20"/>
  <c r="K3" i="20"/>
  <c r="L3" i="20"/>
  <c r="D4" i="20"/>
  <c r="E4" i="20"/>
  <c r="F4" i="20"/>
  <c r="G4" i="20"/>
  <c r="H4" i="20"/>
  <c r="I4" i="20"/>
  <c r="J4" i="20"/>
  <c r="K4" i="20"/>
  <c r="L4" i="20"/>
  <c r="D5" i="20"/>
  <c r="E5" i="20"/>
  <c r="F5" i="20"/>
  <c r="G5" i="20"/>
  <c r="H5" i="20"/>
  <c r="I5" i="20"/>
  <c r="J5" i="20"/>
  <c r="K5" i="20"/>
  <c r="L5" i="20"/>
  <c r="D6" i="20"/>
  <c r="E6" i="20"/>
  <c r="F6" i="20"/>
  <c r="G6" i="20"/>
  <c r="H6" i="20"/>
  <c r="I6" i="20"/>
  <c r="J6" i="20"/>
  <c r="K6" i="20"/>
  <c r="L6" i="20"/>
  <c r="D2" i="20"/>
  <c r="E2" i="20"/>
  <c r="F2" i="20"/>
  <c r="G2" i="20"/>
  <c r="H2" i="20"/>
  <c r="I2" i="20"/>
  <c r="J2" i="20"/>
  <c r="K2" i="20"/>
  <c r="L2" i="20"/>
  <c r="B3" i="19"/>
  <c r="C3" i="19"/>
  <c r="D3" i="19"/>
  <c r="E3" i="19"/>
  <c r="F3" i="19"/>
  <c r="G3" i="19"/>
  <c r="H3" i="19"/>
  <c r="I3" i="19"/>
  <c r="J3" i="19"/>
  <c r="K3" i="19"/>
  <c r="B4" i="19"/>
  <c r="C4" i="19"/>
  <c r="D4" i="19"/>
  <c r="E4" i="19"/>
  <c r="F4" i="19"/>
  <c r="G4" i="19"/>
  <c r="H4" i="19"/>
  <c r="I4" i="19"/>
  <c r="J4" i="19"/>
  <c r="K4" i="19"/>
  <c r="C2" i="19"/>
  <c r="D2" i="19"/>
  <c r="E2" i="19"/>
  <c r="F2" i="19"/>
  <c r="G2" i="19"/>
  <c r="H2" i="19"/>
  <c r="I2" i="19"/>
  <c r="J2" i="19"/>
  <c r="K2" i="19"/>
  <c r="B2" i="19"/>
  <c r="B3" i="18"/>
  <c r="C3" i="18"/>
  <c r="D3" i="18"/>
  <c r="E3" i="18"/>
  <c r="F3" i="18"/>
  <c r="G3" i="18"/>
  <c r="H3" i="18"/>
  <c r="I3" i="18"/>
  <c r="J3" i="18"/>
  <c r="K3" i="18"/>
  <c r="B4" i="18"/>
  <c r="C4" i="18"/>
  <c r="D4" i="18"/>
  <c r="E4" i="18"/>
  <c r="F4" i="18"/>
  <c r="G4" i="18"/>
  <c r="H4" i="18"/>
  <c r="I4" i="18"/>
  <c r="J4" i="18"/>
  <c r="K4" i="18"/>
  <c r="C2" i="18"/>
  <c r="D2" i="18"/>
  <c r="E2" i="18"/>
  <c r="F2" i="18"/>
  <c r="G2" i="18"/>
  <c r="H2" i="18"/>
  <c r="I2" i="18"/>
  <c r="J2" i="18"/>
  <c r="K2" i="18"/>
  <c r="B2" i="18"/>
  <c r="C14" i="10"/>
  <c r="D42" i="16"/>
  <c r="C42" i="16"/>
  <c r="B42" i="16"/>
  <c r="B39" i="16"/>
  <c r="D36" i="16"/>
  <c r="C36" i="16"/>
  <c r="D35" i="16"/>
  <c r="C35" i="16"/>
  <c r="D34" i="16"/>
  <c r="C34" i="16"/>
  <c r="D27" i="16"/>
  <c r="C27" i="16"/>
  <c r="B27" i="16"/>
  <c r="D26" i="16"/>
  <c r="C26" i="16"/>
  <c r="B26" i="16"/>
  <c r="D25" i="16"/>
  <c r="I24" i="16" s="1"/>
  <c r="C25" i="16"/>
  <c r="H24" i="16" s="1"/>
  <c r="B25" i="16"/>
  <c r="G24" i="16" s="1"/>
  <c r="D23" i="16"/>
  <c r="C23" i="16"/>
  <c r="B23" i="16"/>
  <c r="D22" i="16"/>
  <c r="C22" i="16"/>
  <c r="H22" i="16" s="1"/>
  <c r="B22" i="16"/>
  <c r="G22" i="16" s="1"/>
  <c r="D21" i="16"/>
  <c r="I25" i="16" s="1"/>
  <c r="C21" i="16"/>
  <c r="C43" i="16" s="1"/>
  <c r="B21" i="16"/>
  <c r="B43" i="16" s="1"/>
  <c r="B44" i="16" s="1"/>
  <c r="D13" i="16"/>
  <c r="D8" i="16" s="1"/>
  <c r="C13" i="16"/>
  <c r="B13" i="16"/>
  <c r="D12" i="16"/>
  <c r="C12" i="16"/>
  <c r="B12" i="16"/>
  <c r="C8" i="16"/>
  <c r="B8" i="16"/>
  <c r="D6" i="16"/>
  <c r="C6" i="16"/>
  <c r="B6" i="16"/>
  <c r="D5" i="16"/>
  <c r="C5" i="16"/>
  <c r="B5" i="16"/>
  <c r="H26" i="16" l="1"/>
  <c r="I26" i="16"/>
  <c r="I22" i="16"/>
  <c r="G23" i="16"/>
  <c r="H23" i="16"/>
  <c r="I23" i="16"/>
  <c r="H25" i="16"/>
  <c r="G26" i="16"/>
  <c r="D43" i="16"/>
  <c r="G25" i="16"/>
  <c r="D9" i="14" l="1"/>
  <c r="D10" i="14"/>
  <c r="C9" i="14"/>
  <c r="C10" i="14" s="1"/>
  <c r="C56" i="10"/>
  <c r="D56" i="10"/>
  <c r="E56" i="10"/>
  <c r="F56" i="10"/>
  <c r="G56" i="10"/>
  <c r="H56" i="10"/>
  <c r="I56" i="10"/>
  <c r="J56" i="10"/>
  <c r="K56" i="10"/>
  <c r="B56" i="10"/>
  <c r="A58" i="10"/>
  <c r="A59" i="10"/>
  <c r="A60" i="10"/>
  <c r="A61" i="10"/>
  <c r="A57" i="10"/>
  <c r="E14" i="10"/>
  <c r="C15" i="10"/>
  <c r="C16" i="10"/>
  <c r="D14" i="10"/>
  <c r="F14" i="10" s="1"/>
  <c r="A30" i="10"/>
  <c r="H33" i="10" s="1"/>
  <c r="A56" i="10" s="1"/>
  <c r="A24" i="10"/>
  <c r="D16" i="10"/>
  <c r="F16" i="10"/>
  <c r="I4" i="13"/>
  <c r="J4" i="13"/>
  <c r="K4" i="13"/>
  <c r="L4" i="13"/>
  <c r="H4" i="13"/>
  <c r="A43" i="10"/>
  <c r="A50" i="10" s="1"/>
  <c r="A44" i="10"/>
  <c r="A51" i="10" s="1"/>
  <c r="A45" i="10"/>
  <c r="A52" i="10" s="1"/>
  <c r="A46" i="10"/>
  <c r="A53" i="10" s="1"/>
  <c r="A42" i="10"/>
  <c r="A49" i="10" s="1"/>
  <c r="F33" i="10"/>
  <c r="A48" i="10" s="1"/>
  <c r="D33" i="10"/>
  <c r="D15" i="10"/>
  <c r="B35" i="10"/>
  <c r="B36" i="10"/>
  <c r="B37" i="10"/>
  <c r="B38" i="10"/>
  <c r="A29" i="10"/>
  <c r="A28" i="10"/>
  <c r="A23" i="10"/>
  <c r="A22" i="10"/>
  <c r="E3" i="12"/>
  <c r="E4" i="12"/>
  <c r="E5" i="12"/>
  <c r="E6" i="12"/>
  <c r="E7" i="12"/>
  <c r="E8" i="12"/>
  <c r="E2" i="12"/>
  <c r="B8" i="3"/>
  <c r="B4" i="2"/>
  <c r="B23" i="10" l="1"/>
  <c r="E35" i="10"/>
  <c r="C42" i="10" s="1"/>
  <c r="B28" i="10"/>
  <c r="B22" i="10"/>
  <c r="F15" i="10"/>
  <c r="E15" i="10"/>
  <c r="E16" i="10" l="1"/>
  <c r="B24" i="10"/>
  <c r="C24" i="10"/>
  <c r="D24" i="10"/>
  <c r="E24" i="10"/>
  <c r="H24" i="10"/>
  <c r="I24" i="10"/>
  <c r="K24" i="10"/>
  <c r="F24" i="10"/>
  <c r="G24" i="10"/>
  <c r="J24" i="10"/>
  <c r="J29" i="10"/>
  <c r="G39" i="10"/>
  <c r="E29" i="10"/>
  <c r="B29" i="10"/>
  <c r="H29" i="10"/>
  <c r="K29" i="10"/>
  <c r="G36" i="10"/>
  <c r="G37" i="10"/>
  <c r="G38" i="10"/>
  <c r="C52" i="10" s="1"/>
  <c r="G35" i="10"/>
  <c r="C49" i="10" s="1"/>
  <c r="C29" i="10"/>
  <c r="D29" i="10"/>
  <c r="I29" i="10"/>
  <c r="F29" i="10"/>
  <c r="G29" i="10"/>
  <c r="D23" i="10"/>
  <c r="C23" i="10"/>
  <c r="E23" i="10"/>
  <c r="F23" i="10"/>
  <c r="K23" i="10"/>
  <c r="H23" i="10"/>
  <c r="I23" i="10"/>
  <c r="J23" i="10"/>
  <c r="G23" i="10"/>
  <c r="G22" i="10"/>
  <c r="H22" i="10"/>
  <c r="J22" i="10"/>
  <c r="K22" i="10"/>
  <c r="E22" i="10"/>
  <c r="I22" i="10"/>
  <c r="D22" i="10"/>
  <c r="C22" i="10"/>
  <c r="F22" i="10"/>
  <c r="I39" i="10" l="1"/>
  <c r="I38" i="10"/>
  <c r="I35" i="10"/>
  <c r="I36" i="10"/>
  <c r="I37" i="10"/>
  <c r="E30" i="10"/>
  <c r="H30" i="10"/>
  <c r="K30" i="10"/>
  <c r="B30" i="10"/>
  <c r="F30" i="10"/>
  <c r="G30" i="10"/>
  <c r="I30" i="10"/>
  <c r="J30" i="10"/>
  <c r="D30" i="10"/>
  <c r="C30" i="10"/>
  <c r="B49" i="10"/>
  <c r="E49" i="10"/>
  <c r="D49" i="10"/>
  <c r="H49" i="10"/>
  <c r="F49" i="10"/>
  <c r="K49" i="10"/>
  <c r="I49" i="10"/>
  <c r="G49" i="10"/>
  <c r="J49" i="10"/>
  <c r="C50" i="10"/>
  <c r="F50" i="10"/>
  <c r="K50" i="10"/>
  <c r="D50" i="10"/>
  <c r="E50" i="10"/>
  <c r="G50" i="10"/>
  <c r="B50" i="10"/>
  <c r="H50" i="10"/>
  <c r="I50" i="10"/>
  <c r="J50" i="10"/>
  <c r="H53" i="10"/>
  <c r="B53" i="10"/>
  <c r="F53" i="10"/>
  <c r="I53" i="10"/>
  <c r="J53" i="10"/>
  <c r="K53" i="10"/>
  <c r="E53" i="10"/>
  <c r="C53" i="10"/>
  <c r="D53" i="10"/>
  <c r="G53" i="10"/>
  <c r="D52" i="10"/>
  <c r="G52" i="10"/>
  <c r="K52" i="10"/>
  <c r="E52" i="10"/>
  <c r="F52" i="10"/>
  <c r="B52" i="10"/>
  <c r="H52" i="10"/>
  <c r="I52" i="10"/>
  <c r="J52" i="10"/>
  <c r="J51" i="10"/>
  <c r="F51" i="10"/>
  <c r="K51" i="10"/>
  <c r="B51" i="10"/>
  <c r="E51" i="10"/>
  <c r="G51" i="10"/>
  <c r="I51" i="10"/>
  <c r="H51" i="10"/>
  <c r="C51" i="10"/>
  <c r="D51" i="10"/>
  <c r="C28" i="10"/>
  <c r="J28" i="10"/>
  <c r="D28" i="10"/>
  <c r="G28" i="10"/>
  <c r="H28" i="10"/>
  <c r="E28" i="10"/>
  <c r="F28" i="10"/>
  <c r="I28" i="10"/>
  <c r="K28" i="10"/>
  <c r="E36" i="10"/>
  <c r="E37" i="10"/>
  <c r="E38" i="10"/>
  <c r="B45" i="10" s="1"/>
  <c r="E39" i="10"/>
  <c r="E59" i="10" l="1"/>
  <c r="F59" i="10"/>
  <c r="B59" i="10"/>
  <c r="G59" i="10"/>
  <c r="I59" i="10"/>
  <c r="J59" i="10"/>
  <c r="H59" i="10"/>
  <c r="K59" i="10"/>
  <c r="D59" i="10"/>
  <c r="C59" i="10"/>
  <c r="K58" i="10"/>
  <c r="I58" i="10"/>
  <c r="E58" i="10"/>
  <c r="F58" i="10"/>
  <c r="G58" i="10"/>
  <c r="H58" i="10"/>
  <c r="B58" i="10"/>
  <c r="C58" i="10"/>
  <c r="D58" i="10"/>
  <c r="J58" i="10"/>
  <c r="H57" i="10"/>
  <c r="E57" i="10"/>
  <c r="I57" i="10"/>
  <c r="C57" i="10"/>
  <c r="J57" i="10"/>
  <c r="G57" i="10"/>
  <c r="K57" i="10"/>
  <c r="B57" i="10"/>
  <c r="D57" i="10"/>
  <c r="F57" i="10"/>
  <c r="K60" i="10"/>
  <c r="E60" i="10"/>
  <c r="I60" i="10"/>
  <c r="J60" i="10"/>
  <c r="B60" i="10"/>
  <c r="F60" i="10"/>
  <c r="G60" i="10"/>
  <c r="C60" i="10"/>
  <c r="D60" i="10"/>
  <c r="H60" i="10"/>
  <c r="H61" i="10"/>
  <c r="J61" i="10"/>
  <c r="B61" i="10"/>
  <c r="F61" i="10"/>
  <c r="I61" i="10"/>
  <c r="C61" i="10"/>
  <c r="E61" i="10"/>
  <c r="G61" i="10"/>
  <c r="K61" i="10"/>
  <c r="D61" i="10"/>
  <c r="K46" i="10"/>
  <c r="E46" i="10"/>
  <c r="F46" i="10"/>
  <c r="H46" i="10"/>
  <c r="C46" i="10"/>
  <c r="B46" i="10"/>
  <c r="D46" i="10"/>
  <c r="J46" i="10"/>
  <c r="I46" i="10"/>
  <c r="G46" i="10"/>
  <c r="C45" i="10"/>
  <c r="E45" i="10"/>
  <c r="F45" i="10"/>
  <c r="D45" i="10"/>
  <c r="G45" i="10"/>
  <c r="H45" i="10"/>
  <c r="I45" i="10"/>
  <c r="K45" i="10"/>
  <c r="J45" i="10"/>
  <c r="D42" i="10"/>
  <c r="F42" i="10"/>
  <c r="E42" i="10"/>
  <c r="G42" i="10"/>
  <c r="I42" i="10"/>
  <c r="K42" i="10"/>
  <c r="J42" i="10"/>
  <c r="H42" i="10"/>
  <c r="H44" i="10"/>
  <c r="K44" i="10"/>
  <c r="B44" i="10"/>
  <c r="F44" i="10"/>
  <c r="C44" i="10"/>
  <c r="D44" i="10"/>
  <c r="G44" i="10"/>
  <c r="I44" i="10"/>
  <c r="E44" i="10"/>
  <c r="J44" i="10"/>
  <c r="E43" i="10"/>
  <c r="F43" i="10"/>
  <c r="B43" i="10"/>
  <c r="G43" i="10"/>
  <c r="H43" i="10"/>
  <c r="I43" i="10"/>
  <c r="J43" i="10"/>
  <c r="K43" i="10"/>
  <c r="C43" i="10"/>
  <c r="D43" i="10"/>
  <c r="B42" i="10"/>
</calcChain>
</file>

<file path=xl/sharedStrings.xml><?xml version="1.0" encoding="utf-8"?>
<sst xmlns="http://schemas.openxmlformats.org/spreadsheetml/2006/main" count="265" uniqueCount="188">
  <si>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</si>
  <si>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</si>
  <si>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</si>
  <si>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</si>
  <si>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</si>
  <si>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</si>
  <si>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</si>
  <si>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</si>
  <si>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</si>
  <si>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</si>
  <si>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</si>
  <si>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</si>
  <si>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</si>
  <si>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</si>
  <si>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</si>
  <si>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</si>
  <si>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</si>
  <si>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</si>
  <si>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</si>
  <si>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</si>
  <si>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</si>
  <si>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</si>
  <si>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</si>
  <si>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</si>
  <si>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</si>
  <si>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</si>
  <si>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</si>
  <si>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</si>
  <si>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</si>
  <si>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</si>
  <si>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</si>
  <si>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</si>
  <si>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</si>
  <si>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</si>
  <si>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</si>
  <si>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</si>
  <si>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</si>
  <si>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</si>
  <si>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</si>
  <si>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</si>
  <si>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</si>
  <si>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</si>
  <si>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</si>
  <si>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</si>
  <si>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</si>
  <si>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</si>
  <si>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</si>
  <si>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</si>
  <si>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</si>
  <si>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</si>
  <si>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</si>
  <si>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</si>
  <si>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</si>
  <si>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</si>
  <si>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</si>
  <si>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</si>
  <si>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</si>
  <si>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</si>
  <si>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</si>
  <si>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</si>
  <si>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</si>
  <si>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MWe</t>
  </si>
  <si>
    <t>Using NOAK values</t>
  </si>
  <si>
    <t>kg-H2/kWh-e</t>
  </si>
  <si>
    <t>Name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</si>
  <si>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</si>
  <si>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</si>
  <si>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</si>
  <si>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</si>
  <si>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</si>
  <si>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Components capacities optimization boundaries calculation</t>
  </si>
  <si>
    <t>Fixed components</t>
  </si>
  <si>
    <t>Purpose</t>
  </si>
  <si>
    <t>Capacity negative when component is consuming a resource</t>
  </si>
  <si>
    <t xml:space="preserve">Capacity  </t>
  </si>
  <si>
    <t>jet_fuel_market</t>
  </si>
  <si>
    <t>diesel_market</t>
  </si>
  <si>
    <t>naphtha_market</t>
  </si>
  <si>
    <t>CAPEX</t>
  </si>
  <si>
    <t>elec_market</t>
  </si>
  <si>
    <t>Market</t>
  </si>
  <si>
    <t>State</t>
  </si>
  <si>
    <t>State corporate income tax rate (%)</t>
  </si>
  <si>
    <t>PJM</t>
  </si>
  <si>
    <t>Illinois</t>
  </si>
  <si>
    <t>Ohio</t>
  </si>
  <si>
    <t>ERCOT</t>
  </si>
  <si>
    <t>Texas</t>
  </si>
  <si>
    <t>CAISO</t>
  </si>
  <si>
    <t>California</t>
  </si>
  <si>
    <t>MISO</t>
  </si>
  <si>
    <t>Minnesota</t>
  </si>
  <si>
    <t>SPP</t>
  </si>
  <si>
    <t>Nebraska</t>
  </si>
  <si>
    <t>Southwest, Arizona</t>
  </si>
  <si>
    <t>Arizona</t>
  </si>
  <si>
    <t>Effective tax rate</t>
  </si>
  <si>
    <t>Federal corporate tax rate</t>
  </si>
  <si>
    <t>Case name</t>
  </si>
  <si>
    <t>illinois</t>
  </si>
  <si>
    <t>ohio</t>
  </si>
  <si>
    <t>texas</t>
  </si>
  <si>
    <t>california</t>
  </si>
  <si>
    <t>minnesota</t>
  </si>
  <si>
    <t>nebraska</t>
  </si>
  <si>
    <t>arizona</t>
  </si>
  <si>
    <t>Plant</t>
  </si>
  <si>
    <t>Capacity (MWe)</t>
  </si>
  <si>
    <t>HTSE (MWe)</t>
  </si>
  <si>
    <t>Lower</t>
  </si>
  <si>
    <t>Upper</t>
  </si>
  <si>
    <t>Days FT prod. for sto max cap.</t>
  </si>
  <si>
    <t>Max elec. Price</t>
  </si>
  <si>
    <t>HTSE Steps</t>
  </si>
  <si>
    <t>Ref</t>
  </si>
  <si>
    <t>Low</t>
  </si>
  <si>
    <t>High</t>
  </si>
  <si>
    <t>H2 Storage</t>
  </si>
  <si>
    <t>Location elec. Prices</t>
  </si>
  <si>
    <t>Find Abdalla's report citation</t>
  </si>
  <si>
    <t>Med</t>
  </si>
  <si>
    <t>CAPEX ($/MWe)</t>
  </si>
  <si>
    <t>720MWe ((2020)$ USD)</t>
  </si>
  <si>
    <t>OPEX ($/MWh)</t>
  </si>
  <si>
    <t>SA Capacity</t>
  </si>
  <si>
    <t># modules</t>
  </si>
  <si>
    <t>Unit capacity (MWe)</t>
  </si>
  <si>
    <t>Total capacity (MWe)</t>
  </si>
  <si>
    <t>20MWe</t>
  </si>
  <si>
    <t>100MWe</t>
  </si>
  <si>
    <t>Ref (60MWe)</t>
  </si>
  <si>
    <t>For SA inputs</t>
  </si>
  <si>
    <t>SMR Capacity (MWe)</t>
  </si>
  <si>
    <t>ITC (%)</t>
  </si>
  <si>
    <t>PTC ($/Mwh)</t>
  </si>
  <si>
    <t>CAPEX ($/MW)</t>
  </si>
  <si>
    <t>Added revenues</t>
  </si>
  <si>
    <t>ITC</t>
  </si>
  <si>
    <t>PTC</t>
  </si>
  <si>
    <t>First 10 years of operations</t>
  </si>
  <si>
    <t>20% of total CAPEX costs</t>
  </si>
  <si>
    <t>25 $/MWh for 10 years</t>
  </si>
  <si>
    <t>Discount rate</t>
  </si>
  <si>
    <t>H2 to MWe rate</t>
  </si>
  <si>
    <t>Scale</t>
  </si>
  <si>
    <t>Scaling factor</t>
  </si>
  <si>
    <t>Alpha</t>
  </si>
  <si>
    <t>Identification</t>
  </si>
  <si>
    <t>ln(CAPEX)</t>
  </si>
  <si>
    <t>ln(driver/ref)</t>
  </si>
  <si>
    <t>Scale. (MWe, htse+MeOH comb.)</t>
  </si>
  <si>
    <t>ln(CAPEX) = ln(alpha)+x.ln(driver/ref)</t>
  </si>
  <si>
    <t xml:space="preserve">CAPEX regression </t>
  </si>
  <si>
    <t>diesel</t>
  </si>
  <si>
    <t>jet fuel</t>
  </si>
  <si>
    <t xml:space="preserve">naphtha </t>
  </si>
  <si>
    <t>naphtha</t>
  </si>
  <si>
    <t>Fuel products (kg/h)</t>
  </si>
  <si>
    <t>electricity</t>
  </si>
  <si>
    <t>electricity (MW)</t>
  </si>
  <si>
    <t>co2</t>
  </si>
  <si>
    <t xml:space="preserve">co2 </t>
  </si>
  <si>
    <t>h2</t>
  </si>
  <si>
    <t>Ratios\Scale(MWe)</t>
  </si>
  <si>
    <t>Inputs (kg/h)</t>
  </si>
  <si>
    <t>Efficiency</t>
  </si>
  <si>
    <t>Linear regressions show R2=1 so using 1000MWe values</t>
  </si>
  <si>
    <t>For variable OPEX only costs not input related</t>
  </si>
  <si>
    <t>Comments</t>
  </si>
  <si>
    <t>other</t>
  </si>
  <si>
    <t>refrigerant</t>
  </si>
  <si>
    <t>Variable OPEX ($/year)</t>
  </si>
  <si>
    <t>Fixed OPEX ($/year)</t>
  </si>
  <si>
    <t>Density (kg/L)</t>
  </si>
  <si>
    <t>l/gal</t>
  </si>
  <si>
    <t>Inflation rate 2019 to 2020</t>
  </si>
  <si>
    <t>Costs ($(2020))</t>
  </si>
  <si>
    <t>Variable OPEX ($/MWh)</t>
  </si>
  <si>
    <t>in $(2019)</t>
  </si>
  <si>
    <t>75% of refrigerant is electricity costs</t>
  </si>
  <si>
    <t>$ variable OPEX in $MWh?</t>
  </si>
  <si>
    <t>Inputs (MT/d)</t>
  </si>
  <si>
    <t>Fuel products (MT/d)</t>
  </si>
  <si>
    <t>Max MeOH electricity consumption</t>
  </si>
  <si>
    <t>MeOH Steps</t>
  </si>
  <si>
    <t>MeOH (kg-H2)</t>
  </si>
  <si>
    <t>size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</si>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</sst>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3" borderId="18" applyNumberFormat="0" applyAlignment="0" applyProtection="0"/>
  </cellStyleXfs>
  <cellXfs count="76">
    <xf numFmtId="0" fontId="0" fillId="0" borderId="0" xfId="0"/>
    <xf numFmtId="49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2" borderId="0" xfId="1"/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3" fillId="0" borderId="0" xfId="2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4" fontId="0" fillId="0" borderId="0" xfId="4" applyFont="1"/>
    <xf numFmtId="1" fontId="0" fillId="0" borderId="0" xfId="0" applyNumberFormat="1"/>
    <xf numFmtId="0" fontId="5" fillId="0" borderId="14" xfId="0" applyFont="1" applyBorder="1"/>
    <xf numFmtId="0" fontId="5" fillId="0" borderId="15" xfId="0" applyFon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5" fillId="0" borderId="0" xfId="0" applyFont="1"/>
    <xf numFmtId="0" fontId="5" fillId="0" borderId="7" xfId="0" applyFont="1" applyBorder="1"/>
    <xf numFmtId="1" fontId="0" fillId="0" borderId="14" xfId="0" applyNumberFormat="1" applyBorder="1"/>
    <xf numFmtId="1" fontId="0" fillId="0" borderId="15" xfId="0" applyNumberFormat="1" applyBorder="1"/>
    <xf numFmtId="0" fontId="2" fillId="0" borderId="4" xfId="0" applyFont="1" applyBorder="1"/>
    <xf numFmtId="0" fontId="2" fillId="0" borderId="16" xfId="0" applyFont="1" applyBorder="1"/>
    <xf numFmtId="0" fontId="2" fillId="0" borderId="9" xfId="0" applyFont="1" applyBorder="1"/>
    <xf numFmtId="1" fontId="6" fillId="3" borderId="18" xfId="5" applyNumberFormat="1"/>
    <xf numFmtId="0" fontId="6" fillId="3" borderId="18" xfId="5"/>
    <xf numFmtId="44" fontId="0" fillId="4" borderId="0" xfId="4" applyFont="1" applyFill="1"/>
    <xf numFmtId="44" fontId="0" fillId="5" borderId="0" xfId="4" applyFont="1" applyFill="1"/>
    <xf numFmtId="0" fontId="0" fillId="4" borderId="0" xfId="0" applyFill="1"/>
    <xf numFmtId="2" fontId="0" fillId="0" borderId="8" xfId="0" applyNumberFormat="1" applyBorder="1"/>
    <xf numFmtId="2" fontId="0" fillId="0" borderId="7" xfId="0" applyNumberFormat="1" applyBorder="1"/>
    <xf numFmtId="164" fontId="0" fillId="6" borderId="8" xfId="0" applyNumberFormat="1" applyFill="1" applyBorder="1"/>
    <xf numFmtId="164" fontId="0" fillId="6" borderId="7" xfId="0" applyNumberFormat="1" applyFill="1" applyBorder="1"/>
    <xf numFmtId="2" fontId="0" fillId="0" borderId="5" xfId="0" applyNumberFormat="1" applyBorder="1"/>
    <xf numFmtId="2" fontId="0" fillId="0" borderId="0" xfId="0" applyNumberFormat="1"/>
    <xf numFmtId="164" fontId="0" fillId="6" borderId="5" xfId="0" applyNumberFormat="1" applyFill="1" applyBorder="1"/>
    <xf numFmtId="164" fontId="0" fillId="6" borderId="0" xfId="0" applyNumberFormat="1" applyFill="1"/>
    <xf numFmtId="2" fontId="0" fillId="0" borderId="15" xfId="0" applyNumberFormat="1" applyBorder="1"/>
    <xf numFmtId="2" fontId="0" fillId="0" borderId="14" xfId="0" applyNumberFormat="1" applyBorder="1"/>
    <xf numFmtId="0" fontId="0" fillId="0" borderId="16" xfId="0" applyBorder="1"/>
    <xf numFmtId="0" fontId="0" fillId="0" borderId="17" xfId="0" applyBorder="1"/>
    <xf numFmtId="0" fontId="0" fillId="4" borderId="5" xfId="0" applyFill="1" applyBorder="1"/>
    <xf numFmtId="0" fontId="0" fillId="4" borderId="11" xfId="0" applyFill="1" applyBorder="1"/>
    <xf numFmtId="6" fontId="0" fillId="0" borderId="0" xfId="0" applyNumberForma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</cellXfs>
  <cellStyles count="6">
    <cellStyle name="Calculation" xfId="5" builtinId="22"/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MeOH!$D$33</c:f>
              <c:strCache>
                <c:ptCount val="1"/>
                <c:pt idx="0">
                  <c:v>ln(CAPEX)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MeOH!$C$34:$C$36</c:f>
              <c:numCache>
                <c:formatCode>General</c:formatCode>
                <c:ptCount val="3"/>
                <c:pt idx="0">
                  <c:v>-2.3025850929940455</c:v>
                </c:pt>
                <c:pt idx="1">
                  <c:v>-0.69314718055994529</c:v>
                </c:pt>
                <c:pt idx="2">
                  <c:v>0</c:v>
                </c:pt>
              </c:numCache>
            </c:numRef>
          </c:xVal>
          <c:yVal>
            <c:numRef>
              <c:f>MeOH!$D$34:$D$36</c:f>
              <c:numCache>
                <c:formatCode>General</c:formatCode>
                <c:ptCount val="3"/>
                <c:pt idx="0">
                  <c:v>18.939006744588596</c:v>
                </c:pt>
                <c:pt idx="1">
                  <c:v>19.747578800835441</c:v>
                </c:pt>
                <c:pt idx="2">
                  <c:v>20.300187874021002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B-5D47-8DDB-3FDE44831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21632"/>
        <c:axId val="712799008"/>
      </c:scatterChart>
      <c:valAx>
        <c:axId val="71282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9008"/>
        <c:crosses val="autoZero"/>
        <c:crossBetween val="midCat"/>
      </c:valAx>
      <c:valAx>
        <c:axId val="712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45</xdr:row>
      <xdr:rowOff>69850</xdr:rowOff>
    </xdr:from>
    <xdr:to>
      <xdr:col>5</xdr:col>
      <xdr:colOff>584200</xdr:colOff>
      <xdr:row>62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46EBE-B3FE-0F45-9B51-25CCF8693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rrm/FORCE/use_cases/SMR_MeOH_2023/data/HERON_data_MeOH.xlsx" TargetMode="External"/><Relationship Id="rId1" Type="http://schemas.openxmlformats.org/officeDocument/2006/relationships/externalLinkPath" Target="HERON_data_MeO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weep values"/>
      <sheetName val="MACRS"/>
      <sheetName val="MeOH"/>
      <sheetName val="MeOH_original_data"/>
      <sheetName val="HTSE"/>
      <sheetName val="Capacity_Market"/>
      <sheetName val="NPP_capacities"/>
    </sheetNames>
    <sheetDataSet>
      <sheetData sheetId="0"/>
      <sheetData sheetId="1"/>
      <sheetData sheetId="2"/>
      <sheetData sheetId="3">
        <row r="2">
          <cell r="B2">
            <v>165930266</v>
          </cell>
          <cell r="C2">
            <v>372463733</v>
          </cell>
          <cell r="D2">
            <v>647260438</v>
          </cell>
        </row>
        <row r="3">
          <cell r="B3">
            <v>11163579</v>
          </cell>
          <cell r="C3">
            <v>19726175</v>
          </cell>
          <cell r="D3">
            <v>26729306</v>
          </cell>
        </row>
        <row r="8">
          <cell r="B8">
            <v>497834</v>
          </cell>
          <cell r="C8">
            <v>2488723</v>
          </cell>
          <cell r="D8">
            <v>4978336</v>
          </cell>
        </row>
        <row r="9">
          <cell r="B9">
            <v>1997988</v>
          </cell>
          <cell r="C9">
            <v>9988155</v>
          </cell>
          <cell r="D9">
            <v>19979458</v>
          </cell>
        </row>
        <row r="18">
          <cell r="B18">
            <v>58</v>
          </cell>
          <cell r="C18">
            <v>291</v>
          </cell>
          <cell r="D18">
            <v>583</v>
          </cell>
        </row>
        <row r="19">
          <cell r="B19">
            <v>352</v>
          </cell>
          <cell r="C19">
            <v>1761</v>
          </cell>
          <cell r="D19">
            <v>3523</v>
          </cell>
        </row>
        <row r="20">
          <cell r="B20">
            <v>5.5</v>
          </cell>
          <cell r="C20">
            <v>27</v>
          </cell>
          <cell r="D20">
            <v>53</v>
          </cell>
        </row>
        <row r="22">
          <cell r="B22">
            <v>2.4</v>
          </cell>
          <cell r="C22">
            <v>12.2</v>
          </cell>
          <cell r="D22">
            <v>24.4</v>
          </cell>
        </row>
        <row r="23">
          <cell r="B23">
            <v>20.100000000000001</v>
          </cell>
          <cell r="C23">
            <v>100.3</v>
          </cell>
          <cell r="D23">
            <v>200.7</v>
          </cell>
        </row>
        <row r="24">
          <cell r="B24">
            <v>86.4</v>
          </cell>
          <cell r="C24">
            <v>431.8</v>
          </cell>
          <cell r="D24">
            <v>863.6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BA3C-274B-4147-8CC3-A303BF1014EB}">
  <dimension ref="A1:L5"/>
  <sheetViews>
    <sheetView zoomScale="120" zoomScaleNormal="120" workbookViewId="0">
      <selection activeCell="L11" sqref="L11"/>
    </sheetView>
  </sheetViews>
  <sheetFormatPr baseColWidth="10" defaultRowHeight="15" x14ac:dyDescent="0.2"/>
  <cols>
    <col min="1" max="1" width="20.33203125" bestFit="1" customWidth="1"/>
    <col min="2" max="3" width="13.6640625" bestFit="1" customWidth="1"/>
    <col min="4" max="4" width="14.6640625" bestFit="1" customWidth="1"/>
  </cols>
  <sheetData>
    <row r="1" spans="1:12" x14ac:dyDescent="0.2">
      <c r="A1" t="s">
        <v>0</v>
      </c>
      <c r="B1" t="s">
        <v>119</v>
      </c>
      <c r="G1" t="s">
        <v>124</v>
      </c>
    </row>
    <row r="2" spans="1:12" x14ac:dyDescent="0.2">
      <c r="G2" t="s">
        <v>125</v>
      </c>
      <c r="H2">
        <v>12</v>
      </c>
    </row>
    <row r="3" spans="1:12" x14ac:dyDescent="0.2">
      <c r="A3" t="s">
        <v>122</v>
      </c>
      <c r="B3" t="s">
        <v>115</v>
      </c>
      <c r="C3" t="s">
        <v>120</v>
      </c>
      <c r="D3" t="s">
        <v>116</v>
      </c>
      <c r="G3" t="s">
        <v>126</v>
      </c>
      <c r="H3">
        <v>60</v>
      </c>
      <c r="I3">
        <v>20</v>
      </c>
      <c r="J3">
        <v>40</v>
      </c>
      <c r="K3">
        <v>80</v>
      </c>
      <c r="L3">
        <v>100</v>
      </c>
    </row>
    <row r="4" spans="1:12" x14ac:dyDescent="0.2">
      <c r="A4" t="s">
        <v>121</v>
      </c>
      <c r="B4" s="25">
        <v>1802460</v>
      </c>
      <c r="C4" s="25">
        <v>5569000</v>
      </c>
      <c r="D4" s="25">
        <v>24646000</v>
      </c>
      <c r="G4" t="s">
        <v>127</v>
      </c>
      <c r="H4">
        <f>H3*$H$2</f>
        <v>720</v>
      </c>
      <c r="I4">
        <f t="shared" ref="I4:L4" si="0">I3*$H$2</f>
        <v>240</v>
      </c>
      <c r="J4">
        <f t="shared" si="0"/>
        <v>480</v>
      </c>
      <c r="K4">
        <f t="shared" si="0"/>
        <v>960</v>
      </c>
      <c r="L4">
        <f t="shared" si="0"/>
        <v>1200</v>
      </c>
    </row>
    <row r="5" spans="1:12" x14ac:dyDescent="0.2">
      <c r="A5" t="s">
        <v>123</v>
      </c>
      <c r="B5" s="25">
        <v>3.71</v>
      </c>
      <c r="C5" s="25">
        <v>23.2</v>
      </c>
      <c r="D5" s="25">
        <v>55.69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AFE3-923D-0D45-AD95-63532D278F10}">
  <dimension ref="A1:D24"/>
  <sheetViews>
    <sheetView workbookViewId="0">
      <selection activeCell="N27" sqref="N27"/>
    </sheetView>
  </sheetViews>
  <sheetFormatPr baseColWidth="10" defaultRowHeight="15" x14ac:dyDescent="0.2"/>
  <cols>
    <col min="1" max="1" width="25.83203125" bestFit="1" customWidth="1"/>
    <col min="4" max="4" width="11.1640625" bestFit="1" customWidth="1"/>
  </cols>
  <sheetData>
    <row r="1" spans="1:4" x14ac:dyDescent="0.2">
      <c r="A1" t="s">
        <v>150</v>
      </c>
      <c r="B1">
        <v>100</v>
      </c>
      <c r="C1">
        <v>500</v>
      </c>
      <c r="D1">
        <v>1000</v>
      </c>
    </row>
    <row r="2" spans="1:4" x14ac:dyDescent="0.2">
      <c r="A2" t="s">
        <v>78</v>
      </c>
      <c r="B2">
        <v>165930266</v>
      </c>
      <c r="C2">
        <v>372463733</v>
      </c>
      <c r="D2">
        <v>647260438</v>
      </c>
    </row>
    <row r="3" spans="1:4" x14ac:dyDescent="0.2">
      <c r="A3" t="s">
        <v>172</v>
      </c>
      <c r="B3">
        <v>11163579</v>
      </c>
      <c r="C3">
        <v>19726175</v>
      </c>
      <c r="D3">
        <v>26729306</v>
      </c>
    </row>
    <row r="4" spans="1:4" x14ac:dyDescent="0.2">
      <c r="A4" t="s">
        <v>177</v>
      </c>
      <c r="B4">
        <v>41496911</v>
      </c>
      <c r="C4">
        <v>195785234</v>
      </c>
      <c r="D4">
        <v>389682027</v>
      </c>
    </row>
    <row r="5" spans="1:4" x14ac:dyDescent="0.2">
      <c r="A5" t="s">
        <v>162</v>
      </c>
      <c r="B5">
        <v>33150</v>
      </c>
      <c r="C5">
        <v>154050000</v>
      </c>
      <c r="D5">
        <v>3022500000</v>
      </c>
    </row>
    <row r="6" spans="1:4" x14ac:dyDescent="0.2">
      <c r="A6" t="s">
        <v>160</v>
      </c>
      <c r="B6">
        <v>3972302</v>
      </c>
      <c r="C6">
        <v>14860183</v>
      </c>
      <c r="D6">
        <v>33686363</v>
      </c>
    </row>
    <row r="7" spans="1:4" x14ac:dyDescent="0.2">
      <c r="A7" t="s">
        <v>158</v>
      </c>
      <c r="B7">
        <v>2878787</v>
      </c>
      <c r="C7">
        <v>14398173</v>
      </c>
      <c r="D7">
        <v>28787869</v>
      </c>
    </row>
    <row r="8" spans="1:4" x14ac:dyDescent="0.2">
      <c r="A8" t="s">
        <v>170</v>
      </c>
      <c r="B8">
        <v>497834</v>
      </c>
      <c r="C8">
        <v>2488723</v>
      </c>
      <c r="D8">
        <v>4978336</v>
      </c>
    </row>
    <row r="9" spans="1:4" x14ac:dyDescent="0.2">
      <c r="A9" t="s">
        <v>169</v>
      </c>
      <c r="B9">
        <v>1997988</v>
      </c>
      <c r="C9">
        <v>9988155</v>
      </c>
      <c r="D9">
        <v>19979458</v>
      </c>
    </row>
    <row r="11" spans="1:4" x14ac:dyDescent="0.2">
      <c r="A11" s="58" t="s">
        <v>178</v>
      </c>
    </row>
    <row r="12" spans="1:4" x14ac:dyDescent="0.2">
      <c r="A12" t="s">
        <v>179</v>
      </c>
    </row>
    <row r="13" spans="1:4" x14ac:dyDescent="0.2">
      <c r="A13" t="s">
        <v>180</v>
      </c>
    </row>
    <row r="15" spans="1:4" x14ac:dyDescent="0.2">
      <c r="A15" t="s">
        <v>165</v>
      </c>
    </row>
    <row r="16" spans="1:4" x14ac:dyDescent="0.2">
      <c r="A16" t="s">
        <v>150</v>
      </c>
      <c r="B16">
        <v>100</v>
      </c>
      <c r="C16">
        <v>500</v>
      </c>
      <c r="D16">
        <v>1000</v>
      </c>
    </row>
    <row r="17" spans="1:4" x14ac:dyDescent="0.2">
      <c r="A17" t="s">
        <v>181</v>
      </c>
    </row>
    <row r="18" spans="1:4" x14ac:dyDescent="0.2">
      <c r="A18" t="s">
        <v>162</v>
      </c>
      <c r="B18">
        <v>58</v>
      </c>
      <c r="C18">
        <v>291</v>
      </c>
      <c r="D18">
        <v>583</v>
      </c>
    </row>
    <row r="19" spans="1:4" x14ac:dyDescent="0.2">
      <c r="A19" t="s">
        <v>161</v>
      </c>
      <c r="B19">
        <v>352</v>
      </c>
      <c r="C19">
        <v>1761</v>
      </c>
      <c r="D19">
        <v>3523</v>
      </c>
    </row>
    <row r="20" spans="1:4" x14ac:dyDescent="0.2">
      <c r="A20" t="s">
        <v>159</v>
      </c>
      <c r="B20">
        <v>5.5</v>
      </c>
      <c r="C20">
        <v>27</v>
      </c>
      <c r="D20">
        <v>53</v>
      </c>
    </row>
    <row r="21" spans="1:4" x14ac:dyDescent="0.2">
      <c r="A21" t="s">
        <v>182</v>
      </c>
    </row>
    <row r="22" spans="1:4" x14ac:dyDescent="0.2">
      <c r="A22" t="s">
        <v>155</v>
      </c>
      <c r="B22">
        <v>2.4</v>
      </c>
      <c r="C22">
        <v>12.2</v>
      </c>
      <c r="D22">
        <v>24.4</v>
      </c>
    </row>
    <row r="23" spans="1:4" x14ac:dyDescent="0.2">
      <c r="A23" t="s">
        <v>154</v>
      </c>
      <c r="B23">
        <v>20.100000000000001</v>
      </c>
      <c r="C23">
        <v>100.3</v>
      </c>
      <c r="D23">
        <v>200.7</v>
      </c>
    </row>
    <row r="24" spans="1:4" x14ac:dyDescent="0.2">
      <c r="A24" t="s">
        <v>153</v>
      </c>
      <c r="B24">
        <v>86.4</v>
      </c>
      <c r="C24">
        <v>431.8</v>
      </c>
      <c r="D24">
        <v>863.6</v>
      </c>
    </row>
  </sheetData>
  <sheetProtection algorithmName="SHA-512" hashValue="E5wXOZaLLrrq7SCc6l+P2ZRx9IPEuRyCimf3Z0baz1pnEGajuwEnyXDqCBaOzjtZXMtVpsqDvw4pp6yfyAXdcg==" saltValue="DJDNe6oto2IcuT0txsQDE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65</v>
      </c>
      <c r="B1" t="s">
        <v>69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68</v>
      </c>
      <c r="B8">
        <f>AVERAGE(B4:B7)</f>
        <v>120.32499999999999</v>
      </c>
    </row>
    <row r="10" spans="1:3" x14ac:dyDescent="0.2">
      <c r="A10" t="s">
        <v>67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66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E10"/>
  <sheetViews>
    <sheetView workbookViewId="0">
      <selection activeCell="I12" sqref="I12"/>
    </sheetView>
  </sheetViews>
  <sheetFormatPr baseColWidth="10" defaultRowHeight="15" x14ac:dyDescent="0.2"/>
  <cols>
    <col min="1" max="1" width="20.6640625" bestFit="1" customWidth="1"/>
  </cols>
  <sheetData>
    <row r="1" spans="1:5" x14ac:dyDescent="0.2">
      <c r="A1" s="3" t="s">
        <v>98</v>
      </c>
      <c r="B1" s="3" t="s">
        <v>80</v>
      </c>
      <c r="C1" s="3" t="s">
        <v>81</v>
      </c>
      <c r="D1" s="3" t="s">
        <v>82</v>
      </c>
      <c r="E1" s="3" t="s">
        <v>96</v>
      </c>
    </row>
    <row r="2" spans="1:5" x14ac:dyDescent="0.2">
      <c r="A2" t="s">
        <v>99</v>
      </c>
      <c r="B2" t="s">
        <v>83</v>
      </c>
      <c r="C2" t="s">
        <v>84</v>
      </c>
      <c r="D2" s="17">
        <v>9.5000000000000001E-2</v>
      </c>
      <c r="E2" s="15">
        <f>$B$10+D2*(1-$B$10)</f>
        <v>0.28505000000000003</v>
      </c>
    </row>
    <row r="3" spans="1:5" x14ac:dyDescent="0.2">
      <c r="A3" t="s">
        <v>100</v>
      </c>
      <c r="B3" t="s">
        <v>83</v>
      </c>
      <c r="C3" t="s">
        <v>85</v>
      </c>
      <c r="D3" s="17">
        <v>0</v>
      </c>
      <c r="E3" s="15">
        <f t="shared" ref="E3:E8" si="0">$B$10+D3*(1-$B$10)</f>
        <v>0.21</v>
      </c>
    </row>
    <row r="4" spans="1:5" x14ac:dyDescent="0.2">
      <c r="A4" t="s">
        <v>101</v>
      </c>
      <c r="B4" t="s">
        <v>86</v>
      </c>
      <c r="C4" t="s">
        <v>87</v>
      </c>
      <c r="D4" s="17">
        <v>0</v>
      </c>
      <c r="E4" s="15">
        <f t="shared" si="0"/>
        <v>0.21</v>
      </c>
    </row>
    <row r="5" spans="1:5" x14ac:dyDescent="0.2">
      <c r="A5" t="s">
        <v>102</v>
      </c>
      <c r="B5" t="s">
        <v>88</v>
      </c>
      <c r="C5" t="s">
        <v>89</v>
      </c>
      <c r="D5" s="17">
        <v>8.8400000000000006E-2</v>
      </c>
      <c r="E5" s="15">
        <f t="shared" si="0"/>
        <v>0.27983599999999997</v>
      </c>
    </row>
    <row r="6" spans="1:5" x14ac:dyDescent="0.2">
      <c r="A6" t="s">
        <v>103</v>
      </c>
      <c r="B6" t="s">
        <v>90</v>
      </c>
      <c r="C6" t="s">
        <v>91</v>
      </c>
      <c r="D6" s="17">
        <v>9.8000000000000004E-2</v>
      </c>
      <c r="E6" s="15">
        <f t="shared" si="0"/>
        <v>0.28742000000000001</v>
      </c>
    </row>
    <row r="7" spans="1:5" x14ac:dyDescent="0.2">
      <c r="A7" t="s">
        <v>104</v>
      </c>
      <c r="B7" t="s">
        <v>92</v>
      </c>
      <c r="C7" t="s">
        <v>93</v>
      </c>
      <c r="D7" s="17">
        <v>7.8100000000000003E-2</v>
      </c>
      <c r="E7" s="15">
        <f t="shared" si="0"/>
        <v>0.27169900000000002</v>
      </c>
    </row>
    <row r="8" spans="1:5" x14ac:dyDescent="0.2">
      <c r="A8" t="s">
        <v>105</v>
      </c>
      <c r="B8" t="s">
        <v>94</v>
      </c>
      <c r="C8" t="s">
        <v>95</v>
      </c>
      <c r="D8" s="17">
        <v>4.9000000000000002E-2</v>
      </c>
      <c r="E8" s="15">
        <f t="shared" si="0"/>
        <v>0.24870999999999999</v>
      </c>
    </row>
    <row r="9" spans="1:5" x14ac:dyDescent="0.2">
      <c r="C9" s="14"/>
    </row>
    <row r="10" spans="1:5" x14ac:dyDescent="0.2">
      <c r="A10" t="s">
        <v>97</v>
      </c>
      <c r="B10" s="16">
        <v>0.21</v>
      </c>
      <c r="C1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L62"/>
  <sheetViews>
    <sheetView topLeftCell="A27" zoomScale="120" zoomScaleNormal="120" workbookViewId="0">
      <selection activeCell="A35" sqref="A35:A39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72</v>
      </c>
      <c r="B1" t="s">
        <v>70</v>
      </c>
    </row>
    <row r="2" spans="1:8" x14ac:dyDescent="0.2">
      <c r="A2" t="s">
        <v>65</v>
      </c>
      <c r="B2" t="s">
        <v>73</v>
      </c>
    </row>
    <row r="3" spans="1:8" x14ac:dyDescent="0.2">
      <c r="A3" t="s">
        <v>71</v>
      </c>
    </row>
    <row r="4" spans="1:8" x14ac:dyDescent="0.2">
      <c r="A4" t="s">
        <v>64</v>
      </c>
      <c r="B4" t="s">
        <v>74</v>
      </c>
      <c r="C4" t="s">
        <v>28</v>
      </c>
    </row>
    <row r="5" spans="1:8" x14ac:dyDescent="0.2">
      <c r="A5" t="s">
        <v>183</v>
      </c>
      <c r="B5">
        <v>53</v>
      </c>
      <c r="C5" t="s">
        <v>61</v>
      </c>
    </row>
    <row r="6" spans="1:8" x14ac:dyDescent="0.2">
      <c r="A6" t="s">
        <v>79</v>
      </c>
      <c r="B6" s="2">
        <v>-9.9999999999999997E+199</v>
      </c>
      <c r="C6" t="s">
        <v>61</v>
      </c>
    </row>
    <row r="7" spans="1:8" x14ac:dyDescent="0.2">
      <c r="A7" t="s">
        <v>75</v>
      </c>
      <c r="B7" s="2">
        <v>-9.9999999999999997E+199</v>
      </c>
      <c r="C7" t="s">
        <v>61</v>
      </c>
    </row>
    <row r="8" spans="1:8" x14ac:dyDescent="0.2">
      <c r="A8" t="s">
        <v>76</v>
      </c>
      <c r="B8" s="2">
        <v>-9.9999999999999997E+199</v>
      </c>
      <c r="C8" t="s">
        <v>61</v>
      </c>
    </row>
    <row r="9" spans="1:8" x14ac:dyDescent="0.2">
      <c r="A9" t="s">
        <v>77</v>
      </c>
      <c r="B9" s="2">
        <v>-9.9999999999999997E+199</v>
      </c>
      <c r="C9" t="s">
        <v>61</v>
      </c>
    </row>
    <row r="10" spans="1:8" x14ac:dyDescent="0.2">
      <c r="B10" s="2"/>
    </row>
    <row r="11" spans="1:8" ht="16" thickBot="1" x14ac:dyDescent="0.25"/>
    <row r="12" spans="1:8" x14ac:dyDescent="0.2">
      <c r="A12" s="61" t="s">
        <v>106</v>
      </c>
      <c r="B12" s="63" t="s">
        <v>107</v>
      </c>
      <c r="C12" s="59" t="s">
        <v>108</v>
      </c>
      <c r="D12" s="59"/>
      <c r="E12" s="59" t="s">
        <v>185</v>
      </c>
      <c r="F12" s="60"/>
      <c r="G12" s="65"/>
      <c r="H12" s="65"/>
    </row>
    <row r="13" spans="1:8" x14ac:dyDescent="0.2">
      <c r="A13" s="62"/>
      <c r="B13" s="64"/>
      <c r="C13" t="s">
        <v>109</v>
      </c>
      <c r="D13" t="s">
        <v>110</v>
      </c>
      <c r="E13" t="s">
        <v>109</v>
      </c>
      <c r="F13" s="10" t="s">
        <v>110</v>
      </c>
    </row>
    <row r="14" spans="1:8" x14ac:dyDescent="0.2">
      <c r="A14" s="9" t="s">
        <v>114</v>
      </c>
      <c r="B14">
        <v>720</v>
      </c>
      <c r="C14">
        <f>MAX(-B14+$B$5, -1000+$B$5)</f>
        <v>-667</v>
      </c>
      <c r="D14">
        <f>-100+$B$5</f>
        <v>-47</v>
      </c>
      <c r="E14">
        <f>C14*25.13</f>
        <v>-16761.71</v>
      </c>
      <c r="F14" s="10">
        <f>D14*25.13</f>
        <v>-1181.1099999999999</v>
      </c>
    </row>
    <row r="15" spans="1:8" x14ac:dyDescent="0.2">
      <c r="A15" s="9" t="s">
        <v>128</v>
      </c>
      <c r="B15">
        <v>240</v>
      </c>
      <c r="C15">
        <f t="shared" ref="C15:C16" si="0">MAX(-B15+$B$5, -1000+$B$5)</f>
        <v>-187</v>
      </c>
      <c r="D15">
        <f t="shared" ref="D15:D16" si="1">-100+$B$5</f>
        <v>-47</v>
      </c>
      <c r="E15">
        <f t="shared" ref="E15:F15" si="2">C15*25.13</f>
        <v>-4699.3099999999995</v>
      </c>
      <c r="F15" s="10">
        <f t="shared" si="2"/>
        <v>-1181.1099999999999</v>
      </c>
    </row>
    <row r="16" spans="1:8" ht="16" thickBot="1" x14ac:dyDescent="0.25">
      <c r="A16" s="11" t="s">
        <v>129</v>
      </c>
      <c r="B16" s="18">
        <v>1200</v>
      </c>
      <c r="C16" s="18">
        <f t="shared" si="0"/>
        <v>-947</v>
      </c>
      <c r="D16" s="18">
        <f t="shared" si="1"/>
        <v>-47</v>
      </c>
      <c r="E16" s="18">
        <f t="shared" ref="E16" si="3">C16*25.13</f>
        <v>-23798.11</v>
      </c>
      <c r="F16" s="13">
        <f t="shared" ref="F16" si="4">D16*25.13</f>
        <v>-1181.1099999999999</v>
      </c>
    </row>
    <row r="18" spans="1:12" ht="16" x14ac:dyDescent="0.2">
      <c r="A18" s="40" t="s">
        <v>131</v>
      </c>
    </row>
    <row r="19" spans="1:12" ht="16" thickBot="1" x14ac:dyDescent="0.25"/>
    <row r="20" spans="1:12" ht="16" thickBot="1" x14ac:dyDescent="0.25">
      <c r="A20" s="66" t="s">
        <v>113</v>
      </c>
      <c r="B20" s="67"/>
      <c r="C20" s="67"/>
      <c r="D20" s="67"/>
      <c r="E20" s="67"/>
      <c r="F20" s="67"/>
      <c r="G20" s="67"/>
      <c r="H20" s="67"/>
      <c r="I20" s="67"/>
      <c r="J20" s="67"/>
      <c r="K20" s="68"/>
    </row>
    <row r="21" spans="1:12" x14ac:dyDescent="0.2">
      <c r="A21" s="36" t="s">
        <v>106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 s="10">
        <v>9</v>
      </c>
    </row>
    <row r="22" spans="1:12" ht="16" x14ac:dyDescent="0.2">
      <c r="A22" s="9" t="str">
        <f>A14</f>
        <v>Ref</v>
      </c>
      <c r="B22" s="39">
        <f>$C14+B$21*ABS($C14-$D14)/9</f>
        <v>-667</v>
      </c>
      <c r="C22" s="26">
        <f>$C14+C$21*ABS($C14-$D14)/9</f>
        <v>-598.11111111111109</v>
      </c>
      <c r="D22" s="39">
        <f>$C14+D$21*ABS($C14-$D14)/9</f>
        <v>-529.22222222222217</v>
      </c>
      <c r="E22" s="26">
        <f>$C14+E$21*ABS($C14-$D14)/9</f>
        <v>-460.33333333333337</v>
      </c>
      <c r="F22" s="39">
        <f>$C14+F$21*ABS($C14-$D14)/9</f>
        <v>-391.44444444444446</v>
      </c>
      <c r="G22" s="26">
        <f>$C14+G$21*ABS($C14-$D14)/9</f>
        <v>-322.55555555555554</v>
      </c>
      <c r="H22" s="39">
        <f>$C14+H$21*ABS($C14-$D14)/9</f>
        <v>-253.66666666666669</v>
      </c>
      <c r="I22" s="26">
        <f>$C14+I$21*ABS($C14-$D14)/9</f>
        <v>-184.77777777777777</v>
      </c>
      <c r="J22" s="39">
        <f>$C14+J$21*ABS($C14-$D14)/9</f>
        <v>-115.88888888888891</v>
      </c>
      <c r="K22" s="29">
        <f>$C14+K$21*ABS($C14-$D14)/9</f>
        <v>-47</v>
      </c>
    </row>
    <row r="23" spans="1:12" ht="16" x14ac:dyDescent="0.2">
      <c r="A23" s="9" t="str">
        <f>A15</f>
        <v>20MWe</v>
      </c>
      <c r="B23" s="39">
        <f>$C15+B$21*ABS($C15-$D15)/9</f>
        <v>-187</v>
      </c>
      <c r="C23" s="26">
        <f>$C15+C$21*ABS($C15-$D15)/9</f>
        <v>-171.44444444444446</v>
      </c>
      <c r="D23" s="39">
        <f>$C15+D$21*ABS($C15-$D15)/9</f>
        <v>-155.88888888888889</v>
      </c>
      <c r="E23" s="26">
        <f>$C15+E$21*ABS($C15-$D15)/9</f>
        <v>-140.33333333333334</v>
      </c>
      <c r="F23" s="39">
        <f>$C15+F$21*ABS($C15-$D15)/9</f>
        <v>-124.77777777777777</v>
      </c>
      <c r="G23" s="26">
        <f>$C15+G$21*ABS($C15-$D15)/9</f>
        <v>-109.22222222222223</v>
      </c>
      <c r="H23" s="39">
        <f>$C15+H$21*ABS($C15-$D15)/9</f>
        <v>-93.666666666666671</v>
      </c>
      <c r="I23" s="26">
        <f>$C15+I$21*ABS($C15-$D15)/9</f>
        <v>-78.111111111111114</v>
      </c>
      <c r="J23" s="39">
        <f>$C15+J$21*ABS($C15-$D15)/9</f>
        <v>-62.555555555555557</v>
      </c>
      <c r="K23" s="29">
        <f>$C15+K$21*ABS($C15-$D15)/9</f>
        <v>-47</v>
      </c>
    </row>
    <row r="24" spans="1:12" ht="17" thickBot="1" x14ac:dyDescent="0.25">
      <c r="A24" s="11" t="str">
        <f>A16</f>
        <v>100MWe</v>
      </c>
      <c r="B24" s="39">
        <f>$C16+B$21*ABS($C16-$D16)/9</f>
        <v>-947</v>
      </c>
      <c r="C24" s="30">
        <f>$C16+C$21*ABS($C16-$D16)/9</f>
        <v>-847</v>
      </c>
      <c r="D24" s="39">
        <f>$C16+D$21*ABS($C16-$D16)/9</f>
        <v>-747</v>
      </c>
      <c r="E24" s="30">
        <f>$C16+E$21*ABS($C16-$D16)/9</f>
        <v>-647</v>
      </c>
      <c r="F24" s="39">
        <f>$C16+F$21*ABS($C16-$D16)/9</f>
        <v>-547</v>
      </c>
      <c r="G24" s="30">
        <f>$C16+G$21*ABS($C16-$D16)/9</f>
        <v>-447</v>
      </c>
      <c r="H24" s="39">
        <f>$C16+H$21*ABS($C16-$D16)/9</f>
        <v>-347</v>
      </c>
      <c r="I24" s="30">
        <f>$C16+I$21*ABS($C16-$D16)/9</f>
        <v>-247</v>
      </c>
      <c r="J24" s="39">
        <f>$C16+J$21*ABS($C16-$D16)/9</f>
        <v>-147</v>
      </c>
      <c r="K24" s="31">
        <f>$C16+K$21*ABS($C16-$D16)/9</f>
        <v>-47</v>
      </c>
    </row>
    <row r="25" spans="1:12" ht="16" thickBot="1" x14ac:dyDescent="0.25"/>
    <row r="26" spans="1:12" ht="16" thickBot="1" x14ac:dyDescent="0.25">
      <c r="A26" s="66" t="s">
        <v>184</v>
      </c>
      <c r="B26" s="67"/>
      <c r="C26" s="67"/>
      <c r="D26" s="67"/>
      <c r="E26" s="67"/>
      <c r="F26" s="67"/>
      <c r="G26" s="67"/>
      <c r="H26" s="67"/>
      <c r="I26" s="67"/>
      <c r="J26" s="67"/>
      <c r="K26" s="68"/>
    </row>
    <row r="27" spans="1:12" x14ac:dyDescent="0.2">
      <c r="A27" s="36" t="s">
        <v>106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 s="10">
        <v>9</v>
      </c>
    </row>
    <row r="28" spans="1:12" ht="16" x14ac:dyDescent="0.2">
      <c r="A28" s="9" t="str">
        <f>A14</f>
        <v>Ref</v>
      </c>
      <c r="B28" s="39">
        <f>$E14+B$27*ABS($E14-$F14)/9</f>
        <v>-16761.71</v>
      </c>
      <c r="C28" s="26">
        <f>$E14+C$27*ABS($E14-$F14)/9</f>
        <v>-15030.532222222222</v>
      </c>
      <c r="D28" s="39">
        <f>$E14+D$27*ABS($E14-$F14)/9</f>
        <v>-13299.354444444443</v>
      </c>
      <c r="E28" s="26">
        <f>$E14+E$27*ABS($E14-$F14)/9</f>
        <v>-11568.176666666666</v>
      </c>
      <c r="F28" s="39">
        <f>$E14+F$27*ABS($E14-$F14)/9</f>
        <v>-9836.9988888888874</v>
      </c>
      <c r="G28" s="26">
        <f>$E14+G$27*ABS($E14-$F14)/9</f>
        <v>-8105.8211111111104</v>
      </c>
      <c r="H28" s="39">
        <f>$E14+H$27*ABS($E14-$F14)/9</f>
        <v>-6374.6433333333334</v>
      </c>
      <c r="I28" s="26">
        <f>$E14+I$27*ABS($E14-$F14)/9</f>
        <v>-4643.4655555555564</v>
      </c>
      <c r="J28" s="39">
        <f>$E14+J$27*ABS($E14-$F14)/9</f>
        <v>-2912.2877777777776</v>
      </c>
      <c r="K28" s="29">
        <f>$E14+K$27*ABS($E14-$F14)/9</f>
        <v>-1181.1100000000006</v>
      </c>
    </row>
    <row r="29" spans="1:12" ht="16" x14ac:dyDescent="0.2">
      <c r="A29" s="9" t="str">
        <f>A15</f>
        <v>20MWe</v>
      </c>
      <c r="B29" s="39">
        <f>$E15+B$27*ABS($E15-$F15)/9</f>
        <v>-4699.3099999999995</v>
      </c>
      <c r="C29" s="26">
        <f>$E15+C$27*ABS($E15-$F15)/9</f>
        <v>-4308.398888888888</v>
      </c>
      <c r="D29" s="39">
        <f>$E15+D$27*ABS($E15-$F15)/9</f>
        <v>-3917.4877777777774</v>
      </c>
      <c r="E29" s="26">
        <f>$E15+E$27*ABS($E15-$F15)/9</f>
        <v>-3526.5766666666664</v>
      </c>
      <c r="F29" s="39">
        <f>$E15+F$27*ABS($E15-$F15)/9</f>
        <v>-3135.6655555555553</v>
      </c>
      <c r="G29" s="26">
        <f>$E15+G$27*ABS($E15-$F15)/9</f>
        <v>-2744.7544444444438</v>
      </c>
      <c r="H29" s="39">
        <f>$E15+H$27*ABS($E15-$F15)/9</f>
        <v>-2353.8433333333332</v>
      </c>
      <c r="I29" s="26">
        <f>$E15+I$27*ABS($E15-$F15)/9</f>
        <v>-1962.9322222222218</v>
      </c>
      <c r="J29" s="39">
        <f>$E15+J$27*ABS($E15-$F15)/9</f>
        <v>-1572.0211111111107</v>
      </c>
      <c r="K29" s="29">
        <f>$E15+K$27*ABS($E15-$F15)/9</f>
        <v>-1181.1099999999997</v>
      </c>
      <c r="L29" s="26"/>
    </row>
    <row r="30" spans="1:12" ht="17" thickBot="1" x14ac:dyDescent="0.25">
      <c r="A30" s="11" t="str">
        <f>A16</f>
        <v>100MWe</v>
      </c>
      <c r="B30" s="39">
        <f>$E16+B$27*ABS($E16-$F16)/9</f>
        <v>-23798.11</v>
      </c>
      <c r="C30" s="30">
        <f>$E16+C$27*ABS($E16-$F16)/9</f>
        <v>-21285.11</v>
      </c>
      <c r="D30" s="39">
        <f>$E16+D$27*ABS($E16-$F16)/9</f>
        <v>-18772.11</v>
      </c>
      <c r="E30" s="30">
        <f>$E16+E$27*ABS($E16-$F16)/9</f>
        <v>-16259.11</v>
      </c>
      <c r="F30" s="39">
        <f>$E16+F$27*ABS($E16-$F16)/9</f>
        <v>-13746.11</v>
      </c>
      <c r="G30" s="30">
        <f>$E16+G$27*ABS($E16-$F16)/9</f>
        <v>-11233.11</v>
      </c>
      <c r="H30" s="39">
        <f>$E16+H$27*ABS($E16-$F16)/9</f>
        <v>-8720.11</v>
      </c>
      <c r="I30" s="30">
        <f>$E16+I$27*ABS($E16-$F16)/9</f>
        <v>-6207.1100000000006</v>
      </c>
      <c r="J30" s="39">
        <f>$E16+J$27*ABS($E16-$F16)/9</f>
        <v>-3694.1100000000006</v>
      </c>
      <c r="K30" s="31">
        <f>$E16+K$27*ABS($E16-$F16)/9</f>
        <v>-1181.1100000000006</v>
      </c>
    </row>
    <row r="31" spans="1:12" x14ac:dyDescent="0.2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2" ht="16" thickBot="1" x14ac:dyDescent="0.25">
      <c r="J32" s="74"/>
      <c r="K32" s="74"/>
      <c r="L32" s="74"/>
    </row>
    <row r="33" spans="1:12" ht="16" thickBot="1" x14ac:dyDescent="0.25">
      <c r="A33" s="38" t="s">
        <v>117</v>
      </c>
      <c r="B33" s="24"/>
      <c r="C33" s="24"/>
      <c r="D33" s="69" t="str">
        <f>A14</f>
        <v>Ref</v>
      </c>
      <c r="E33" s="60"/>
      <c r="F33" s="69" t="str">
        <f>A15</f>
        <v>20MWe</v>
      </c>
      <c r="G33" s="60"/>
      <c r="H33" s="69" t="str">
        <f>A30</f>
        <v>100MWe</v>
      </c>
      <c r="I33" s="60"/>
      <c r="J33" s="75"/>
      <c r="K33" s="75"/>
      <c r="L33" s="74"/>
    </row>
    <row r="34" spans="1:12" ht="16" thickBot="1" x14ac:dyDescent="0.25">
      <c r="A34" s="11" t="s">
        <v>118</v>
      </c>
      <c r="B34" s="33" t="s">
        <v>111</v>
      </c>
      <c r="C34" s="33" t="s">
        <v>112</v>
      </c>
      <c r="D34" s="11" t="s">
        <v>109</v>
      </c>
      <c r="E34" s="13" t="s">
        <v>110</v>
      </c>
      <c r="F34" s="11" t="s">
        <v>109</v>
      </c>
      <c r="G34" s="13" t="s">
        <v>110</v>
      </c>
      <c r="H34" s="11" t="s">
        <v>109</v>
      </c>
      <c r="I34" s="13" t="s">
        <v>110</v>
      </c>
      <c r="J34" s="74"/>
      <c r="K34" s="74"/>
      <c r="L34" s="74"/>
    </row>
    <row r="35" spans="1:12" x14ac:dyDescent="0.2">
      <c r="A35" s="9" t="s">
        <v>99</v>
      </c>
      <c r="B35" s="32">
        <f t="shared" ref="B35:B37" si="5">ROUNDUP(C35*$B$39/$C$39,0)</f>
        <v>2</v>
      </c>
      <c r="C35" s="32">
        <v>934</v>
      </c>
      <c r="D35">
        <v>0</v>
      </c>
      <c r="E35" s="26">
        <f>ABS($E$14)*24*B35</f>
        <v>804562.08</v>
      </c>
      <c r="F35" s="26">
        <v>0</v>
      </c>
      <c r="G35" s="26">
        <f>ABS($E$15)*24*$B35</f>
        <v>225566.87999999998</v>
      </c>
      <c r="H35">
        <v>0</v>
      </c>
      <c r="I35" s="73">
        <f>ABS($E$16*24*$B35)</f>
        <v>1142309.28</v>
      </c>
      <c r="J35" s="73"/>
      <c r="K35" s="73"/>
      <c r="L35" s="74"/>
    </row>
    <row r="36" spans="1:12" x14ac:dyDescent="0.2">
      <c r="A36" s="9" t="s">
        <v>104</v>
      </c>
      <c r="B36" s="32">
        <f t="shared" si="5"/>
        <v>7</v>
      </c>
      <c r="C36" s="32">
        <v>4231</v>
      </c>
      <c r="D36">
        <v>0</v>
      </c>
      <c r="E36" s="26">
        <f>ABS($E$14)*24*B36</f>
        <v>2815967.28</v>
      </c>
      <c r="F36" s="26">
        <v>0</v>
      </c>
      <c r="G36" s="26">
        <f t="shared" ref="G36:G39" si="6">ABS($E$15)*24*$B36</f>
        <v>789484.08</v>
      </c>
      <c r="H36">
        <v>0</v>
      </c>
      <c r="I36" s="73">
        <f t="shared" ref="I36:M39" si="7">ABS($E$16*24*$B36)</f>
        <v>3998082.48</v>
      </c>
      <c r="J36" s="73"/>
      <c r="K36" s="73"/>
      <c r="L36" s="74"/>
    </row>
    <row r="37" spans="1:12" x14ac:dyDescent="0.2">
      <c r="A37" s="9" t="s">
        <v>100</v>
      </c>
      <c r="B37" s="32">
        <f t="shared" si="5"/>
        <v>2</v>
      </c>
      <c r="C37" s="32">
        <v>934</v>
      </c>
      <c r="D37">
        <v>0</v>
      </c>
      <c r="E37" s="26">
        <f>ABS($E$14)*24*B37</f>
        <v>804562.08</v>
      </c>
      <c r="F37" s="26">
        <v>0</v>
      </c>
      <c r="G37" s="26">
        <f t="shared" si="6"/>
        <v>225566.87999999998</v>
      </c>
      <c r="H37">
        <v>0</v>
      </c>
      <c r="I37" s="73">
        <f t="shared" si="7"/>
        <v>1142309.28</v>
      </c>
      <c r="J37" s="73"/>
      <c r="K37" s="73"/>
      <c r="L37" s="74"/>
    </row>
    <row r="38" spans="1:12" x14ac:dyDescent="0.2">
      <c r="A38" s="9" t="s">
        <v>103</v>
      </c>
      <c r="B38" s="32">
        <f>ROUNDUP(C38*$B$39/$C$39,0)</f>
        <v>1</v>
      </c>
      <c r="C38" s="32">
        <v>97</v>
      </c>
      <c r="D38">
        <v>0</v>
      </c>
      <c r="E38" s="26">
        <f>ABS($E$14)*24*B38</f>
        <v>402281.04</v>
      </c>
      <c r="F38" s="26">
        <v>0</v>
      </c>
      <c r="G38" s="26">
        <f t="shared" si="6"/>
        <v>112783.43999999999</v>
      </c>
      <c r="H38">
        <v>0</v>
      </c>
      <c r="I38" s="73">
        <f t="shared" si="7"/>
        <v>571154.64</v>
      </c>
      <c r="J38" s="73"/>
      <c r="K38" s="73"/>
      <c r="L38" s="74"/>
    </row>
    <row r="39" spans="1:12" ht="16" thickBot="1" x14ac:dyDescent="0.25">
      <c r="A39" s="11" t="s">
        <v>101</v>
      </c>
      <c r="B39" s="33">
        <v>14</v>
      </c>
      <c r="C39" s="33">
        <v>8997</v>
      </c>
      <c r="D39" s="18">
        <v>0</v>
      </c>
      <c r="E39" s="30">
        <f>ABS($E$14)*24*B39</f>
        <v>5631934.5599999996</v>
      </c>
      <c r="F39" s="30">
        <v>0</v>
      </c>
      <c r="G39" s="30">
        <f t="shared" si="6"/>
        <v>1578968.16</v>
      </c>
      <c r="H39" s="18">
        <v>0</v>
      </c>
      <c r="I39" s="30">
        <f t="shared" si="7"/>
        <v>7996164.96</v>
      </c>
      <c r="J39" s="73"/>
      <c r="K39" s="73"/>
      <c r="L39" s="74"/>
    </row>
    <row r="40" spans="1:12" ht="16" thickBot="1" x14ac:dyDescent="0.25"/>
    <row r="41" spans="1:12" x14ac:dyDescent="0.2">
      <c r="A41" s="37" t="s">
        <v>130</v>
      </c>
      <c r="B41" s="24">
        <v>0</v>
      </c>
      <c r="C41" s="27">
        <v>1</v>
      </c>
      <c r="D41" s="24">
        <v>2</v>
      </c>
      <c r="E41" s="27">
        <v>3</v>
      </c>
      <c r="F41" s="24">
        <v>4</v>
      </c>
      <c r="G41" s="27">
        <v>5</v>
      </c>
      <c r="H41" s="24">
        <v>6</v>
      </c>
      <c r="I41" s="27">
        <v>7</v>
      </c>
      <c r="J41" s="24">
        <v>8</v>
      </c>
      <c r="K41" s="28">
        <v>9</v>
      </c>
    </row>
    <row r="42" spans="1:12" x14ac:dyDescent="0.2">
      <c r="A42" s="9" t="str">
        <f>A35</f>
        <v>illinois</v>
      </c>
      <c r="B42" s="26">
        <f>$D35+B$41*ABS($E35-$D35)/9</f>
        <v>0</v>
      </c>
      <c r="C42" s="26">
        <f>$D35+C$41*ABS($E35-$D35)/9</f>
        <v>89395.786666666667</v>
      </c>
      <c r="D42" s="26">
        <f t="shared" ref="D42:K42" si="8">$D35+D$41*ABS($E35-$D35)/9</f>
        <v>178791.57333333333</v>
      </c>
      <c r="E42" s="26">
        <f t="shared" si="8"/>
        <v>268187.36</v>
      </c>
      <c r="F42" s="26">
        <f t="shared" si="8"/>
        <v>357583.14666666667</v>
      </c>
      <c r="G42" s="26">
        <f t="shared" si="8"/>
        <v>446978.93333333335</v>
      </c>
      <c r="H42" s="26">
        <f t="shared" si="8"/>
        <v>536374.72</v>
      </c>
      <c r="I42" s="26">
        <f t="shared" si="8"/>
        <v>625770.5066666666</v>
      </c>
      <c r="J42" s="26">
        <f t="shared" si="8"/>
        <v>715166.29333333333</v>
      </c>
      <c r="K42" s="29">
        <f t="shared" si="8"/>
        <v>804562.08</v>
      </c>
    </row>
    <row r="43" spans="1:12" x14ac:dyDescent="0.2">
      <c r="A43" s="9" t="str">
        <f t="shared" ref="A43:A46" si="9">A36</f>
        <v>nebraska</v>
      </c>
      <c r="B43" s="26">
        <f t="shared" ref="B43:K46" si="10">$D36+B$41*ABS($E36-$D36)/9</f>
        <v>0</v>
      </c>
      <c r="C43" s="26">
        <f t="shared" si="10"/>
        <v>312885.2533333333</v>
      </c>
      <c r="D43" s="26">
        <f t="shared" si="10"/>
        <v>625770.5066666666</v>
      </c>
      <c r="E43" s="26">
        <f t="shared" si="10"/>
        <v>938655.76</v>
      </c>
      <c r="F43" s="26">
        <f t="shared" si="10"/>
        <v>1251541.0133333332</v>
      </c>
      <c r="G43" s="26">
        <f t="shared" si="10"/>
        <v>1564426.2666666666</v>
      </c>
      <c r="H43" s="26">
        <f t="shared" si="10"/>
        <v>1877311.52</v>
      </c>
      <c r="I43" s="26">
        <f t="shared" si="10"/>
        <v>2190196.773333333</v>
      </c>
      <c r="J43" s="26">
        <f t="shared" si="10"/>
        <v>2503082.0266666664</v>
      </c>
      <c r="K43" s="29">
        <f t="shared" si="10"/>
        <v>2815967.28</v>
      </c>
    </row>
    <row r="44" spans="1:12" x14ac:dyDescent="0.2">
      <c r="A44" s="9" t="str">
        <f t="shared" si="9"/>
        <v>ohio</v>
      </c>
      <c r="B44" s="26">
        <f t="shared" si="10"/>
        <v>0</v>
      </c>
      <c r="C44" s="26">
        <f t="shared" si="10"/>
        <v>89395.786666666667</v>
      </c>
      <c r="D44" s="26">
        <f t="shared" si="10"/>
        <v>178791.57333333333</v>
      </c>
      <c r="E44" s="26">
        <f t="shared" si="10"/>
        <v>268187.36</v>
      </c>
      <c r="F44" s="26">
        <f t="shared" si="10"/>
        <v>357583.14666666667</v>
      </c>
      <c r="G44" s="26">
        <f t="shared" si="10"/>
        <v>446978.93333333335</v>
      </c>
      <c r="H44" s="26">
        <f t="shared" si="10"/>
        <v>536374.72</v>
      </c>
      <c r="I44" s="26">
        <f t="shared" si="10"/>
        <v>625770.5066666666</v>
      </c>
      <c r="J44" s="26">
        <f t="shared" si="10"/>
        <v>715166.29333333333</v>
      </c>
      <c r="K44" s="29">
        <f t="shared" si="10"/>
        <v>804562.08</v>
      </c>
    </row>
    <row r="45" spans="1:12" x14ac:dyDescent="0.2">
      <c r="A45" s="9" t="str">
        <f t="shared" si="9"/>
        <v>minnesota</v>
      </c>
      <c r="B45" s="26">
        <f>$D38+B$41*ABS($E38-$D38)/9</f>
        <v>0</v>
      </c>
      <c r="C45" s="26">
        <f t="shared" si="10"/>
        <v>44697.893333333333</v>
      </c>
      <c r="D45" s="26">
        <f t="shared" si="10"/>
        <v>89395.786666666667</v>
      </c>
      <c r="E45" s="26">
        <f t="shared" si="10"/>
        <v>134093.68</v>
      </c>
      <c r="F45" s="26">
        <f t="shared" si="10"/>
        <v>178791.57333333333</v>
      </c>
      <c r="G45" s="26">
        <f t="shared" si="10"/>
        <v>223489.46666666667</v>
      </c>
      <c r="H45" s="26">
        <f t="shared" si="10"/>
        <v>268187.36</v>
      </c>
      <c r="I45" s="26">
        <f t="shared" si="10"/>
        <v>312885.2533333333</v>
      </c>
      <c r="J45" s="26">
        <f t="shared" si="10"/>
        <v>357583.14666666667</v>
      </c>
      <c r="K45" s="29">
        <f t="shared" si="10"/>
        <v>402281.04</v>
      </c>
    </row>
    <row r="46" spans="1:12" ht="16" thickBot="1" x14ac:dyDescent="0.25">
      <c r="A46" s="11" t="str">
        <f t="shared" si="9"/>
        <v>texas</v>
      </c>
      <c r="B46" s="30">
        <f t="shared" si="10"/>
        <v>0</v>
      </c>
      <c r="C46" s="30">
        <f>$D39+C$41*ABS($E39-$D39)/9</f>
        <v>625770.5066666666</v>
      </c>
      <c r="D46" s="30">
        <f t="shared" si="10"/>
        <v>1251541.0133333332</v>
      </c>
      <c r="E46" s="30">
        <f t="shared" si="10"/>
        <v>1877311.52</v>
      </c>
      <c r="F46" s="30">
        <f t="shared" si="10"/>
        <v>2503082.0266666664</v>
      </c>
      <c r="G46" s="30">
        <f t="shared" si="10"/>
        <v>3128852.5333333332</v>
      </c>
      <c r="H46" s="30">
        <f t="shared" si="10"/>
        <v>3754623.04</v>
      </c>
      <c r="I46" s="30">
        <f t="shared" si="10"/>
        <v>4380393.5466666659</v>
      </c>
      <c r="J46" s="30">
        <f t="shared" si="10"/>
        <v>5006164.0533333328</v>
      </c>
      <c r="K46" s="31">
        <f t="shared" si="10"/>
        <v>5631934.5599999996</v>
      </c>
    </row>
    <row r="47" spans="1:12" ht="16" thickBot="1" x14ac:dyDescent="0.25"/>
    <row r="48" spans="1:12" x14ac:dyDescent="0.2">
      <c r="A48" s="37" t="str">
        <f>F33</f>
        <v>20MWe</v>
      </c>
      <c r="B48" s="24">
        <v>0</v>
      </c>
      <c r="C48" s="27">
        <v>1</v>
      </c>
      <c r="D48" s="24">
        <v>2</v>
      </c>
      <c r="E48" s="27">
        <v>3</v>
      </c>
      <c r="F48" s="24">
        <v>4</v>
      </c>
      <c r="G48" s="27">
        <v>5</v>
      </c>
      <c r="H48" s="24">
        <v>6</v>
      </c>
      <c r="I48" s="27">
        <v>7</v>
      </c>
      <c r="J48" s="24">
        <v>8</v>
      </c>
      <c r="K48" s="28">
        <v>9</v>
      </c>
    </row>
    <row r="49" spans="1:11" ht="16" x14ac:dyDescent="0.2">
      <c r="A49" s="9" t="str">
        <f>A42</f>
        <v>illinois</v>
      </c>
      <c r="B49" s="39">
        <f>$F35+B$41*ABS($G35-$F35)/9</f>
        <v>0</v>
      </c>
      <c r="C49" s="26">
        <f>$F35+C$41*ABS($G35-$F35)/9</f>
        <v>25062.986666666664</v>
      </c>
      <c r="D49" s="39">
        <f t="shared" ref="D49:K49" si="11">$F35+D$41*ABS($G35-$F35)/9</f>
        <v>50125.973333333328</v>
      </c>
      <c r="E49" s="26">
        <f t="shared" si="11"/>
        <v>75188.959999999992</v>
      </c>
      <c r="F49" s="39">
        <f t="shared" si="11"/>
        <v>100251.94666666666</v>
      </c>
      <c r="G49" s="26">
        <f t="shared" si="11"/>
        <v>125314.93333333332</v>
      </c>
      <c r="H49" s="39">
        <f t="shared" si="11"/>
        <v>150377.91999999998</v>
      </c>
      <c r="I49" s="26">
        <f t="shared" si="11"/>
        <v>175440.90666666665</v>
      </c>
      <c r="J49" s="39">
        <f t="shared" si="11"/>
        <v>200503.89333333331</v>
      </c>
      <c r="K49" s="29">
        <f t="shared" si="11"/>
        <v>225566.87999999998</v>
      </c>
    </row>
    <row r="50" spans="1:11" ht="16" x14ac:dyDescent="0.2">
      <c r="A50" s="9" t="str">
        <f t="shared" ref="A50:A53" si="12">A43</f>
        <v>nebraska</v>
      </c>
      <c r="B50" s="39">
        <f t="shared" ref="B50:K53" si="13">$F36+B$41*ABS($G36-$F36)/9</f>
        <v>0</v>
      </c>
      <c r="C50" s="26">
        <f t="shared" si="13"/>
        <v>87720.453333333324</v>
      </c>
      <c r="D50" s="39">
        <f t="shared" si="13"/>
        <v>175440.90666666665</v>
      </c>
      <c r="E50" s="26">
        <f t="shared" si="13"/>
        <v>263161.36</v>
      </c>
      <c r="F50" s="39">
        <f t="shared" si="13"/>
        <v>350881.8133333333</v>
      </c>
      <c r="G50" s="26">
        <f t="shared" si="13"/>
        <v>438602.26666666666</v>
      </c>
      <c r="H50" s="39">
        <f t="shared" si="13"/>
        <v>526322.72</v>
      </c>
      <c r="I50" s="26">
        <f t="shared" si="13"/>
        <v>614043.17333333334</v>
      </c>
      <c r="J50" s="39">
        <f t="shared" si="13"/>
        <v>701763.62666666659</v>
      </c>
      <c r="K50" s="29">
        <f t="shared" si="13"/>
        <v>789484.08</v>
      </c>
    </row>
    <row r="51" spans="1:11" ht="16" x14ac:dyDescent="0.2">
      <c r="A51" s="9" t="str">
        <f t="shared" si="12"/>
        <v>ohio</v>
      </c>
      <c r="B51" s="39">
        <f t="shared" si="13"/>
        <v>0</v>
      </c>
      <c r="C51" s="26">
        <f t="shared" si="13"/>
        <v>25062.986666666664</v>
      </c>
      <c r="D51" s="39">
        <f t="shared" si="13"/>
        <v>50125.973333333328</v>
      </c>
      <c r="E51" s="26">
        <f t="shared" si="13"/>
        <v>75188.959999999992</v>
      </c>
      <c r="F51" s="39">
        <f t="shared" si="13"/>
        <v>100251.94666666666</v>
      </c>
      <c r="G51" s="26">
        <f t="shared" si="13"/>
        <v>125314.93333333332</v>
      </c>
      <c r="H51" s="39">
        <f t="shared" si="13"/>
        <v>150377.91999999998</v>
      </c>
      <c r="I51" s="26">
        <f t="shared" si="13"/>
        <v>175440.90666666665</v>
      </c>
      <c r="J51" s="39">
        <f t="shared" si="13"/>
        <v>200503.89333333331</v>
      </c>
      <c r="K51" s="29">
        <f t="shared" si="13"/>
        <v>225566.87999999998</v>
      </c>
    </row>
    <row r="52" spans="1:11" ht="16" x14ac:dyDescent="0.2">
      <c r="A52" s="9" t="str">
        <f t="shared" si="12"/>
        <v>minnesota</v>
      </c>
      <c r="B52" s="39">
        <f t="shared" si="13"/>
        <v>0</v>
      </c>
      <c r="C52" s="26">
        <f>$F38+C$41*ABS($G38-$F38)/9</f>
        <v>12531.493333333332</v>
      </c>
      <c r="D52" s="39">
        <f t="shared" si="13"/>
        <v>25062.986666666664</v>
      </c>
      <c r="E52" s="26">
        <f t="shared" si="13"/>
        <v>37594.479999999996</v>
      </c>
      <c r="F52" s="39">
        <f t="shared" si="13"/>
        <v>50125.973333333328</v>
      </c>
      <c r="G52" s="26">
        <f t="shared" si="13"/>
        <v>62657.46666666666</v>
      </c>
      <c r="H52" s="39">
        <f t="shared" si="13"/>
        <v>75188.959999999992</v>
      </c>
      <c r="I52" s="26">
        <f t="shared" si="13"/>
        <v>87720.453333333324</v>
      </c>
      <c r="J52" s="39">
        <f t="shared" si="13"/>
        <v>100251.94666666666</v>
      </c>
      <c r="K52" s="29">
        <f t="shared" si="13"/>
        <v>112783.43999999999</v>
      </c>
    </row>
    <row r="53" spans="1:11" ht="17" thickBot="1" x14ac:dyDescent="0.25">
      <c r="A53" s="11" t="str">
        <f t="shared" si="12"/>
        <v>texas</v>
      </c>
      <c r="B53" s="39">
        <f t="shared" si="13"/>
        <v>0</v>
      </c>
      <c r="C53" s="30">
        <f t="shared" si="13"/>
        <v>175440.90666666665</v>
      </c>
      <c r="D53" s="39">
        <f t="shared" si="13"/>
        <v>350881.8133333333</v>
      </c>
      <c r="E53" s="30">
        <f t="shared" si="13"/>
        <v>526322.72</v>
      </c>
      <c r="F53" s="39">
        <f t="shared" si="13"/>
        <v>701763.62666666659</v>
      </c>
      <c r="G53" s="30">
        <f t="shared" si="13"/>
        <v>877204.53333333333</v>
      </c>
      <c r="H53" s="39">
        <f t="shared" si="13"/>
        <v>1052645.44</v>
      </c>
      <c r="I53" s="30">
        <f t="shared" si="13"/>
        <v>1228086.3466666667</v>
      </c>
      <c r="J53" s="39">
        <f t="shared" si="13"/>
        <v>1403527.2533333332</v>
      </c>
      <c r="K53" s="31">
        <f t="shared" si="13"/>
        <v>1578968.16</v>
      </c>
    </row>
    <row r="55" spans="1:11" ht="16" thickBot="1" x14ac:dyDescent="0.25"/>
    <row r="56" spans="1:11" x14ac:dyDescent="0.2">
      <c r="A56" s="37" t="str">
        <f>H33</f>
        <v>100MWe</v>
      </c>
      <c r="B56" s="34">
        <f>B41</f>
        <v>0</v>
      </c>
      <c r="C56" s="34">
        <f t="shared" ref="C56:K56" si="14">C41</f>
        <v>1</v>
      </c>
      <c r="D56" s="34">
        <f t="shared" si="14"/>
        <v>2</v>
      </c>
      <c r="E56" s="34">
        <f t="shared" si="14"/>
        <v>3</v>
      </c>
      <c r="F56" s="34">
        <f t="shared" si="14"/>
        <v>4</v>
      </c>
      <c r="G56" s="34">
        <f t="shared" si="14"/>
        <v>5</v>
      </c>
      <c r="H56" s="34">
        <f t="shared" si="14"/>
        <v>6</v>
      </c>
      <c r="I56" s="34">
        <f t="shared" si="14"/>
        <v>7</v>
      </c>
      <c r="J56" s="34">
        <f t="shared" si="14"/>
        <v>8</v>
      </c>
      <c r="K56" s="35">
        <f t="shared" si="14"/>
        <v>9</v>
      </c>
    </row>
    <row r="57" spans="1:11" ht="16" x14ac:dyDescent="0.2">
      <c r="A57" s="9" t="str">
        <f>A35</f>
        <v>illinois</v>
      </c>
      <c r="B57" s="39">
        <f>$H35+B$41*ABS($I35-$H35)/9</f>
        <v>0</v>
      </c>
      <c r="C57" s="26">
        <f>$H35+C$41*ABS($I35-$H35)/9</f>
        <v>126923.25333333334</v>
      </c>
      <c r="D57" s="39">
        <f>$H35+D$41*ABS($I35-$H35)/9</f>
        <v>253846.50666666668</v>
      </c>
      <c r="E57" s="26">
        <f>$H35+E$41*ABS($I35-$H35)/9</f>
        <v>380769.76</v>
      </c>
      <c r="F57" s="39">
        <f>$H35+F$41*ABS($I35-$H35)/9</f>
        <v>507693.01333333337</v>
      </c>
      <c r="G57" s="26">
        <f>$H35+G$41*ABS($I35-$H35)/9</f>
        <v>634616.26666666672</v>
      </c>
      <c r="H57" s="39">
        <f>$H35+H$41*ABS($I35-$H35)/9</f>
        <v>761539.52</v>
      </c>
      <c r="I57" s="26">
        <f>$H35+I$41*ABS($I35-$H35)/9</f>
        <v>888462.77333333332</v>
      </c>
      <c r="J57" s="39">
        <f>$H35+J$41*ABS($I35-$H35)/9</f>
        <v>1015386.0266666667</v>
      </c>
      <c r="K57" s="29">
        <f>$H35+K$41*ABS($I35-$H35)/9</f>
        <v>1142309.28</v>
      </c>
    </row>
    <row r="58" spans="1:11" ht="16" x14ac:dyDescent="0.2">
      <c r="A58" s="9" t="str">
        <f t="shared" ref="A58:A61" si="15">A36</f>
        <v>nebraska</v>
      </c>
      <c r="B58" s="39">
        <f>$H36+B$41*ABS($I36-$H36)/9</f>
        <v>0</v>
      </c>
      <c r="C58" s="26">
        <f>$H36+C$41*ABS($I36-$H36)/9</f>
        <v>444231.38666666666</v>
      </c>
      <c r="D58" s="39">
        <f>$H36+D$41*ABS($I36-$H36)/9</f>
        <v>888462.77333333332</v>
      </c>
      <c r="E58" s="26">
        <f>$H36+E$41*ABS($I36-$H36)/9</f>
        <v>1332694.1599999999</v>
      </c>
      <c r="F58" s="39">
        <f>$H36+F$41*ABS($I36-$H36)/9</f>
        <v>1776925.5466666666</v>
      </c>
      <c r="G58" s="26">
        <f>$H36+G$41*ABS($I36-$H36)/9</f>
        <v>2221156.9333333331</v>
      </c>
      <c r="H58" s="39">
        <f>$H36+H$41*ABS($I36-$H36)/9</f>
        <v>2665388.3199999998</v>
      </c>
      <c r="I58" s="26">
        <f>$H36+I$41*ABS($I36-$H36)/9</f>
        <v>3109619.7066666665</v>
      </c>
      <c r="J58" s="39">
        <f>$H36+J$41*ABS($I36-$H36)/9</f>
        <v>3553851.0933333333</v>
      </c>
      <c r="K58" s="29">
        <f>$H36+K$41*ABS($I36-$H36)/9</f>
        <v>3998082.48</v>
      </c>
    </row>
    <row r="59" spans="1:11" ht="16" x14ac:dyDescent="0.2">
      <c r="A59" s="9" t="str">
        <f t="shared" si="15"/>
        <v>ohio</v>
      </c>
      <c r="B59" s="39">
        <f>$H37+B$41*ABS($I37-$H37)/9</f>
        <v>0</v>
      </c>
      <c r="C59" s="26">
        <f>$H37+C$41*ABS($I37-$H37)/9</f>
        <v>126923.25333333334</v>
      </c>
      <c r="D59" s="39">
        <f>$H37+D$41*ABS($I37-$H37)/9</f>
        <v>253846.50666666668</v>
      </c>
      <c r="E59" s="26">
        <f>$H37+E$41*ABS($I37-$H37)/9</f>
        <v>380769.76</v>
      </c>
      <c r="F59" s="39">
        <f>$H37+F$41*ABS($I37-$H37)/9</f>
        <v>507693.01333333337</v>
      </c>
      <c r="G59" s="26">
        <f>$H37+G$41*ABS($I37-$H37)/9</f>
        <v>634616.26666666672</v>
      </c>
      <c r="H59" s="39">
        <f>$H37+H$41*ABS($I37-$H37)/9</f>
        <v>761539.52</v>
      </c>
      <c r="I59" s="26">
        <f>$H37+I$41*ABS($I37-$H37)/9</f>
        <v>888462.77333333332</v>
      </c>
      <c r="J59" s="39">
        <f>$H37+J$41*ABS($I37-$H37)/9</f>
        <v>1015386.0266666667</v>
      </c>
      <c r="K59" s="29">
        <f>$H37+K$41*ABS($I37-$H37)/9</f>
        <v>1142309.28</v>
      </c>
    </row>
    <row r="60" spans="1:11" ht="16" x14ac:dyDescent="0.2">
      <c r="A60" s="9" t="str">
        <f t="shared" si="15"/>
        <v>minnesota</v>
      </c>
      <c r="B60" s="39">
        <f>$H38+B$41*ABS($I38-$H38)/9</f>
        <v>0</v>
      </c>
      <c r="C60" s="26">
        <f>$H38+C$41*ABS($I38-$H38)/9</f>
        <v>63461.626666666671</v>
      </c>
      <c r="D60" s="39">
        <f>$H38+D$41*ABS($I38-$H38)/9</f>
        <v>126923.25333333334</v>
      </c>
      <c r="E60" s="26">
        <f>$H38+E$41*ABS($I38-$H38)/9</f>
        <v>190384.88</v>
      </c>
      <c r="F60" s="39">
        <f>$H38+F$41*ABS($I38-$H38)/9</f>
        <v>253846.50666666668</v>
      </c>
      <c r="G60" s="26">
        <f>$H38+G$41*ABS($I38-$H38)/9</f>
        <v>317308.13333333336</v>
      </c>
      <c r="H60" s="39">
        <f>$H38+H$41*ABS($I38-$H38)/9</f>
        <v>380769.76</v>
      </c>
      <c r="I60" s="26">
        <f>$H38+I$41*ABS($I38-$H38)/9</f>
        <v>444231.38666666666</v>
      </c>
      <c r="J60" s="39">
        <f>$H38+J$41*ABS($I38-$H38)/9</f>
        <v>507693.01333333337</v>
      </c>
      <c r="K60" s="29">
        <f>$H38+K$41*ABS($I38-$H38)/9</f>
        <v>571154.64</v>
      </c>
    </row>
    <row r="61" spans="1:11" ht="17" thickBot="1" x14ac:dyDescent="0.25">
      <c r="A61" s="11" t="str">
        <f t="shared" si="15"/>
        <v>texas</v>
      </c>
      <c r="B61" s="39">
        <f>$H39+B$41*ABS($I39-$H39)/9</f>
        <v>0</v>
      </c>
      <c r="C61" s="30">
        <f>$H39+C$41*ABS($I39-$H39)/9</f>
        <v>888462.77333333332</v>
      </c>
      <c r="D61" s="39">
        <f>$H39+D$41*ABS($I39-$H39)/9</f>
        <v>1776925.5466666666</v>
      </c>
      <c r="E61" s="30">
        <f>$H39+E$41*ABS($I39-$H39)/9</f>
        <v>2665388.3199999998</v>
      </c>
      <c r="F61" s="39">
        <f>$H39+F$41*ABS($I39-$H39)/9</f>
        <v>3553851.0933333333</v>
      </c>
      <c r="G61" s="30">
        <f>$H39+G$41*ABS($I39-$H39)/9</f>
        <v>4442313.8666666662</v>
      </c>
      <c r="H61" s="39">
        <f>$H39+H$41*ABS($I39-$H39)/9</f>
        <v>5330776.6399999997</v>
      </c>
      <c r="I61" s="30">
        <f>$H39+I$41*ABS($I39-$H39)/9</f>
        <v>6219239.4133333331</v>
      </c>
      <c r="J61" s="39">
        <f>$H39+J$41*ABS($I39-$H39)/9</f>
        <v>7107702.1866666665</v>
      </c>
      <c r="K61" s="31">
        <f>$H39+K$41*ABS($I39-$H39)/9</f>
        <v>7996164.96</v>
      </c>
    </row>
    <row r="62" spans="1:11" ht="16" x14ac:dyDescent="0.2">
      <c r="D62" s="40"/>
    </row>
  </sheetData>
  <mergeCells count="11">
    <mergeCell ref="H33:I33"/>
    <mergeCell ref="A12:A13"/>
    <mergeCell ref="B12:B13"/>
    <mergeCell ref="C12:D12"/>
    <mergeCell ref="E12:F12"/>
    <mergeCell ref="G12:H12"/>
    <mergeCell ref="A20:K20"/>
    <mergeCell ref="A26:K26"/>
    <mergeCell ref="D33:E33"/>
    <mergeCell ref="F33:G33"/>
    <mergeCell ref="J33:K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9676-3E9F-3445-A5B7-C86CFA7A8DEF}">
  <dimension ref="A1:K4"/>
  <sheetViews>
    <sheetView workbookViewId="0">
      <selection activeCell="H39" sqref="H39"/>
    </sheetView>
  </sheetViews>
  <sheetFormatPr baseColWidth="10" defaultRowHeight="15" x14ac:dyDescent="0.2"/>
  <sheetData>
    <row r="1" spans="1:11" x14ac:dyDescent="0.2">
      <c r="A1" t="s">
        <v>186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>
        <v>60</v>
      </c>
      <c r="B2" s="26">
        <f>Boundaries!B22</f>
        <v>-667</v>
      </c>
      <c r="C2" s="26">
        <f>Boundaries!C22</f>
        <v>-598.11111111111109</v>
      </c>
      <c r="D2" s="26">
        <f>Boundaries!D22</f>
        <v>-529.22222222222217</v>
      </c>
      <c r="E2" s="26">
        <f>Boundaries!E22</f>
        <v>-460.33333333333337</v>
      </c>
      <c r="F2" s="26">
        <f>Boundaries!F22</f>
        <v>-391.44444444444446</v>
      </c>
      <c r="G2" s="26">
        <f>Boundaries!G22</f>
        <v>-322.55555555555554</v>
      </c>
      <c r="H2" s="26">
        <f>Boundaries!H22</f>
        <v>-253.66666666666669</v>
      </c>
      <c r="I2" s="26">
        <f>Boundaries!I22</f>
        <v>-184.77777777777777</v>
      </c>
      <c r="J2" s="26">
        <f>Boundaries!J22</f>
        <v>-115.88888888888891</v>
      </c>
      <c r="K2" s="26">
        <f>Boundaries!K22</f>
        <v>-47</v>
      </c>
    </row>
    <row r="3" spans="1:11" x14ac:dyDescent="0.2">
      <c r="A3">
        <v>20</v>
      </c>
      <c r="B3" s="26">
        <f>Boundaries!B23</f>
        <v>-187</v>
      </c>
      <c r="C3" s="26">
        <f>Boundaries!C23</f>
        <v>-171.44444444444446</v>
      </c>
      <c r="D3" s="26">
        <f>Boundaries!D23</f>
        <v>-155.88888888888889</v>
      </c>
      <c r="E3" s="26">
        <f>Boundaries!E23</f>
        <v>-140.33333333333334</v>
      </c>
      <c r="F3" s="26">
        <f>Boundaries!F23</f>
        <v>-124.77777777777777</v>
      </c>
      <c r="G3" s="26">
        <f>Boundaries!G23</f>
        <v>-109.22222222222223</v>
      </c>
      <c r="H3" s="26">
        <f>Boundaries!H23</f>
        <v>-93.666666666666671</v>
      </c>
      <c r="I3" s="26">
        <f>Boundaries!I23</f>
        <v>-78.111111111111114</v>
      </c>
      <c r="J3" s="26">
        <f>Boundaries!J23</f>
        <v>-62.555555555555557</v>
      </c>
      <c r="K3" s="26">
        <f>Boundaries!K23</f>
        <v>-47</v>
      </c>
    </row>
    <row r="4" spans="1:11" x14ac:dyDescent="0.2">
      <c r="A4">
        <v>100</v>
      </c>
      <c r="B4" s="26">
        <f>Boundaries!B24</f>
        <v>-947</v>
      </c>
      <c r="C4" s="26">
        <f>Boundaries!C24</f>
        <v>-847</v>
      </c>
      <c r="D4" s="26">
        <f>Boundaries!D24</f>
        <v>-747</v>
      </c>
      <c r="E4" s="26">
        <f>Boundaries!E24</f>
        <v>-647</v>
      </c>
      <c r="F4" s="26">
        <f>Boundaries!F24</f>
        <v>-547</v>
      </c>
      <c r="G4" s="26">
        <f>Boundaries!G24</f>
        <v>-447</v>
      </c>
      <c r="H4" s="26">
        <f>Boundaries!H24</f>
        <v>-347</v>
      </c>
      <c r="I4" s="26">
        <f>Boundaries!I24</f>
        <v>-247</v>
      </c>
      <c r="J4" s="26">
        <f>Boundaries!J24</f>
        <v>-147</v>
      </c>
      <c r="K4" s="26">
        <f>Boundaries!K24</f>
        <v>-47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16CF-FC8F-7346-9EC7-361D100E0C44}">
  <dimension ref="A1:K4"/>
  <sheetViews>
    <sheetView workbookViewId="0">
      <selection activeCell="J11" sqref="J11"/>
    </sheetView>
  </sheetViews>
  <sheetFormatPr baseColWidth="10" defaultRowHeight="15" x14ac:dyDescent="0.2"/>
  <sheetData>
    <row r="1" spans="1:11" x14ac:dyDescent="0.2">
      <c r="A1" t="s">
        <v>186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>
        <v>60</v>
      </c>
      <c r="B2" s="26">
        <f>Boundaries!B28</f>
        <v>-16761.71</v>
      </c>
      <c r="C2" s="26">
        <f>Boundaries!C28</f>
        <v>-15030.532222222222</v>
      </c>
      <c r="D2" s="26">
        <f>Boundaries!D28</f>
        <v>-13299.354444444443</v>
      </c>
      <c r="E2" s="26">
        <f>Boundaries!E28</f>
        <v>-11568.176666666666</v>
      </c>
      <c r="F2" s="26">
        <f>Boundaries!F28</f>
        <v>-9836.9988888888874</v>
      </c>
      <c r="G2" s="26">
        <f>Boundaries!G28</f>
        <v>-8105.8211111111104</v>
      </c>
      <c r="H2" s="26">
        <f>Boundaries!H28</f>
        <v>-6374.6433333333334</v>
      </c>
      <c r="I2" s="26">
        <f>Boundaries!I28</f>
        <v>-4643.4655555555564</v>
      </c>
      <c r="J2" s="26">
        <f>Boundaries!J28</f>
        <v>-2912.2877777777776</v>
      </c>
      <c r="K2" s="26">
        <f>Boundaries!K28</f>
        <v>-1181.1100000000006</v>
      </c>
    </row>
    <row r="3" spans="1:11" x14ac:dyDescent="0.2">
      <c r="A3">
        <v>20</v>
      </c>
      <c r="B3" s="26">
        <f>Boundaries!B29</f>
        <v>-4699.3099999999995</v>
      </c>
      <c r="C3" s="26">
        <f>Boundaries!C29</f>
        <v>-4308.398888888888</v>
      </c>
      <c r="D3" s="26">
        <f>Boundaries!D29</f>
        <v>-3917.4877777777774</v>
      </c>
      <c r="E3" s="26">
        <f>Boundaries!E29</f>
        <v>-3526.5766666666664</v>
      </c>
      <c r="F3" s="26">
        <f>Boundaries!F29</f>
        <v>-3135.6655555555553</v>
      </c>
      <c r="G3" s="26">
        <f>Boundaries!G29</f>
        <v>-2744.7544444444438</v>
      </c>
      <c r="H3" s="26">
        <f>Boundaries!H29</f>
        <v>-2353.8433333333332</v>
      </c>
      <c r="I3" s="26">
        <f>Boundaries!I29</f>
        <v>-1962.9322222222218</v>
      </c>
      <c r="J3" s="26">
        <f>Boundaries!J29</f>
        <v>-1572.0211111111107</v>
      </c>
      <c r="K3" s="26">
        <f>Boundaries!K29</f>
        <v>-1181.1099999999997</v>
      </c>
    </row>
    <row r="4" spans="1:11" x14ac:dyDescent="0.2">
      <c r="A4">
        <v>100</v>
      </c>
      <c r="B4" s="26">
        <f>Boundaries!B30</f>
        <v>-23798.11</v>
      </c>
      <c r="C4" s="26">
        <f>Boundaries!C30</f>
        <v>-21285.11</v>
      </c>
      <c r="D4" s="26">
        <f>Boundaries!D30</f>
        <v>-18772.11</v>
      </c>
      <c r="E4" s="26">
        <f>Boundaries!E30</f>
        <v>-16259.11</v>
      </c>
      <c r="F4" s="26">
        <f>Boundaries!F30</f>
        <v>-13746.11</v>
      </c>
      <c r="G4" s="26">
        <f>Boundaries!G30</f>
        <v>-11233.11</v>
      </c>
      <c r="H4" s="26">
        <f>Boundaries!H30</f>
        <v>-8720.11</v>
      </c>
      <c r="I4" s="26">
        <f>Boundaries!I30</f>
        <v>-6207.1100000000006</v>
      </c>
      <c r="J4" s="26">
        <f>Boundaries!J30</f>
        <v>-3694.1100000000006</v>
      </c>
      <c r="K4" s="26">
        <f>Boundaries!K30</f>
        <v>-1181.1100000000006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BFA0-7597-9643-BFE7-2F3817A1857D}">
  <dimension ref="A1:L16"/>
  <sheetViews>
    <sheetView workbookViewId="0">
      <selection activeCell="H26" sqref="H26"/>
    </sheetView>
  </sheetViews>
  <sheetFormatPr baseColWidth="10" defaultRowHeight="15" x14ac:dyDescent="0.2"/>
  <sheetData>
    <row r="1" spans="1:12" x14ac:dyDescent="0.2">
      <c r="A1" t="s">
        <v>187</v>
      </c>
      <c r="B1" t="s">
        <v>186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2" spans="1:12" x14ac:dyDescent="0.2">
      <c r="A2" t="s">
        <v>99</v>
      </c>
      <c r="B2">
        <v>60</v>
      </c>
      <c r="C2" s="26">
        <v>10</v>
      </c>
      <c r="D2" s="26">
        <f>Boundaries!C42</f>
        <v>89395.786666666667</v>
      </c>
      <c r="E2" s="26">
        <f>Boundaries!D42</f>
        <v>178791.57333333333</v>
      </c>
      <c r="F2" s="26">
        <f>Boundaries!E42</f>
        <v>268187.36</v>
      </c>
      <c r="G2" s="26">
        <f>Boundaries!F42</f>
        <v>357583.14666666667</v>
      </c>
      <c r="H2" s="26">
        <f>Boundaries!G42</f>
        <v>446978.93333333335</v>
      </c>
      <c r="I2" s="26">
        <f>Boundaries!H42</f>
        <v>536374.72</v>
      </c>
      <c r="J2" s="26">
        <f>Boundaries!I42</f>
        <v>625770.5066666666</v>
      </c>
      <c r="K2" s="26">
        <f>Boundaries!J42</f>
        <v>715166.29333333333</v>
      </c>
      <c r="L2" s="26">
        <f>Boundaries!K42</f>
        <v>804562.08</v>
      </c>
    </row>
    <row r="3" spans="1:12" x14ac:dyDescent="0.2">
      <c r="A3" t="s">
        <v>104</v>
      </c>
      <c r="B3">
        <v>60</v>
      </c>
      <c r="C3" s="26">
        <v>10</v>
      </c>
      <c r="D3" s="26">
        <f>Boundaries!C43</f>
        <v>312885.2533333333</v>
      </c>
      <c r="E3" s="26">
        <f>Boundaries!D43</f>
        <v>625770.5066666666</v>
      </c>
      <c r="F3" s="26">
        <f>Boundaries!E43</f>
        <v>938655.76</v>
      </c>
      <c r="G3" s="26">
        <f>Boundaries!F43</f>
        <v>1251541.0133333332</v>
      </c>
      <c r="H3" s="26">
        <f>Boundaries!G43</f>
        <v>1564426.2666666666</v>
      </c>
      <c r="I3" s="26">
        <f>Boundaries!H43</f>
        <v>1877311.52</v>
      </c>
      <c r="J3" s="26">
        <f>Boundaries!I43</f>
        <v>2190196.773333333</v>
      </c>
      <c r="K3" s="26">
        <f>Boundaries!J43</f>
        <v>2503082.0266666664</v>
      </c>
      <c r="L3" s="26">
        <f>Boundaries!K43</f>
        <v>2815967.28</v>
      </c>
    </row>
    <row r="4" spans="1:12" x14ac:dyDescent="0.2">
      <c r="A4" t="s">
        <v>100</v>
      </c>
      <c r="B4">
        <v>60</v>
      </c>
      <c r="C4" s="26">
        <v>10</v>
      </c>
      <c r="D4" s="26">
        <f>Boundaries!C44</f>
        <v>89395.786666666667</v>
      </c>
      <c r="E4" s="26">
        <f>Boundaries!D44</f>
        <v>178791.57333333333</v>
      </c>
      <c r="F4" s="26">
        <f>Boundaries!E44</f>
        <v>268187.36</v>
      </c>
      <c r="G4" s="26">
        <f>Boundaries!F44</f>
        <v>357583.14666666667</v>
      </c>
      <c r="H4" s="26">
        <f>Boundaries!G44</f>
        <v>446978.93333333335</v>
      </c>
      <c r="I4" s="26">
        <f>Boundaries!H44</f>
        <v>536374.72</v>
      </c>
      <c r="J4" s="26">
        <f>Boundaries!I44</f>
        <v>625770.5066666666</v>
      </c>
      <c r="K4" s="26">
        <f>Boundaries!J44</f>
        <v>715166.29333333333</v>
      </c>
      <c r="L4" s="26">
        <f>Boundaries!K44</f>
        <v>804562.08</v>
      </c>
    </row>
    <row r="5" spans="1:12" x14ac:dyDescent="0.2">
      <c r="A5" t="s">
        <v>103</v>
      </c>
      <c r="B5">
        <v>60</v>
      </c>
      <c r="C5" s="26">
        <v>10</v>
      </c>
      <c r="D5" s="26">
        <f>Boundaries!C45</f>
        <v>44697.893333333333</v>
      </c>
      <c r="E5" s="26">
        <f>Boundaries!D45</f>
        <v>89395.786666666667</v>
      </c>
      <c r="F5" s="26">
        <f>Boundaries!E45</f>
        <v>134093.68</v>
      </c>
      <c r="G5" s="26">
        <f>Boundaries!F45</f>
        <v>178791.57333333333</v>
      </c>
      <c r="H5" s="26">
        <f>Boundaries!G45</f>
        <v>223489.46666666667</v>
      </c>
      <c r="I5" s="26">
        <f>Boundaries!H45</f>
        <v>268187.36</v>
      </c>
      <c r="J5" s="26">
        <f>Boundaries!I45</f>
        <v>312885.2533333333</v>
      </c>
      <c r="K5" s="26">
        <f>Boundaries!J45</f>
        <v>357583.14666666667</v>
      </c>
      <c r="L5" s="26">
        <f>Boundaries!K45</f>
        <v>402281.04</v>
      </c>
    </row>
    <row r="6" spans="1:12" x14ac:dyDescent="0.2">
      <c r="A6" t="s">
        <v>101</v>
      </c>
      <c r="B6">
        <v>60</v>
      </c>
      <c r="C6" s="26">
        <v>10</v>
      </c>
      <c r="D6" s="26">
        <f>Boundaries!C46</f>
        <v>625770.5066666666</v>
      </c>
      <c r="E6" s="26">
        <f>Boundaries!D46</f>
        <v>1251541.0133333332</v>
      </c>
      <c r="F6" s="26">
        <f>Boundaries!E46</f>
        <v>1877311.52</v>
      </c>
      <c r="G6" s="26">
        <f>Boundaries!F46</f>
        <v>2503082.0266666664</v>
      </c>
      <c r="H6" s="26">
        <f>Boundaries!G46</f>
        <v>3128852.5333333332</v>
      </c>
      <c r="I6" s="26">
        <f>Boundaries!H46</f>
        <v>3754623.04</v>
      </c>
      <c r="J6" s="26">
        <f>Boundaries!I46</f>
        <v>4380393.5466666659</v>
      </c>
      <c r="K6" s="26">
        <f>Boundaries!J46</f>
        <v>5006164.0533333328</v>
      </c>
      <c r="L6" s="26">
        <f>Boundaries!K46</f>
        <v>5631934.5599999996</v>
      </c>
    </row>
    <row r="7" spans="1:12" x14ac:dyDescent="0.2">
      <c r="A7" t="s">
        <v>99</v>
      </c>
      <c r="B7">
        <v>20</v>
      </c>
      <c r="C7" s="26">
        <v>10</v>
      </c>
      <c r="D7" s="26">
        <f>Boundaries!C49</f>
        <v>25062.986666666664</v>
      </c>
      <c r="E7" s="26">
        <f>Boundaries!D49</f>
        <v>50125.973333333328</v>
      </c>
      <c r="F7" s="26">
        <f>Boundaries!E49</f>
        <v>75188.959999999992</v>
      </c>
      <c r="G7" s="26">
        <f>Boundaries!F49</f>
        <v>100251.94666666666</v>
      </c>
      <c r="H7" s="26">
        <f>Boundaries!G49</f>
        <v>125314.93333333332</v>
      </c>
      <c r="I7" s="26">
        <f>Boundaries!H49</f>
        <v>150377.91999999998</v>
      </c>
      <c r="J7" s="26">
        <f>Boundaries!I49</f>
        <v>175440.90666666665</v>
      </c>
      <c r="K7" s="26">
        <f>Boundaries!J49</f>
        <v>200503.89333333331</v>
      </c>
      <c r="L7" s="26">
        <f>Boundaries!K49</f>
        <v>225566.87999999998</v>
      </c>
    </row>
    <row r="8" spans="1:12" x14ac:dyDescent="0.2">
      <c r="A8" t="s">
        <v>104</v>
      </c>
      <c r="B8">
        <v>20</v>
      </c>
      <c r="C8" s="26">
        <v>10</v>
      </c>
      <c r="D8" s="26">
        <f>Boundaries!C50</f>
        <v>87720.453333333324</v>
      </c>
      <c r="E8" s="26">
        <f>Boundaries!D50</f>
        <v>175440.90666666665</v>
      </c>
      <c r="F8" s="26">
        <f>Boundaries!E50</f>
        <v>263161.36</v>
      </c>
      <c r="G8" s="26">
        <f>Boundaries!F50</f>
        <v>350881.8133333333</v>
      </c>
      <c r="H8" s="26">
        <f>Boundaries!G50</f>
        <v>438602.26666666666</v>
      </c>
      <c r="I8" s="26">
        <f>Boundaries!H50</f>
        <v>526322.72</v>
      </c>
      <c r="J8" s="26">
        <f>Boundaries!I50</f>
        <v>614043.17333333334</v>
      </c>
      <c r="K8" s="26">
        <f>Boundaries!J50</f>
        <v>701763.62666666659</v>
      </c>
      <c r="L8" s="26">
        <f>Boundaries!K50</f>
        <v>789484.08</v>
      </c>
    </row>
    <row r="9" spans="1:12" x14ac:dyDescent="0.2">
      <c r="A9" t="s">
        <v>100</v>
      </c>
      <c r="B9">
        <v>20</v>
      </c>
      <c r="C9" s="26">
        <v>10</v>
      </c>
      <c r="D9" s="26">
        <f>Boundaries!C51</f>
        <v>25062.986666666664</v>
      </c>
      <c r="E9" s="26">
        <f>Boundaries!D51</f>
        <v>50125.973333333328</v>
      </c>
      <c r="F9" s="26">
        <f>Boundaries!E51</f>
        <v>75188.959999999992</v>
      </c>
      <c r="G9" s="26">
        <f>Boundaries!F51</f>
        <v>100251.94666666666</v>
      </c>
      <c r="H9" s="26">
        <f>Boundaries!G51</f>
        <v>125314.93333333332</v>
      </c>
      <c r="I9" s="26">
        <f>Boundaries!H51</f>
        <v>150377.91999999998</v>
      </c>
      <c r="J9" s="26">
        <f>Boundaries!I51</f>
        <v>175440.90666666665</v>
      </c>
      <c r="K9" s="26">
        <f>Boundaries!J51</f>
        <v>200503.89333333331</v>
      </c>
      <c r="L9" s="26">
        <f>Boundaries!K51</f>
        <v>225566.87999999998</v>
      </c>
    </row>
    <row r="10" spans="1:12" x14ac:dyDescent="0.2">
      <c r="A10" t="s">
        <v>103</v>
      </c>
      <c r="B10">
        <v>20</v>
      </c>
      <c r="C10" s="26">
        <v>10</v>
      </c>
      <c r="D10" s="26">
        <f>Boundaries!C52</f>
        <v>12531.493333333332</v>
      </c>
      <c r="E10" s="26">
        <f>Boundaries!D52</f>
        <v>25062.986666666664</v>
      </c>
      <c r="F10" s="26">
        <f>Boundaries!E52</f>
        <v>37594.479999999996</v>
      </c>
      <c r="G10" s="26">
        <f>Boundaries!F52</f>
        <v>50125.973333333328</v>
      </c>
      <c r="H10" s="26">
        <f>Boundaries!G52</f>
        <v>62657.46666666666</v>
      </c>
      <c r="I10" s="26">
        <f>Boundaries!H52</f>
        <v>75188.959999999992</v>
      </c>
      <c r="J10" s="26">
        <f>Boundaries!I52</f>
        <v>87720.453333333324</v>
      </c>
      <c r="K10" s="26">
        <f>Boundaries!J52</f>
        <v>100251.94666666666</v>
      </c>
      <c r="L10" s="26">
        <f>Boundaries!K52</f>
        <v>112783.43999999999</v>
      </c>
    </row>
    <row r="11" spans="1:12" x14ac:dyDescent="0.2">
      <c r="A11" t="s">
        <v>101</v>
      </c>
      <c r="B11">
        <v>20</v>
      </c>
      <c r="C11" s="26">
        <v>10</v>
      </c>
      <c r="D11" s="26">
        <f>Boundaries!C53</f>
        <v>175440.90666666665</v>
      </c>
      <c r="E11" s="26">
        <f>Boundaries!D53</f>
        <v>350881.8133333333</v>
      </c>
      <c r="F11" s="26">
        <f>Boundaries!E53</f>
        <v>526322.72</v>
      </c>
      <c r="G11" s="26">
        <f>Boundaries!F53</f>
        <v>701763.62666666659</v>
      </c>
      <c r="H11" s="26">
        <f>Boundaries!G53</f>
        <v>877204.53333333333</v>
      </c>
      <c r="I11" s="26">
        <f>Boundaries!H53</f>
        <v>1052645.44</v>
      </c>
      <c r="J11" s="26">
        <f>Boundaries!I53</f>
        <v>1228086.3466666667</v>
      </c>
      <c r="K11" s="26">
        <f>Boundaries!J53</f>
        <v>1403527.2533333332</v>
      </c>
      <c r="L11" s="26">
        <f>Boundaries!K53</f>
        <v>1578968.16</v>
      </c>
    </row>
    <row r="12" spans="1:12" x14ac:dyDescent="0.2">
      <c r="A12" t="s">
        <v>99</v>
      </c>
      <c r="B12">
        <v>100</v>
      </c>
      <c r="C12" s="26">
        <v>10</v>
      </c>
      <c r="D12" s="26">
        <f>Boundaries!C57</f>
        <v>126923.25333333334</v>
      </c>
      <c r="E12" s="26">
        <f>Boundaries!D57</f>
        <v>253846.50666666668</v>
      </c>
      <c r="F12" s="26">
        <f>Boundaries!E57</f>
        <v>380769.76</v>
      </c>
      <c r="G12" s="26">
        <f>Boundaries!F57</f>
        <v>507693.01333333337</v>
      </c>
      <c r="H12" s="26">
        <f>Boundaries!G57</f>
        <v>634616.26666666672</v>
      </c>
      <c r="I12" s="26">
        <f>Boundaries!H57</f>
        <v>761539.52</v>
      </c>
      <c r="J12" s="26">
        <f>Boundaries!I57</f>
        <v>888462.77333333332</v>
      </c>
      <c r="K12" s="26">
        <f>Boundaries!J57</f>
        <v>1015386.0266666667</v>
      </c>
      <c r="L12" s="26">
        <f>Boundaries!K57</f>
        <v>1142309.28</v>
      </c>
    </row>
    <row r="13" spans="1:12" x14ac:dyDescent="0.2">
      <c r="A13" t="s">
        <v>104</v>
      </c>
      <c r="B13">
        <v>100</v>
      </c>
      <c r="C13" s="26">
        <v>10</v>
      </c>
      <c r="D13" s="26">
        <f>Boundaries!C58</f>
        <v>444231.38666666666</v>
      </c>
      <c r="E13" s="26">
        <f>Boundaries!D58</f>
        <v>888462.77333333332</v>
      </c>
      <c r="F13" s="26">
        <f>Boundaries!E58</f>
        <v>1332694.1599999999</v>
      </c>
      <c r="G13" s="26">
        <f>Boundaries!F58</f>
        <v>1776925.5466666666</v>
      </c>
      <c r="H13" s="26">
        <f>Boundaries!G58</f>
        <v>2221156.9333333331</v>
      </c>
      <c r="I13" s="26">
        <f>Boundaries!H58</f>
        <v>2665388.3199999998</v>
      </c>
      <c r="J13" s="26">
        <f>Boundaries!I58</f>
        <v>3109619.7066666665</v>
      </c>
      <c r="K13" s="26">
        <f>Boundaries!J58</f>
        <v>3553851.0933333333</v>
      </c>
      <c r="L13" s="26">
        <f>Boundaries!K58</f>
        <v>3998082.48</v>
      </c>
    </row>
    <row r="14" spans="1:12" x14ac:dyDescent="0.2">
      <c r="A14" t="s">
        <v>100</v>
      </c>
      <c r="B14">
        <v>100</v>
      </c>
      <c r="C14" s="26">
        <v>10</v>
      </c>
      <c r="D14" s="26">
        <f>Boundaries!C59</f>
        <v>126923.25333333334</v>
      </c>
      <c r="E14" s="26">
        <f>Boundaries!D59</f>
        <v>253846.50666666668</v>
      </c>
      <c r="F14" s="26">
        <f>Boundaries!E59</f>
        <v>380769.76</v>
      </c>
      <c r="G14" s="26">
        <f>Boundaries!F59</f>
        <v>507693.01333333337</v>
      </c>
      <c r="H14" s="26">
        <f>Boundaries!G59</f>
        <v>634616.26666666672</v>
      </c>
      <c r="I14" s="26">
        <f>Boundaries!H59</f>
        <v>761539.52</v>
      </c>
      <c r="J14" s="26">
        <f>Boundaries!I59</f>
        <v>888462.77333333332</v>
      </c>
      <c r="K14" s="26">
        <f>Boundaries!J59</f>
        <v>1015386.0266666667</v>
      </c>
      <c r="L14" s="26">
        <f>Boundaries!K59</f>
        <v>1142309.28</v>
      </c>
    </row>
    <row r="15" spans="1:12" x14ac:dyDescent="0.2">
      <c r="A15" t="s">
        <v>103</v>
      </c>
      <c r="B15">
        <v>100</v>
      </c>
      <c r="C15" s="26">
        <v>10</v>
      </c>
      <c r="D15" s="26">
        <f>Boundaries!C60</f>
        <v>63461.626666666671</v>
      </c>
      <c r="E15" s="26">
        <f>Boundaries!D60</f>
        <v>126923.25333333334</v>
      </c>
      <c r="F15" s="26">
        <f>Boundaries!E60</f>
        <v>190384.88</v>
      </c>
      <c r="G15" s="26">
        <f>Boundaries!F60</f>
        <v>253846.50666666668</v>
      </c>
      <c r="H15" s="26">
        <f>Boundaries!G60</f>
        <v>317308.13333333336</v>
      </c>
      <c r="I15" s="26">
        <f>Boundaries!H60</f>
        <v>380769.76</v>
      </c>
      <c r="J15" s="26">
        <f>Boundaries!I60</f>
        <v>444231.38666666666</v>
      </c>
      <c r="K15" s="26">
        <f>Boundaries!J60</f>
        <v>507693.01333333337</v>
      </c>
      <c r="L15" s="26">
        <f>Boundaries!K60</f>
        <v>571154.64</v>
      </c>
    </row>
    <row r="16" spans="1:12" x14ac:dyDescent="0.2">
      <c r="A16" t="s">
        <v>101</v>
      </c>
      <c r="B16">
        <v>100</v>
      </c>
      <c r="C16" s="26">
        <v>10</v>
      </c>
      <c r="D16" s="26">
        <f>Boundaries!C61</f>
        <v>888462.77333333332</v>
      </c>
      <c r="E16" s="26">
        <f>Boundaries!D61</f>
        <v>1776925.5466666666</v>
      </c>
      <c r="F16" s="26">
        <f>Boundaries!E61</f>
        <v>2665388.3199999998</v>
      </c>
      <c r="G16" s="26">
        <f>Boundaries!F61</f>
        <v>3553851.0933333333</v>
      </c>
      <c r="H16" s="26">
        <f>Boundaries!G61</f>
        <v>4442313.8666666662</v>
      </c>
      <c r="I16" s="26">
        <f>Boundaries!H61</f>
        <v>5330776.6399999997</v>
      </c>
      <c r="J16" s="26">
        <f>Boundaries!I61</f>
        <v>6219239.4133333331</v>
      </c>
      <c r="K16" s="26">
        <f>Boundaries!J61</f>
        <v>7107702.1866666665</v>
      </c>
      <c r="L16" s="26">
        <f>Boundaries!K61</f>
        <v>7996164.96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D785-0BD3-214B-94B7-2A4B796A3A87}">
  <dimension ref="A1:D10"/>
  <sheetViews>
    <sheetView zoomScale="120" zoomScaleNormal="120" workbookViewId="0">
      <selection activeCell="G12" sqref="G12"/>
    </sheetView>
  </sheetViews>
  <sheetFormatPr baseColWidth="10" defaultRowHeight="15" x14ac:dyDescent="0.2"/>
  <cols>
    <col min="1" max="1" width="16.83203125" bestFit="1" customWidth="1"/>
    <col min="2" max="2" width="16.83203125" customWidth="1"/>
    <col min="3" max="3" width="17.6640625" bestFit="1" customWidth="1"/>
    <col min="4" max="4" width="17.33203125" bestFit="1" customWidth="1"/>
  </cols>
  <sheetData>
    <row r="1" spans="1:4" x14ac:dyDescent="0.2">
      <c r="A1" t="s">
        <v>132</v>
      </c>
      <c r="C1">
        <v>720</v>
      </c>
    </row>
    <row r="2" spans="1:4" x14ac:dyDescent="0.2">
      <c r="A2" t="s">
        <v>133</v>
      </c>
      <c r="C2">
        <v>30</v>
      </c>
    </row>
    <row r="3" spans="1:4" x14ac:dyDescent="0.2">
      <c r="A3" t="s">
        <v>134</v>
      </c>
      <c r="C3">
        <v>25</v>
      </c>
      <c r="D3" t="s">
        <v>139</v>
      </c>
    </row>
    <row r="5" spans="1:4" x14ac:dyDescent="0.2">
      <c r="A5" t="s">
        <v>135</v>
      </c>
      <c r="C5">
        <v>5569000</v>
      </c>
    </row>
    <row r="7" spans="1:4" x14ac:dyDescent="0.2">
      <c r="A7" t="s">
        <v>136</v>
      </c>
      <c r="B7" t="s">
        <v>142</v>
      </c>
      <c r="C7" t="s">
        <v>137</v>
      </c>
      <c r="D7" t="s">
        <v>138</v>
      </c>
    </row>
    <row r="8" spans="1:4" x14ac:dyDescent="0.2">
      <c r="C8" t="s">
        <v>140</v>
      </c>
      <c r="D8" t="s">
        <v>141</v>
      </c>
    </row>
    <row r="9" spans="1:4" x14ac:dyDescent="0.2">
      <c r="B9" s="16">
        <v>0</v>
      </c>
      <c r="C9" s="25">
        <f>C2*C5*C1/100</f>
        <v>1202904000</v>
      </c>
      <c r="D9" s="25">
        <f>C3*C1*(365*24*10)</f>
        <v>1576800000</v>
      </c>
    </row>
    <row r="10" spans="1:4" x14ac:dyDescent="0.2">
      <c r="B10" s="16">
        <v>0.1</v>
      </c>
      <c r="C10" s="41">
        <f>C9</f>
        <v>1202904000</v>
      </c>
      <c r="D10" s="42">
        <f>C3*C1*(365*24)*(1-POWER(1/(1+B10),10))/(1-(1/(1+B10)))</f>
        <v>1065762875.3502659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65" t="s">
        <v>2</v>
      </c>
      <c r="B2" s="65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6" t="s">
        <v>26</v>
      </c>
      <c r="B2" s="7" t="s">
        <v>27</v>
      </c>
      <c r="C2" s="8" t="s">
        <v>28</v>
      </c>
    </row>
    <row r="3" spans="1:3" x14ac:dyDescent="0.2">
      <c r="A3" s="9" t="s">
        <v>25</v>
      </c>
      <c r="B3" s="5">
        <v>36.799999999999997</v>
      </c>
      <c r="C3" s="10" t="s">
        <v>29</v>
      </c>
    </row>
    <row r="4" spans="1:3" x14ac:dyDescent="0.2">
      <c r="A4" s="9"/>
      <c r="B4" s="5">
        <f>1/B3</f>
        <v>2.7173913043478264E-2</v>
      </c>
      <c r="C4" s="10" t="s">
        <v>63</v>
      </c>
    </row>
    <row r="5" spans="1:3" x14ac:dyDescent="0.2">
      <c r="A5" s="9" t="s">
        <v>30</v>
      </c>
      <c r="B5">
        <v>6.4</v>
      </c>
      <c r="C5" s="10" t="s">
        <v>31</v>
      </c>
    </row>
    <row r="6" spans="1:3" x14ac:dyDescent="0.2">
      <c r="A6" s="9" t="s">
        <v>36</v>
      </c>
      <c r="B6">
        <v>590</v>
      </c>
      <c r="C6" s="10" t="s">
        <v>33</v>
      </c>
    </row>
    <row r="7" spans="1:3" x14ac:dyDescent="0.2">
      <c r="A7" s="9" t="s">
        <v>37</v>
      </c>
      <c r="B7">
        <v>763</v>
      </c>
      <c r="C7" s="10" t="s">
        <v>33</v>
      </c>
    </row>
    <row r="8" spans="1:3" x14ac:dyDescent="0.2">
      <c r="A8" s="9" t="s">
        <v>32</v>
      </c>
      <c r="B8">
        <v>544</v>
      </c>
      <c r="C8" s="10" t="s">
        <v>33</v>
      </c>
    </row>
    <row r="9" spans="1:3" x14ac:dyDescent="0.2">
      <c r="A9" s="9" t="s">
        <v>35</v>
      </c>
      <c r="B9" s="5">
        <v>703</v>
      </c>
      <c r="C9" s="10" t="s">
        <v>33</v>
      </c>
    </row>
    <row r="10" spans="1:3" x14ac:dyDescent="0.2">
      <c r="A10" s="9" t="s">
        <v>38</v>
      </c>
      <c r="B10">
        <v>20</v>
      </c>
      <c r="C10" s="10" t="s">
        <v>39</v>
      </c>
    </row>
    <row r="11" spans="1:3" x14ac:dyDescent="0.2">
      <c r="A11" s="9" t="s">
        <v>40</v>
      </c>
      <c r="B11" s="5">
        <v>32.64</v>
      </c>
      <c r="C11" s="10" t="s">
        <v>41</v>
      </c>
    </row>
    <row r="12" spans="1:3" x14ac:dyDescent="0.2">
      <c r="A12" s="9" t="s">
        <v>42</v>
      </c>
      <c r="B12" s="5">
        <v>3.41</v>
      </c>
      <c r="C12" s="10" t="s">
        <v>43</v>
      </c>
    </row>
    <row r="13" spans="1:3" x14ac:dyDescent="0.2">
      <c r="A13" s="9" t="s">
        <v>44</v>
      </c>
      <c r="B13">
        <v>10</v>
      </c>
      <c r="C13" s="10" t="s">
        <v>45</v>
      </c>
    </row>
    <row r="14" spans="1:3" ht="16" thickBot="1" x14ac:dyDescent="0.25">
      <c r="A14" s="11" t="s">
        <v>46</v>
      </c>
      <c r="B14" s="12">
        <v>20</v>
      </c>
      <c r="C14" s="13" t="s">
        <v>39</v>
      </c>
    </row>
    <row r="16" spans="1:3" x14ac:dyDescent="0.2">
      <c r="A16" s="4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2611-1C98-4542-8DB1-2F02A6C58FDE}">
  <dimension ref="A1:I44"/>
  <sheetViews>
    <sheetView tabSelected="1" workbookViewId="0">
      <selection activeCell="F24" sqref="F24"/>
    </sheetView>
  </sheetViews>
  <sheetFormatPr baseColWidth="10" defaultRowHeight="15" x14ac:dyDescent="0.2"/>
  <cols>
    <col min="1" max="1" width="25.83203125" bestFit="1" customWidth="1"/>
    <col min="2" max="2" width="14.33203125" customWidth="1"/>
    <col min="3" max="4" width="12.6640625" bestFit="1" customWidth="1"/>
    <col min="6" max="6" width="15.33203125" bestFit="1" customWidth="1"/>
  </cols>
  <sheetData>
    <row r="1" spans="1:8" x14ac:dyDescent="0.2">
      <c r="A1" t="s">
        <v>176</v>
      </c>
      <c r="G1" t="s">
        <v>173</v>
      </c>
    </row>
    <row r="2" spans="1:8" x14ac:dyDescent="0.2">
      <c r="A2" t="s">
        <v>175</v>
      </c>
      <c r="B2">
        <v>1.2E-2</v>
      </c>
      <c r="G2" t="s">
        <v>174</v>
      </c>
      <c r="H2">
        <v>3.7854100000000002</v>
      </c>
    </row>
    <row r="3" spans="1:8" ht="16" thickBot="1" x14ac:dyDescent="0.25">
      <c r="G3" t="s">
        <v>173</v>
      </c>
    </row>
    <row r="4" spans="1:8" ht="16" thickBot="1" x14ac:dyDescent="0.25">
      <c r="A4" s="55" t="s">
        <v>150</v>
      </c>
      <c r="B4" s="19">
        <v>100</v>
      </c>
      <c r="C4" s="19">
        <v>500</v>
      </c>
      <c r="D4" s="57">
        <v>1000</v>
      </c>
      <c r="G4" t="s">
        <v>156</v>
      </c>
      <c r="H4">
        <v>0.77</v>
      </c>
    </row>
    <row r="5" spans="1:8" x14ac:dyDescent="0.2">
      <c r="A5" s="9" t="s">
        <v>78</v>
      </c>
      <c r="B5">
        <f>[1]MeOH_original_data!B2*(1+MeOH!$B$2)</f>
        <v>167921429.192</v>
      </c>
      <c r="C5">
        <f>[1]MeOH_original_data!C2*(1+MeOH!$B$2)</f>
        <v>376933297.796</v>
      </c>
      <c r="D5" s="56">
        <f>[1]MeOH_original_data!D2*(1+MeOH!$B$2)</f>
        <v>655027563.25600004</v>
      </c>
      <c r="G5" t="s">
        <v>154</v>
      </c>
      <c r="H5">
        <v>0.8</v>
      </c>
    </row>
    <row r="6" spans="1:8" x14ac:dyDescent="0.2">
      <c r="A6" s="9" t="s">
        <v>172</v>
      </c>
      <c r="B6">
        <f>[1]MeOH_original_data!B3*(1+MeOH!$B$2)</f>
        <v>11297541.948000001</v>
      </c>
      <c r="C6">
        <f>[1]MeOH_original_data!C3*(1+MeOH!$B$2)</f>
        <v>19962889.100000001</v>
      </c>
      <c r="D6" s="56">
        <f>[1]MeOH_original_data!D3*(1+MeOH!$B$2)</f>
        <v>27050057.672000002</v>
      </c>
      <c r="G6" t="s">
        <v>153</v>
      </c>
      <c r="H6">
        <v>0.85</v>
      </c>
    </row>
    <row r="7" spans="1:8" x14ac:dyDescent="0.2">
      <c r="A7" s="9"/>
      <c r="D7" s="10"/>
    </row>
    <row r="8" spans="1:8" x14ac:dyDescent="0.2">
      <c r="A8" s="9" t="s">
        <v>171</v>
      </c>
      <c r="B8">
        <f>SUM(B9:B13)</f>
        <v>631442.96600000001</v>
      </c>
      <c r="C8">
        <f>SUM(C9:C13)</f>
        <v>3156650.1339999996</v>
      </c>
      <c r="D8" s="56">
        <f>SUM(D9:D13)</f>
        <v>6314321.8819999993</v>
      </c>
    </row>
    <row r="9" spans="1:8" x14ac:dyDescent="0.2">
      <c r="A9" s="9" t="s">
        <v>162</v>
      </c>
      <c r="B9">
        <v>0</v>
      </c>
      <c r="C9">
        <v>0</v>
      </c>
      <c r="D9" s="10">
        <v>0</v>
      </c>
    </row>
    <row r="10" spans="1:8" x14ac:dyDescent="0.2">
      <c r="A10" s="9" t="s">
        <v>160</v>
      </c>
      <c r="B10">
        <v>0</v>
      </c>
      <c r="C10">
        <v>0</v>
      </c>
      <c r="D10" s="10">
        <v>0</v>
      </c>
    </row>
    <row r="11" spans="1:8" x14ac:dyDescent="0.2">
      <c r="A11" s="9" t="s">
        <v>158</v>
      </c>
      <c r="B11">
        <v>0</v>
      </c>
      <c r="C11">
        <v>0</v>
      </c>
      <c r="D11" s="10">
        <v>0</v>
      </c>
    </row>
    <row r="12" spans="1:8" x14ac:dyDescent="0.2">
      <c r="A12" s="9" t="s">
        <v>170</v>
      </c>
      <c r="B12">
        <f>0.25*[1]MeOH_original_data!B8*(1+MeOH!$B$2)</f>
        <v>125952.00200000001</v>
      </c>
      <c r="C12">
        <f>0.25*[1]MeOH_original_data!C8*(1+MeOH!$B$2)</f>
        <v>629646.91899999999</v>
      </c>
      <c r="D12" s="10">
        <f>0.25*[1]MeOH_original_data!D8*(1+MeOH!$B$2)</f>
        <v>1259519.0079999999</v>
      </c>
    </row>
    <row r="13" spans="1:8" ht="16" thickBot="1" x14ac:dyDescent="0.25">
      <c r="A13" s="11" t="s">
        <v>169</v>
      </c>
      <c r="B13" s="18">
        <f>0.25*[1]MeOH_original_data!B9*(1+MeOH!$B$2)</f>
        <v>505490.96399999998</v>
      </c>
      <c r="C13" s="18">
        <f>0.25*[1]MeOH_original_data!C9*(1+MeOH!$B$2)</f>
        <v>2527003.2149999999</v>
      </c>
      <c r="D13" s="13">
        <f>0.25*[1]MeOH_original_data!D9*(1+MeOH!$B$2)</f>
        <v>5054802.8739999998</v>
      </c>
    </row>
    <row r="15" spans="1:8" x14ac:dyDescent="0.2">
      <c r="A15" t="s">
        <v>168</v>
      </c>
      <c r="B15" t="s">
        <v>167</v>
      </c>
    </row>
    <row r="16" spans="1:8" x14ac:dyDescent="0.2">
      <c r="B16" t="s">
        <v>166</v>
      </c>
    </row>
    <row r="18" spans="1:9" ht="16" thickBot="1" x14ac:dyDescent="0.25">
      <c r="A18" t="s">
        <v>165</v>
      </c>
    </row>
    <row r="19" spans="1:9" ht="16" thickBot="1" x14ac:dyDescent="0.25">
      <c r="A19" s="55" t="s">
        <v>150</v>
      </c>
      <c r="B19" s="19">
        <v>100</v>
      </c>
      <c r="C19" s="19">
        <v>500</v>
      </c>
      <c r="D19" s="20">
        <v>1000</v>
      </c>
    </row>
    <row r="20" spans="1:9" ht="16" thickBot="1" x14ac:dyDescent="0.25">
      <c r="A20" s="70" t="s">
        <v>164</v>
      </c>
      <c r="B20" s="71"/>
      <c r="C20" s="71"/>
      <c r="D20" s="72"/>
      <c r="F20" s="21" t="s">
        <v>163</v>
      </c>
      <c r="G20" s="19">
        <v>100</v>
      </c>
      <c r="H20" s="19">
        <v>500</v>
      </c>
      <c r="I20" s="20">
        <v>1000</v>
      </c>
    </row>
    <row r="21" spans="1:9" x14ac:dyDescent="0.2">
      <c r="A21" s="54" t="s">
        <v>162</v>
      </c>
      <c r="B21" s="53">
        <f>[1]MeOH_original_data!B18*1000/(24)</f>
        <v>2416.6666666666665</v>
      </c>
      <c r="C21" s="53">
        <f>[1]MeOH_original_data!C18*1000/(24)</f>
        <v>12125</v>
      </c>
      <c r="D21" s="52">
        <f>[1]MeOH_original_data!D18*1000/(24)</f>
        <v>24291.666666666668</v>
      </c>
      <c r="F21" s="22" t="s">
        <v>162</v>
      </c>
      <c r="G21" s="51">
        <v>1</v>
      </c>
      <c r="H21" s="51">
        <v>1</v>
      </c>
      <c r="I21" s="50">
        <v>1</v>
      </c>
    </row>
    <row r="22" spans="1:9" ht="16" thickBot="1" x14ac:dyDescent="0.25">
      <c r="A22" s="11" t="s">
        <v>161</v>
      </c>
      <c r="B22" s="45">
        <f>[1]MeOH_original_data!B19*1000/(24)</f>
        <v>14666.666666666666</v>
      </c>
      <c r="C22" s="45">
        <f>[1]MeOH_original_data!C19*1000/(24)</f>
        <v>73375</v>
      </c>
      <c r="D22" s="44">
        <f>[1]MeOH_original_data!D19*1000/(24)</f>
        <v>146791.66666666666</v>
      </c>
      <c r="F22" s="22" t="s">
        <v>160</v>
      </c>
      <c r="G22" s="51">
        <f>G$21*B22/B$21</f>
        <v>6.068965517241379</v>
      </c>
      <c r="H22" s="51">
        <f>H$21*C22/C21</f>
        <v>6.0515463917525771</v>
      </c>
      <c r="I22" s="50">
        <f>I$21*D22/D21</f>
        <v>6.0428816466552311</v>
      </c>
    </row>
    <row r="23" spans="1:9" ht="16" thickBot="1" x14ac:dyDescent="0.25">
      <c r="A23" s="9" t="s">
        <v>159</v>
      </c>
      <c r="B23" s="49">
        <f>[1]MeOH_original_data!B20</f>
        <v>5.5</v>
      </c>
      <c r="C23" s="49">
        <f>[1]MeOH_original_data!C20</f>
        <v>27</v>
      </c>
      <c r="D23" s="49">
        <f>[1]MeOH_original_data!D20</f>
        <v>53</v>
      </c>
      <c r="F23" s="22" t="s">
        <v>158</v>
      </c>
      <c r="G23" s="51">
        <f>G$21*B23/B$21</f>
        <v>2.2758620689655173E-3</v>
      </c>
      <c r="H23" s="51">
        <f>H$21*C23/C22</f>
        <v>3.6797274275979556E-4</v>
      </c>
      <c r="I23" s="50">
        <f>I$21*D23/D22</f>
        <v>3.6105591825149024E-4</v>
      </c>
    </row>
    <row r="24" spans="1:9" ht="16" thickBot="1" x14ac:dyDescent="0.25">
      <c r="A24" s="69" t="s">
        <v>157</v>
      </c>
      <c r="B24" s="59"/>
      <c r="C24" s="59"/>
      <c r="D24" s="60"/>
      <c r="F24" s="22" t="s">
        <v>156</v>
      </c>
      <c r="G24" s="51">
        <f t="shared" ref="G24:I26" si="0">G$21*B25/B$21</f>
        <v>4.1379310344827586E-2</v>
      </c>
      <c r="H24" s="51">
        <f t="shared" si="0"/>
        <v>4.192439862542955E-2</v>
      </c>
      <c r="I24" s="50">
        <f t="shared" si="0"/>
        <v>4.1852487135506003E-2</v>
      </c>
    </row>
    <row r="25" spans="1:9" x14ac:dyDescent="0.2">
      <c r="A25" s="54" t="s">
        <v>155</v>
      </c>
      <c r="B25" s="53">
        <f>[1]MeOH_original_data!B22*1000/(24)</f>
        <v>100</v>
      </c>
      <c r="C25" s="53">
        <f>[1]MeOH_original_data!C22*1000/(24)</f>
        <v>508.33333333333331</v>
      </c>
      <c r="D25" s="52">
        <f>[1]MeOH_original_data!D22*1000/(24)</f>
        <v>1016.6666666666666</v>
      </c>
      <c r="F25" s="22" t="s">
        <v>154</v>
      </c>
      <c r="G25" s="51">
        <f t="shared" si="0"/>
        <v>0.34655172413793106</v>
      </c>
      <c r="H25" s="51">
        <f t="shared" si="0"/>
        <v>0.3446735395189004</v>
      </c>
      <c r="I25" s="50">
        <f t="shared" si="0"/>
        <v>0.34425385934819897</v>
      </c>
    </row>
    <row r="26" spans="1:9" ht="16" thickBot="1" x14ac:dyDescent="0.25">
      <c r="A26" s="9" t="s">
        <v>154</v>
      </c>
      <c r="B26" s="49">
        <f>[1]MeOH_original_data!B23*1000/(24)</f>
        <v>837.5</v>
      </c>
      <c r="C26" s="49">
        <f>[1]MeOH_original_data!C23*1000/(24)</f>
        <v>4179.166666666667</v>
      </c>
      <c r="D26" s="48">
        <f>[1]MeOH_original_data!D23*1000/(24)</f>
        <v>8362.5</v>
      </c>
      <c r="F26" s="23" t="s">
        <v>153</v>
      </c>
      <c r="G26" s="47">
        <f t="shared" si="0"/>
        <v>1.4896551724137932</v>
      </c>
      <c r="H26" s="47">
        <f t="shared" si="0"/>
        <v>1.4838487972508592</v>
      </c>
      <c r="I26" s="46">
        <f t="shared" si="0"/>
        <v>1.481303602058319</v>
      </c>
    </row>
    <row r="27" spans="1:9" ht="16" thickBot="1" x14ac:dyDescent="0.25">
      <c r="A27" s="11" t="s">
        <v>153</v>
      </c>
      <c r="B27" s="45">
        <f>[1]MeOH_original_data!B24*1000/(24)</f>
        <v>3600</v>
      </c>
      <c r="C27" s="45">
        <f>[1]MeOH_original_data!C24*1000/(24)</f>
        <v>17991.666666666668</v>
      </c>
      <c r="D27" s="44">
        <f>[1]MeOH_original_data!D24*1000/(24)</f>
        <v>35983.333333333336</v>
      </c>
    </row>
    <row r="30" spans="1:9" x14ac:dyDescent="0.2">
      <c r="A30" t="s">
        <v>152</v>
      </c>
      <c r="B30" t="s">
        <v>151</v>
      </c>
    </row>
    <row r="31" spans="1:9" x14ac:dyDescent="0.2">
      <c r="A31" t="s">
        <v>150</v>
      </c>
      <c r="B31">
        <v>100</v>
      </c>
      <c r="C31">
        <v>500</v>
      </c>
      <c r="D31">
        <v>1000</v>
      </c>
    </row>
    <row r="32" spans="1:9" x14ac:dyDescent="0.2">
      <c r="A32" t="s">
        <v>78</v>
      </c>
      <c r="B32">
        <v>167921429.192</v>
      </c>
      <c r="C32">
        <v>376933297.796</v>
      </c>
      <c r="D32">
        <v>655027563.25600004</v>
      </c>
    </row>
    <row r="33" spans="1:4" x14ac:dyDescent="0.2">
      <c r="A33" t="s">
        <v>150</v>
      </c>
      <c r="B33" t="s">
        <v>78</v>
      </c>
      <c r="C33" t="s">
        <v>149</v>
      </c>
      <c r="D33" t="s">
        <v>148</v>
      </c>
    </row>
    <row r="34" spans="1:4" x14ac:dyDescent="0.2">
      <c r="A34">
        <v>100</v>
      </c>
      <c r="B34">
        <v>167921429.192</v>
      </c>
      <c r="C34">
        <f>LN(A34/$A$36)</f>
        <v>-2.3025850929940455</v>
      </c>
      <c r="D34">
        <f>LN(B34)</f>
        <v>18.939006744588596</v>
      </c>
    </row>
    <row r="35" spans="1:4" x14ac:dyDescent="0.2">
      <c r="A35">
        <v>500</v>
      </c>
      <c r="B35">
        <v>376933297.796</v>
      </c>
      <c r="C35">
        <f>LN(A35/$A$36)</f>
        <v>-0.69314718055994529</v>
      </c>
      <c r="D35">
        <f>LN(B35)</f>
        <v>19.747578800835441</v>
      </c>
    </row>
    <row r="36" spans="1:4" x14ac:dyDescent="0.2">
      <c r="A36">
        <v>1000</v>
      </c>
      <c r="B36">
        <v>655027563.25600004</v>
      </c>
      <c r="C36">
        <f>LN(A36/$A$36)</f>
        <v>0</v>
      </c>
      <c r="D36">
        <f>LN(B36)</f>
        <v>20.300187874021002</v>
      </c>
    </row>
    <row r="38" spans="1:4" x14ac:dyDescent="0.2">
      <c r="A38" t="s">
        <v>147</v>
      </c>
    </row>
    <row r="39" spans="1:4" x14ac:dyDescent="0.2">
      <c r="A39" s="43" t="s">
        <v>146</v>
      </c>
      <c r="B39" s="43">
        <f>EXP(20.237)</f>
        <v>614918317.57584751</v>
      </c>
    </row>
    <row r="40" spans="1:4" x14ac:dyDescent="0.2">
      <c r="A40" s="43" t="s">
        <v>145</v>
      </c>
      <c r="B40" s="43">
        <v>0.57550000000000001</v>
      </c>
    </row>
    <row r="42" spans="1:4" x14ac:dyDescent="0.2">
      <c r="A42" t="s">
        <v>144</v>
      </c>
      <c r="B42">
        <f>B19</f>
        <v>100</v>
      </c>
      <c r="C42">
        <f>C19</f>
        <v>500</v>
      </c>
      <c r="D42">
        <f>D19</f>
        <v>1000</v>
      </c>
    </row>
    <row r="43" spans="1:4" x14ac:dyDescent="0.2">
      <c r="A43" t="s">
        <v>143</v>
      </c>
      <c r="B43">
        <f>B21/B42</f>
        <v>24.166666666666664</v>
      </c>
      <c r="C43">
        <f>C21/C42</f>
        <v>24.25</v>
      </c>
      <c r="D43">
        <f>D21/D42</f>
        <v>24.291666666666668</v>
      </c>
    </row>
    <row r="44" spans="1:4" x14ac:dyDescent="0.2">
      <c r="A44" t="s">
        <v>143</v>
      </c>
      <c r="B44">
        <f>B43</f>
        <v>24.166666666666664</v>
      </c>
    </row>
  </sheetData>
  <mergeCells count="2">
    <mergeCell ref="A20:D20"/>
    <mergeCell ref="A24:D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SMR</vt:lpstr>
      <vt:lpstr>Boundaries</vt:lpstr>
      <vt:lpstr>HTSE_steps</vt:lpstr>
      <vt:lpstr>MeOH_steps</vt:lpstr>
      <vt:lpstr>storage_steps</vt:lpstr>
      <vt:lpstr>PTC vs. ITC</vt:lpstr>
      <vt:lpstr>MACRS</vt:lpstr>
      <vt:lpstr>HTSE</vt:lpstr>
      <vt:lpstr>MeOH</vt:lpstr>
      <vt:lpstr>MeOH_original_data</vt:lpstr>
      <vt:lpstr>Capacity_Market</vt:lpstr>
      <vt:lpstr>Tax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2023-07-21T14:52:35Z</dcterms:modified>
</cp:coreProperties>
</file>