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_FT_2023/data/"/>
    </mc:Choice>
  </mc:AlternateContent>
  <xr:revisionPtr revIDLastSave="0" documentId="13_ncr:1_{F609BC5A-B230-5647-A512-E092BA3D2B37}" xr6:coauthVersionLast="47" xr6:coauthVersionMax="47" xr10:uidLastSave="{00000000-0000-0000-0000-000000000000}"/>
  <bookViews>
    <workbookView xWindow="0" yWindow="500" windowWidth="35840" windowHeight="20200" activeTab="4" xr2:uid="{3CE7F202-39F9-48AF-B0C7-575379157397}"/>
  </bookViews>
  <sheets>
    <sheet name="MACRS" sheetId="1" r:id="rId1"/>
    <sheet name="Transfer_rates" sheetId="4" r:id="rId2"/>
    <sheet name="HTSE" sheetId="2" r:id="rId3"/>
    <sheet name="FT" sheetId="11" r:id="rId4"/>
    <sheet name="Sweep values" sheetId="10" r:id="rId5"/>
    <sheet name="Capacity_Market" sheetId="3" r:id="rId6"/>
    <sheet name="NPP_capacities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10" l="1"/>
  <c r="K44" i="10" s="1"/>
  <c r="B44" i="10"/>
  <c r="H21" i="10"/>
  <c r="H22" i="10"/>
  <c r="H23" i="10"/>
  <c r="H24" i="10"/>
  <c r="I20" i="10"/>
  <c r="I21" i="10"/>
  <c r="I22" i="10"/>
  <c r="I23" i="10"/>
  <c r="G21" i="10"/>
  <c r="G22" i="10"/>
  <c r="G23" i="10"/>
  <c r="G24" i="10"/>
  <c r="G20" i="10"/>
  <c r="C21" i="10"/>
  <c r="E21" i="10" s="1"/>
  <c r="C22" i="10"/>
  <c r="E22" i="10" s="1"/>
  <c r="C23" i="10"/>
  <c r="E23" i="10" s="1"/>
  <c r="C24" i="10"/>
  <c r="E24" i="10" s="1"/>
  <c r="C20" i="10"/>
  <c r="E20" i="10" s="1"/>
  <c r="D21" i="10"/>
  <c r="F21" i="10" s="1"/>
  <c r="D22" i="10"/>
  <c r="F22" i="10" s="1"/>
  <c r="D23" i="10"/>
  <c r="F23" i="10" s="1"/>
  <c r="D24" i="10"/>
  <c r="F24" i="10" s="1"/>
  <c r="D20" i="10"/>
  <c r="F20" i="10" s="1"/>
  <c r="B25" i="11"/>
  <c r="B21" i="11"/>
  <c r="J3" i="12"/>
  <c r="J4" i="12"/>
  <c r="J5" i="12"/>
  <c r="J6" i="12"/>
  <c r="J7" i="12"/>
  <c r="J8" i="12"/>
  <c r="J2" i="12"/>
  <c r="B20" i="4"/>
  <c r="B15" i="11"/>
  <c r="J10" i="11"/>
  <c r="K10" i="11"/>
  <c r="I10" i="11"/>
  <c r="J9" i="11"/>
  <c r="I8" i="11"/>
  <c r="I9" i="11" s="1"/>
  <c r="K8" i="11"/>
  <c r="K9" i="11" s="1"/>
  <c r="B8" i="3"/>
  <c r="B4" i="2"/>
  <c r="B19" i="4"/>
  <c r="F12" i="4"/>
  <c r="F13" i="4"/>
  <c r="F11" i="4"/>
  <c r="F8" i="4"/>
  <c r="F7" i="4"/>
  <c r="D7" i="4"/>
  <c r="D8" i="4"/>
  <c r="D11" i="4"/>
  <c r="D12" i="4"/>
  <c r="D13" i="4"/>
  <c r="I46" i="10" l="1"/>
  <c r="G46" i="10"/>
  <c r="B48" i="10"/>
  <c r="F46" i="10"/>
  <c r="C48" i="10"/>
  <c r="H44" i="10"/>
  <c r="K47" i="10"/>
  <c r="E46" i="10"/>
  <c r="K48" i="10"/>
  <c r="E47" i="10"/>
  <c r="C31" i="10"/>
  <c r="K30" i="10"/>
  <c r="J30" i="10"/>
  <c r="D29" i="10"/>
  <c r="H46" i="10"/>
  <c r="D46" i="10"/>
  <c r="I47" i="10"/>
  <c r="C46" i="10"/>
  <c r="E44" i="10"/>
  <c r="H47" i="10"/>
  <c r="B46" i="10"/>
  <c r="K45" i="10"/>
  <c r="I48" i="10"/>
  <c r="C47" i="10"/>
  <c r="G45" i="10"/>
  <c r="H48" i="10"/>
  <c r="F45" i="10"/>
  <c r="G48" i="10"/>
  <c r="K46" i="10"/>
  <c r="J46" i="10"/>
  <c r="H39" i="10"/>
  <c r="J37" i="10"/>
  <c r="D31" i="10"/>
  <c r="C29" i="10"/>
  <c r="B39" i="10"/>
  <c r="B37" i="10"/>
  <c r="G39" i="10"/>
  <c r="B29" i="10"/>
  <c r="K32" i="10"/>
  <c r="D39" i="10"/>
  <c r="K40" i="10"/>
  <c r="H32" i="10"/>
  <c r="I37" i="10"/>
  <c r="G32" i="10"/>
  <c r="H37" i="10"/>
  <c r="F39" i="10"/>
  <c r="E39" i="10"/>
  <c r="J32" i="10"/>
  <c r="I32" i="10"/>
  <c r="C39" i="10"/>
  <c r="J38" i="10"/>
  <c r="E31" i="10"/>
  <c r="G37" i="10"/>
  <c r="I30" i="10"/>
  <c r="H30" i="10"/>
  <c r="F37" i="10"/>
  <c r="G29" i="10"/>
  <c r="E37" i="10"/>
  <c r="F29" i="10"/>
  <c r="D37" i="10"/>
  <c r="E29" i="10"/>
  <c r="C37" i="10"/>
  <c r="B38" i="10"/>
  <c r="J28" i="10"/>
  <c r="I40" i="10"/>
  <c r="I36" i="10"/>
  <c r="J40" i="10"/>
  <c r="K28" i="10"/>
  <c r="H40" i="10"/>
  <c r="E32" i="10"/>
  <c r="I38" i="10"/>
  <c r="F30" i="10"/>
  <c r="H38" i="10"/>
  <c r="C32" i="10"/>
  <c r="G28" i="10"/>
  <c r="G38" i="10"/>
  <c r="D30" i="10"/>
  <c r="H36" i="10"/>
  <c r="J31" i="10"/>
  <c r="C38" i="10"/>
  <c r="K38" i="10"/>
  <c r="I28" i="10"/>
  <c r="G40" i="10"/>
  <c r="K36" i="10"/>
  <c r="D32" i="10"/>
  <c r="H28" i="10"/>
  <c r="F40" i="10"/>
  <c r="E30" i="10"/>
  <c r="E40" i="10"/>
  <c r="K31" i="10"/>
  <c r="C30" i="10"/>
  <c r="C40" i="10"/>
  <c r="G36" i="10"/>
  <c r="K29" i="10"/>
  <c r="F36" i="10"/>
  <c r="B32" i="10"/>
  <c r="J29" i="10"/>
  <c r="G31" i="10"/>
  <c r="I39" i="10"/>
  <c r="D36" i="10"/>
  <c r="F32" i="10"/>
  <c r="G30" i="10"/>
  <c r="J36" i="10"/>
  <c r="F28" i="10"/>
  <c r="D40" i="10"/>
  <c r="F38" i="10"/>
  <c r="E28" i="10"/>
  <c r="E38" i="10"/>
  <c r="B28" i="10"/>
  <c r="I31" i="10"/>
  <c r="D28" i="10"/>
  <c r="K39" i="10"/>
  <c r="D38" i="10"/>
  <c r="H31" i="10"/>
  <c r="C28" i="10"/>
  <c r="J39" i="10"/>
  <c r="E36" i="10"/>
  <c r="B31" i="10"/>
  <c r="I29" i="10"/>
  <c r="B36" i="10"/>
  <c r="K37" i="10"/>
  <c r="B30" i="10"/>
  <c r="F31" i="10"/>
  <c r="H29" i="10"/>
  <c r="B40" i="10"/>
  <c r="C36" i="10"/>
  <c r="D48" i="10"/>
  <c r="F47" i="10"/>
  <c r="E45" i="10"/>
  <c r="F44" i="10" l="1"/>
  <c r="D47" i="10"/>
  <c r="G44" i="10"/>
  <c r="J44" i="10"/>
  <c r="H45" i="10"/>
  <c r="I45" i="10"/>
  <c r="J47" i="10"/>
  <c r="J48" i="10"/>
  <c r="I44" i="10"/>
  <c r="C45" i="10"/>
  <c r="E48" i="10"/>
  <c r="G47" i="10"/>
  <c r="B45" i="10"/>
  <c r="D45" i="10"/>
  <c r="D44" i="10"/>
  <c r="J45" i="10"/>
  <c r="B47" i="10"/>
  <c r="F48" i="10"/>
  <c r="C44" i="10"/>
</calcChain>
</file>

<file path=xl/sharedStrings.xml><?xml version="1.0" encoding="utf-8"?>
<sst xmlns="http://schemas.openxmlformats.org/spreadsheetml/2006/main" count="321" uniqueCount="224">
  <si>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</si>
  <si>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</si>
  <si>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</si>
  <si>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</si>
  <si>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</si>
  <si>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</si>
  <si>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</si>
  <si>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</si>
  <si>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</si>
  <si>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</si>
  <si>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</si>
  <si>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</si>
  <si>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</si>
  <si>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</si>
  <si>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</si>
  <si>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</si>
  <si>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</si>
  <si>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</si>
  <si>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</si>
  <si>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</si>
  <si>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</si>
  <si>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</si>
  <si>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</si>
  <si>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</si>
  <si>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</si>
  <si>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</si>
  <si>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</si>
  <si>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</si>
  <si>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</si>
  <si>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</si>
  <si>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</si>
  <si>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</si>
  <si>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</si>
  <si>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</si>
  <si>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</si>
  <si>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</si>
  <si>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</si>
  <si>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</si>
  <si>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</si>
  <si>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</si>
  <si>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</si>
  <si>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</si>
  <si>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</si>
  <si>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</si>
  <si>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</si>
  <si>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</si>
  <si>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</si>
  <si>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</si>
  <si>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</si>
  <si>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</si>
  <si>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</si>
  <si>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</si>
  <si>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</si>
  <si>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</si>
  <si>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</si>
  <si>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</si>
  <si>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</si>
  <si>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</si>
  <si>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</si>
  <si>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</si>
  <si>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</si>
  <si>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FT process</t>
  </si>
  <si>
    <t>Inputs</t>
  </si>
  <si>
    <t>CO2</t>
  </si>
  <si>
    <t>H2</t>
  </si>
  <si>
    <t>Electricity</t>
  </si>
  <si>
    <t>MWe</t>
  </si>
  <si>
    <t>MT/day</t>
  </si>
  <si>
    <t>Outputs</t>
  </si>
  <si>
    <t>Naphta</t>
  </si>
  <si>
    <t>Jet Fuel</t>
  </si>
  <si>
    <t>Diesel</t>
  </si>
  <si>
    <t>kg/s</t>
  </si>
  <si>
    <t>kWh/kg-H2</t>
  </si>
  <si>
    <t>kg/h</t>
  </si>
  <si>
    <t>kg-H2/kWh</t>
  </si>
  <si>
    <t>Fixed no matter production level</t>
  </si>
  <si>
    <t>Modeled as separate electricity consuming component</t>
  </si>
  <si>
    <t>Using NOAK values</t>
  </si>
  <si>
    <t>kg-H2/kWh-e</t>
  </si>
  <si>
    <t>Performance and cost analysis of liquid fuel production form H2 and CO2 based on the FT process</t>
  </si>
  <si>
    <t>TCI</t>
  </si>
  <si>
    <t>Size factor</t>
  </si>
  <si>
    <t>Log size factor</t>
  </si>
  <si>
    <t>Name</t>
  </si>
  <si>
    <t>scaling factor</t>
  </si>
  <si>
    <t>depreciate</t>
  </si>
  <si>
    <t>Comment</t>
  </si>
  <si>
    <t>Acronyms</t>
  </si>
  <si>
    <t>Equations</t>
  </si>
  <si>
    <t>Average</t>
  </si>
  <si>
    <t>Used to compute a negative cashflow for the capacity of the NPP not sold on the capacity market</t>
  </si>
  <si>
    <t>FT ANL report</t>
  </si>
  <si>
    <t>Dan Wendt report</t>
  </si>
  <si>
    <t>Components capacities optimization boundaries calculation</t>
  </si>
  <si>
    <t>Fixed components</t>
  </si>
  <si>
    <t>Purpose</t>
  </si>
  <si>
    <t>Capacity negative when component is consuming a resource</t>
  </si>
  <si>
    <t>Lower</t>
  </si>
  <si>
    <t>Upper</t>
  </si>
  <si>
    <t xml:space="preserve">Capacity  </t>
  </si>
  <si>
    <t>ft_elec_consumption</t>
  </si>
  <si>
    <t>jet_fuel_market</t>
  </si>
  <si>
    <t>diesel_market</t>
  </si>
  <si>
    <t>naphtha_market</t>
  </si>
  <si>
    <t>Update from ANL August 2022</t>
  </si>
  <si>
    <t>The Modeling of the Synfuel Production Process, H.E Delgado and all, June 2022</t>
  </si>
  <si>
    <t>Financial assumptions</t>
  </si>
  <si>
    <t xml:space="preserve">Basis year </t>
  </si>
  <si>
    <t xml:space="preserve">Depreciation </t>
  </si>
  <si>
    <t>20 year MACRS</t>
  </si>
  <si>
    <t xml:space="preserve">Inflation </t>
  </si>
  <si>
    <t xml:space="preserve">Plant life </t>
  </si>
  <si>
    <t>40 years</t>
  </si>
  <si>
    <t>CAPEX</t>
  </si>
  <si>
    <t>driver</t>
  </si>
  <si>
    <t>ft_capacity</t>
  </si>
  <si>
    <t>reference driver</t>
  </si>
  <si>
    <t>Node</t>
  </si>
  <si>
    <t>value</t>
  </si>
  <si>
    <t>unit</t>
  </si>
  <si>
    <t>kg-H2/h</t>
  </si>
  <si>
    <t>Table 3 (255MT-h2/day)</t>
  </si>
  <si>
    <t>Data</t>
  </si>
  <si>
    <t>FT-400</t>
  </si>
  <si>
    <t>reference price</t>
  </si>
  <si>
    <t>Total Capital Cost TCI</t>
  </si>
  <si>
    <t>Size (MW)</t>
  </si>
  <si>
    <t xml:space="preserve">Log TCI </t>
  </si>
  <si>
    <t>VOM</t>
  </si>
  <si>
    <t>Not considering H2 cost, CO2 taken into account in supply curve, utilities only</t>
  </si>
  <si>
    <t>convert $2016 to $2020 using inflation rate</t>
  </si>
  <si>
    <t>$(2020)</t>
  </si>
  <si>
    <t>kg-H2/MWh</t>
  </si>
  <si>
    <t>elec_market</t>
  </si>
  <si>
    <t>Plant</t>
  </si>
  <si>
    <t>Market</t>
  </si>
  <si>
    <t>Reactor type</t>
  </si>
  <si>
    <t># Units</t>
  </si>
  <si>
    <t>Capacity (MWth)</t>
  </si>
  <si>
    <t>Capacity (MWe)</t>
  </si>
  <si>
    <t>State</t>
  </si>
  <si>
    <t>State corporate income tax rate (%)</t>
  </si>
  <si>
    <t>Braidwood</t>
  </si>
  <si>
    <t>PJM</t>
  </si>
  <si>
    <t>PWR</t>
  </si>
  <si>
    <t>https://en.wikipedia.org/wiki/Braidwood_Nuclear_Generating_Station</t>
  </si>
  <si>
    <t>Illinois</t>
  </si>
  <si>
    <t>Davis-Besse</t>
  </si>
  <si>
    <t>https://en.wikipedia.org/wiki/Davis–Besse_Nuclear_Power_Station</t>
  </si>
  <si>
    <t>Ohio</t>
  </si>
  <si>
    <t>South Texas Project</t>
  </si>
  <si>
    <t>ERCOT</t>
  </si>
  <si>
    <t>https://en.wikipedia.org/wiki/South_Texas_Nuclear_Generating_Station</t>
  </si>
  <si>
    <t>Texas</t>
  </si>
  <si>
    <t>Diablo Canyon</t>
  </si>
  <si>
    <t>CAISO</t>
  </si>
  <si>
    <t>https://en.wikipedia.org/wiki/Diablo_Canyon_Power_Plant</t>
  </si>
  <si>
    <t>California</t>
  </si>
  <si>
    <t>Prairie Island</t>
  </si>
  <si>
    <t>MISO</t>
  </si>
  <si>
    <t>https://en.wikipedia.org/wiki/Prairie_Island_Nuclear_Power_Plant</t>
  </si>
  <si>
    <t>Minnesota</t>
  </si>
  <si>
    <t>Cooper Nuclear Station</t>
  </si>
  <si>
    <t>SPP</t>
  </si>
  <si>
    <t>BWR</t>
  </si>
  <si>
    <t>https://en.wikipedia.org/wiki/Cooper_Nuclear_Station</t>
  </si>
  <si>
    <t>Nebraska</t>
  </si>
  <si>
    <t>Palo Verde</t>
  </si>
  <si>
    <t>Southwest, Arizona</t>
  </si>
  <si>
    <t>https://en.wikipedia.org/wiki/Palo_Verde_Nuclear_Generating_Station</t>
  </si>
  <si>
    <t>Arizona</t>
  </si>
  <si>
    <t>1194/1160</t>
  </si>
  <si>
    <t>1138/1118</t>
  </si>
  <si>
    <t>522/519</t>
  </si>
  <si>
    <t>1311/1314/1312</t>
  </si>
  <si>
    <t>Effective tax rate</t>
  </si>
  <si>
    <t>Federal corporate tax rate</t>
  </si>
  <si>
    <t>Description</t>
  </si>
  <si>
    <t>TDCC</t>
  </si>
  <si>
    <t>Total Direct Capital Costs, sum of equipment installed costs</t>
  </si>
  <si>
    <t>$USD (2016)</t>
  </si>
  <si>
    <t>Depreciable Capital Costs</t>
  </si>
  <si>
    <t>Site preparation</t>
  </si>
  <si>
    <t>Eng and design</t>
  </si>
  <si>
    <t>Project contingency</t>
  </si>
  <si>
    <t>Catalyst first fill fee</t>
  </si>
  <si>
    <t>Upfront permitting costs</t>
  </si>
  <si>
    <t>Total depreciable capital costs</t>
  </si>
  <si>
    <t>Non-depreciable Capital Costs</t>
  </si>
  <si>
    <t>Land</t>
  </si>
  <si>
    <t>Total Capital Investment</t>
  </si>
  <si>
    <t>LC</t>
  </si>
  <si>
    <t>Labor Cost</t>
  </si>
  <si>
    <t>$USD (2016)/year</t>
  </si>
  <si>
    <t>Gen and admin</t>
  </si>
  <si>
    <t>20% LC</t>
  </si>
  <si>
    <t>Property taxes and insurance</t>
  </si>
  <si>
    <t>2% TCI</t>
  </si>
  <si>
    <t>Materials costs for maintenance</t>
  </si>
  <si>
    <t>Total Fixed Operating Costs</t>
  </si>
  <si>
    <t>None Energy material and utilities costs</t>
  </si>
  <si>
    <t>Total Variable Operating Costs (excl. feedstock and elec)</t>
  </si>
  <si>
    <t>Depreciation schedule</t>
  </si>
  <si>
    <t>Storage lower</t>
  </si>
  <si>
    <t>10 so 0 storage</t>
  </si>
  <si>
    <t>Storage upper</t>
  </si>
  <si>
    <t>14 days worth of storage for the FT max capacity</t>
  </si>
  <si>
    <t>HTSE Steps</t>
  </si>
  <si>
    <t>FT Steps</t>
  </si>
  <si>
    <t>Lower bound HTSE</t>
  </si>
  <si>
    <t>100MW combined HTSE+FT power req</t>
  </si>
  <si>
    <t>Higher bound HTSE</t>
  </si>
  <si>
    <t>1000MW combined HTSE+FT power req</t>
  </si>
  <si>
    <t>Constant Ft power req (MW)</t>
  </si>
  <si>
    <t>HTSE (MWe)</t>
  </si>
  <si>
    <t>FT (kg-H2)</t>
  </si>
  <si>
    <t>H2 storage (kg-H2)</t>
  </si>
  <si>
    <t>Hydrogen storage steps</t>
  </si>
  <si>
    <t>For SA cases only 5 points</t>
  </si>
  <si>
    <t>Max elec. Price</t>
  </si>
  <si>
    <t>Standard set for STP at max 14 days worth of FT hyd. Consumpt.</t>
  </si>
  <si>
    <t>Days FT prod. for sto max cap.</t>
  </si>
  <si>
    <t>Cooper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</si>
</sst>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37">
    <xf numFmtId="0" fontId="0" fillId="0" borderId="0" xfId="0"/>
    <xf numFmtId="49" fontId="0" fillId="0" borderId="0" xfId="0" applyNumberFormat="1"/>
    <xf numFmtId="11" fontId="0" fillId="0" borderId="0" xfId="0" applyNumberFormat="1"/>
    <xf numFmtId="11" fontId="3" fillId="0" borderId="0" xfId="0" applyNumberFormat="1" applyFont="1"/>
    <xf numFmtId="0" fontId="3" fillId="0" borderId="0" xfId="0" applyFont="1"/>
    <xf numFmtId="11" fontId="2" fillId="0" borderId="0" xfId="0" applyNumberFormat="1" applyFont="1"/>
    <xf numFmtId="0" fontId="2" fillId="0" borderId="0" xfId="0" applyFont="1"/>
    <xf numFmtId="0" fontId="1" fillId="2" borderId="0" xfId="1"/>
    <xf numFmtId="0" fontId="0" fillId="0" borderId="0" xfId="0" applyAlignment="1">
      <alignment wrapText="1"/>
    </xf>
    <xf numFmtId="0" fontId="1" fillId="2" borderId="0" xfId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1" applyBorder="1"/>
    <xf numFmtId="0" fontId="0" fillId="0" borderId="8" xfId="0" applyBorder="1"/>
    <xf numFmtId="0" fontId="4" fillId="0" borderId="0" xfId="2"/>
    <xf numFmtId="10" fontId="0" fillId="0" borderId="0" xfId="0" applyNumberFormat="1"/>
    <xf numFmtId="44" fontId="0" fillId="0" borderId="0" xfId="0" applyNumberFormat="1"/>
    <xf numFmtId="3" fontId="0" fillId="0" borderId="0" xfId="0" applyNumberFormat="1"/>
    <xf numFmtId="9" fontId="0" fillId="0" borderId="0" xfId="3" applyFont="1"/>
    <xf numFmtId="10" fontId="0" fillId="0" borderId="0" xfId="3" applyNumberFormat="1" applyFont="1"/>
    <xf numFmtId="44" fontId="0" fillId="0" borderId="0" xfId="4" applyFont="1" applyBorder="1"/>
    <xf numFmtId="44" fontId="6" fillId="0" borderId="0" xfId="4" applyFont="1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1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5">
    <cellStyle name="Currency" xfId="4" builtinId="4"/>
    <cellStyle name="Good" xfId="1" builtinId="26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 logrithmic regression</a:t>
            </a:r>
          </a:p>
          <a:p>
            <a:pPr>
              <a:defRPr/>
            </a:pPr>
            <a:r>
              <a:rPr lang="en-US"/>
              <a:t>Goal:</a:t>
            </a:r>
            <a:r>
              <a:rPr lang="en-US" baseline="0"/>
              <a:t> Compute scaling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FT!$H$10</c:f>
              <c:strCache>
                <c:ptCount val="1"/>
                <c:pt idx="0">
                  <c:v>Log TCI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FT!$I$9:$K$9</c:f>
              <c:numCache>
                <c:formatCode>General</c:formatCode>
                <c:ptCount val="3"/>
                <c:pt idx="0">
                  <c:v>-0.6020599913279624</c:v>
                </c:pt>
                <c:pt idx="1">
                  <c:v>0</c:v>
                </c:pt>
                <c:pt idx="2">
                  <c:v>0.3979400086720376</c:v>
                </c:pt>
              </c:numCache>
            </c:numRef>
          </c:xVal>
          <c:yVal>
            <c:numRef>
              <c:f>FT!$I$10:$K$10</c:f>
              <c:numCache>
                <c:formatCode>General</c:formatCode>
                <c:ptCount val="3"/>
                <c:pt idx="0">
                  <c:v>7.8386476320849576</c:v>
                </c:pt>
                <c:pt idx="1">
                  <c:v>8.1907657756496093</c:v>
                </c:pt>
                <c:pt idx="2">
                  <c:v>8.4682380044363352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5-2841-B186-F8BEF29C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76783"/>
        <c:axId val="2098178431"/>
      </c:scatterChart>
      <c:valAx>
        <c:axId val="20981767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8431"/>
        <c:crosses val="autoZero"/>
        <c:crossBetween val="midCat"/>
      </c:valAx>
      <c:valAx>
        <c:axId val="20981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534459</xdr:colOff>
      <xdr:row>22</xdr:row>
      <xdr:rowOff>9525</xdr:rowOff>
    </xdr:from>
    <xdr:to>
      <xdr:col>12</xdr:col>
      <xdr:colOff>1333500</xdr:colOff>
      <xdr:row>41</xdr:row>
      <xdr:rowOff>31751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A9670-7B55-8F7C-E0DA-99E95918D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osti.gov/biblio/1867883" TargetMode="External"/><Relationship Id="rId1" Type="http://schemas.openxmlformats.org/officeDocument/2006/relationships/hyperlink" Target="https://www.sciencedirect.com/science/article/pii/S221298202100026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outh_Texas_Nuclear_Generating_Station" TargetMode="External"/><Relationship Id="rId7" Type="http://schemas.openxmlformats.org/officeDocument/2006/relationships/hyperlink" Target="https://en.wikipedia.org/wiki/Palo_Verde_Nuclear_Generating_Station" TargetMode="External"/><Relationship Id="rId2" Type="http://schemas.openxmlformats.org/officeDocument/2006/relationships/hyperlink" Target="https://en.wikipedia.org/wiki/Davis%E2%80%93Besse_Nuclear_Power_Station" TargetMode="External"/><Relationship Id="rId1" Type="http://schemas.openxmlformats.org/officeDocument/2006/relationships/hyperlink" Target="https://en.wikipedia.org/wiki/Braidwood_Nuclear_Generating_Station" TargetMode="External"/><Relationship Id="rId6" Type="http://schemas.openxmlformats.org/officeDocument/2006/relationships/hyperlink" Target="https://en.wikipedia.org/wiki/Cooper_Nuclear_Station" TargetMode="External"/><Relationship Id="rId5" Type="http://schemas.openxmlformats.org/officeDocument/2006/relationships/hyperlink" Target="https://en.wikipedia.org/wiki/Prairie_Island_Nuclear_Power_Plant" TargetMode="External"/><Relationship Id="rId4" Type="http://schemas.openxmlformats.org/officeDocument/2006/relationships/hyperlink" Target="https://en.wikipedia.org/wiki/Diablo_Canyon_Power_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8.6640625" style="1"/>
    <col min="2" max="2" width="85.6640625" bestFit="1" customWidth="1"/>
  </cols>
  <sheetData>
    <row r="1" spans="1:8" x14ac:dyDescent="0.2">
      <c r="A1" s="1" t="s">
        <v>11</v>
      </c>
      <c r="B1" t="s">
        <v>1</v>
      </c>
      <c r="C1" t="s">
        <v>10</v>
      </c>
    </row>
    <row r="2" spans="1:8" x14ac:dyDescent="0.2">
      <c r="A2" s="35" t="s">
        <v>2</v>
      </c>
      <c r="B2" s="35"/>
      <c r="C2" t="s">
        <v>4</v>
      </c>
      <c r="F2" t="s">
        <v>14</v>
      </c>
      <c r="G2" t="s">
        <v>4</v>
      </c>
      <c r="H2" t="s">
        <v>19</v>
      </c>
    </row>
    <row r="3" spans="1:8" x14ac:dyDescent="0.2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2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2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2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2">
      <c r="A7" s="1" t="s">
        <v>8</v>
      </c>
      <c r="B7" t="s">
        <v>21</v>
      </c>
      <c r="C7">
        <v>20</v>
      </c>
    </row>
    <row r="8" spans="1:8" x14ac:dyDescent="0.2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CEB-6613-41C3-AB8E-7E632C9D30FD}">
  <dimension ref="A1:H20"/>
  <sheetViews>
    <sheetView topLeftCell="A4" zoomScale="120" zoomScaleNormal="120" workbookViewId="0">
      <selection activeCell="C21" sqref="C21"/>
    </sheetView>
  </sheetViews>
  <sheetFormatPr baseColWidth="10" defaultColWidth="8.83203125" defaultRowHeight="15" x14ac:dyDescent="0.2"/>
  <cols>
    <col min="1" max="1" width="9.5" bestFit="1" customWidth="1"/>
    <col min="2" max="2" width="12.1640625" bestFit="1" customWidth="1"/>
    <col min="4" max="4" width="10.33203125" bestFit="1" customWidth="1"/>
  </cols>
  <sheetData>
    <row r="1" spans="1:8" x14ac:dyDescent="0.2">
      <c r="A1" t="s">
        <v>11</v>
      </c>
    </row>
    <row r="2" spans="1:8" x14ac:dyDescent="0.2">
      <c r="A2" t="s">
        <v>15</v>
      </c>
      <c r="B2" s="18" t="s">
        <v>92</v>
      </c>
    </row>
    <row r="3" spans="1:8" x14ac:dyDescent="0.2">
      <c r="A3" t="s">
        <v>17</v>
      </c>
      <c r="B3" s="18" t="s">
        <v>93</v>
      </c>
    </row>
    <row r="4" spans="1:8" x14ac:dyDescent="0.2">
      <c r="B4" s="18"/>
    </row>
    <row r="5" spans="1:8" x14ac:dyDescent="0.2">
      <c r="A5" s="35" t="s">
        <v>61</v>
      </c>
      <c r="B5" s="35"/>
      <c r="C5" s="35"/>
      <c r="D5" s="35"/>
      <c r="E5" s="35"/>
      <c r="F5" s="35"/>
      <c r="G5" s="35"/>
    </row>
    <row r="6" spans="1:8" x14ac:dyDescent="0.2">
      <c r="A6" s="35" t="s">
        <v>62</v>
      </c>
      <c r="B6" s="35"/>
      <c r="C6" s="35"/>
      <c r="D6" s="35"/>
      <c r="E6" s="35"/>
      <c r="F6" s="35"/>
      <c r="G6" s="35"/>
    </row>
    <row r="7" spans="1:8" x14ac:dyDescent="0.2">
      <c r="A7" t="s">
        <v>63</v>
      </c>
      <c r="B7">
        <v>1580</v>
      </c>
      <c r="C7" t="s">
        <v>67</v>
      </c>
      <c r="D7" s="3">
        <f>B7*1000/(24*3600)</f>
        <v>18.287037037037038</v>
      </c>
      <c r="E7" s="4" t="s">
        <v>72</v>
      </c>
      <c r="F7" s="5">
        <f>B7*1000/24</f>
        <v>65833.333333333328</v>
      </c>
      <c r="G7" t="s">
        <v>74</v>
      </c>
    </row>
    <row r="8" spans="1:8" x14ac:dyDescent="0.2">
      <c r="A8" t="s">
        <v>64</v>
      </c>
      <c r="B8">
        <v>255</v>
      </c>
      <c r="C8" t="s">
        <v>67</v>
      </c>
      <c r="D8" s="3">
        <f>B8*1000/(24*3600)</f>
        <v>2.9513888888888888</v>
      </c>
      <c r="E8" s="4" t="s">
        <v>72</v>
      </c>
      <c r="F8" s="5">
        <f>B8*1000/24</f>
        <v>10625</v>
      </c>
      <c r="G8" t="s">
        <v>74</v>
      </c>
    </row>
    <row r="9" spans="1:8" x14ac:dyDescent="0.2">
      <c r="A9" t="s">
        <v>65</v>
      </c>
      <c r="B9">
        <v>14.9</v>
      </c>
      <c r="C9" t="s">
        <v>66</v>
      </c>
      <c r="D9" s="2" t="s">
        <v>76</v>
      </c>
      <c r="E9" t="s">
        <v>77</v>
      </c>
      <c r="F9" s="2"/>
      <c r="H9" s="2"/>
    </row>
    <row r="10" spans="1:8" x14ac:dyDescent="0.2">
      <c r="A10" s="35" t="s">
        <v>68</v>
      </c>
      <c r="B10" s="35"/>
      <c r="C10" s="35"/>
      <c r="D10" s="35"/>
      <c r="E10" s="35"/>
      <c r="F10" s="35"/>
      <c r="G10" s="35"/>
    </row>
    <row r="11" spans="1:8" x14ac:dyDescent="0.2">
      <c r="A11" t="s">
        <v>69</v>
      </c>
      <c r="B11">
        <v>176</v>
      </c>
      <c r="C11" t="s">
        <v>67</v>
      </c>
      <c r="D11" s="3">
        <f>B11*1000/(24*3600)</f>
        <v>2.0370370370370372</v>
      </c>
      <c r="E11" s="4" t="s">
        <v>72</v>
      </c>
      <c r="F11" s="5">
        <f>B11*1000/24</f>
        <v>7333.333333333333</v>
      </c>
      <c r="G11" t="s">
        <v>74</v>
      </c>
    </row>
    <row r="12" spans="1:8" x14ac:dyDescent="0.2">
      <c r="A12" t="s">
        <v>70</v>
      </c>
      <c r="B12">
        <v>213</v>
      </c>
      <c r="C12" t="s">
        <v>67</v>
      </c>
      <c r="D12" s="3">
        <f t="shared" ref="D12:D13" si="0">B12*1000/(24*3600)</f>
        <v>2.4652777777777777</v>
      </c>
      <c r="E12" s="4" t="s">
        <v>72</v>
      </c>
      <c r="F12" s="5">
        <f t="shared" ref="F12:F13" si="1">B12*1000/24</f>
        <v>8875</v>
      </c>
      <c r="G12" t="s">
        <v>74</v>
      </c>
    </row>
    <row r="13" spans="1:8" x14ac:dyDescent="0.2">
      <c r="A13" t="s">
        <v>71</v>
      </c>
      <c r="B13">
        <v>118</v>
      </c>
      <c r="C13" t="s">
        <v>67</v>
      </c>
      <c r="D13" s="3">
        <f t="shared" si="0"/>
        <v>1.3657407407407407</v>
      </c>
      <c r="E13" s="4" t="s">
        <v>72</v>
      </c>
      <c r="F13" s="5">
        <f t="shared" si="1"/>
        <v>4916.666666666667</v>
      </c>
      <c r="G13" t="s">
        <v>74</v>
      </c>
    </row>
    <row r="15" spans="1:8" x14ac:dyDescent="0.2">
      <c r="A15" s="35" t="s">
        <v>17</v>
      </c>
      <c r="B15" s="35"/>
      <c r="C15" s="35"/>
      <c r="D15" s="35"/>
      <c r="E15" s="35"/>
      <c r="F15" s="35"/>
      <c r="G15" s="35"/>
    </row>
    <row r="16" spans="1:8" x14ac:dyDescent="0.2">
      <c r="A16" s="35" t="s">
        <v>62</v>
      </c>
      <c r="B16" s="35"/>
      <c r="C16" s="35"/>
    </row>
    <row r="17" spans="1:3" x14ac:dyDescent="0.2">
      <c r="A17" t="s">
        <v>65</v>
      </c>
      <c r="B17">
        <v>39.799999999999997</v>
      </c>
      <c r="C17" t="s">
        <v>73</v>
      </c>
    </row>
    <row r="18" spans="1:3" x14ac:dyDescent="0.2">
      <c r="A18" s="35" t="s">
        <v>68</v>
      </c>
      <c r="B18" s="35"/>
      <c r="C18" s="35"/>
    </row>
    <row r="19" spans="1:3" x14ac:dyDescent="0.2">
      <c r="A19" t="s">
        <v>64</v>
      </c>
      <c r="B19" s="6">
        <f>1/B17</f>
        <v>2.5125628140703519E-2</v>
      </c>
      <c r="C19" t="s">
        <v>75</v>
      </c>
    </row>
    <row r="20" spans="1:3" x14ac:dyDescent="0.2">
      <c r="B20">
        <f>B19*1000</f>
        <v>25.125628140703519</v>
      </c>
      <c r="C20" t="s">
        <v>133</v>
      </c>
    </row>
  </sheetData>
  <mergeCells count="6">
    <mergeCell ref="A16:C16"/>
    <mergeCell ref="A18:C18"/>
    <mergeCell ref="A6:G6"/>
    <mergeCell ref="A10:G10"/>
    <mergeCell ref="A5:G5"/>
    <mergeCell ref="A15:G15"/>
  </mergeCells>
  <hyperlinks>
    <hyperlink ref="B2" r:id="rId1" xr:uid="{D47EE4A2-649A-42B4-8738-DF2E48262124}"/>
    <hyperlink ref="B3" r:id="rId2" xr:uid="{49708E60-D8BD-48F2-8030-EEB685223FB9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H35" sqref="H35"/>
    </sheetView>
  </sheetViews>
  <sheetFormatPr baseColWidth="10" defaultColWidth="8.83203125" defaultRowHeight="15" x14ac:dyDescent="0.2"/>
  <cols>
    <col min="1" max="1" width="29" bestFit="1" customWidth="1"/>
    <col min="2" max="2" width="15.33203125" customWidth="1"/>
    <col min="3" max="3" width="12.1640625" bestFit="1" customWidth="1"/>
  </cols>
  <sheetData>
    <row r="1" spans="1:3" ht="16" thickBot="1" x14ac:dyDescent="0.25">
      <c r="A1" t="s">
        <v>0</v>
      </c>
      <c r="B1" t="s">
        <v>24</v>
      </c>
    </row>
    <row r="2" spans="1:3" x14ac:dyDescent="0.2">
      <c r="A2" s="10" t="s">
        <v>26</v>
      </c>
      <c r="B2" s="11" t="s">
        <v>27</v>
      </c>
      <c r="C2" s="12" t="s">
        <v>28</v>
      </c>
    </row>
    <row r="3" spans="1:3" x14ac:dyDescent="0.2">
      <c r="A3" s="13" t="s">
        <v>25</v>
      </c>
      <c r="B3" s="9">
        <v>36.799999999999997</v>
      </c>
      <c r="C3" s="14" t="s">
        <v>29</v>
      </c>
    </row>
    <row r="4" spans="1:3" x14ac:dyDescent="0.2">
      <c r="A4" s="13"/>
      <c r="B4" s="9">
        <f>1/B3</f>
        <v>2.7173913043478264E-2</v>
      </c>
      <c r="C4" s="14" t="s">
        <v>79</v>
      </c>
    </row>
    <row r="5" spans="1:3" x14ac:dyDescent="0.2">
      <c r="A5" s="13" t="s">
        <v>30</v>
      </c>
      <c r="B5">
        <v>6.4</v>
      </c>
      <c r="C5" s="14" t="s">
        <v>31</v>
      </c>
    </row>
    <row r="6" spans="1:3" x14ac:dyDescent="0.2">
      <c r="A6" s="13" t="s">
        <v>36</v>
      </c>
      <c r="B6">
        <v>590</v>
      </c>
      <c r="C6" s="14" t="s">
        <v>33</v>
      </c>
    </row>
    <row r="7" spans="1:3" x14ac:dyDescent="0.2">
      <c r="A7" s="13" t="s">
        <v>37</v>
      </c>
      <c r="B7">
        <v>763</v>
      </c>
      <c r="C7" s="14" t="s">
        <v>33</v>
      </c>
    </row>
    <row r="8" spans="1:3" x14ac:dyDescent="0.2">
      <c r="A8" s="13" t="s">
        <v>32</v>
      </c>
      <c r="B8">
        <v>544</v>
      </c>
      <c r="C8" s="14" t="s">
        <v>33</v>
      </c>
    </row>
    <row r="9" spans="1:3" x14ac:dyDescent="0.2">
      <c r="A9" s="13" t="s">
        <v>35</v>
      </c>
      <c r="B9" s="9">
        <v>703</v>
      </c>
      <c r="C9" s="14" t="s">
        <v>33</v>
      </c>
    </row>
    <row r="10" spans="1:3" x14ac:dyDescent="0.2">
      <c r="A10" s="13" t="s">
        <v>38</v>
      </c>
      <c r="B10">
        <v>20</v>
      </c>
      <c r="C10" s="14" t="s">
        <v>39</v>
      </c>
    </row>
    <row r="11" spans="1:3" x14ac:dyDescent="0.2">
      <c r="A11" s="13" t="s">
        <v>40</v>
      </c>
      <c r="B11" s="9">
        <v>32.64</v>
      </c>
      <c r="C11" s="14" t="s">
        <v>41</v>
      </c>
    </row>
    <row r="12" spans="1:3" x14ac:dyDescent="0.2">
      <c r="A12" s="13" t="s">
        <v>42</v>
      </c>
      <c r="B12" s="9">
        <v>3.41</v>
      </c>
      <c r="C12" s="14" t="s">
        <v>43</v>
      </c>
    </row>
    <row r="13" spans="1:3" x14ac:dyDescent="0.2">
      <c r="A13" s="13" t="s">
        <v>44</v>
      </c>
      <c r="B13">
        <v>10</v>
      </c>
      <c r="C13" s="14" t="s">
        <v>45</v>
      </c>
    </row>
    <row r="14" spans="1:3" ht="16" thickBot="1" x14ac:dyDescent="0.25">
      <c r="A14" s="15" t="s">
        <v>46</v>
      </c>
      <c r="B14" s="16">
        <v>20</v>
      </c>
      <c r="C14" s="17" t="s">
        <v>39</v>
      </c>
    </row>
    <row r="16" spans="1:3" x14ac:dyDescent="0.2">
      <c r="A16" s="7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9D22-7A01-ED42-B8B2-84358A3D7717}">
  <dimension ref="A1:P25"/>
  <sheetViews>
    <sheetView zoomScale="120" zoomScaleNormal="120" workbookViewId="0">
      <selection activeCell="N27" sqref="N27"/>
    </sheetView>
  </sheetViews>
  <sheetFormatPr baseColWidth="10" defaultRowHeight="15" x14ac:dyDescent="0.2"/>
  <cols>
    <col min="1" max="1" width="24.1640625" bestFit="1" customWidth="1"/>
    <col min="2" max="2" width="31.6640625" customWidth="1"/>
    <col min="13" max="13" width="43.5" bestFit="1" customWidth="1"/>
    <col min="14" max="14" width="22.6640625" customWidth="1"/>
    <col min="15" max="15" width="18.6640625" customWidth="1"/>
    <col min="16" max="16" width="16.83203125" customWidth="1"/>
  </cols>
  <sheetData>
    <row r="1" spans="1:16" ht="16" thickBot="1" x14ac:dyDescent="0.25">
      <c r="A1" t="s">
        <v>105</v>
      </c>
      <c r="M1" t="s">
        <v>0</v>
      </c>
      <c r="N1" t="s">
        <v>80</v>
      </c>
    </row>
    <row r="2" spans="1:16" ht="16" thickBot="1" x14ac:dyDescent="0.25">
      <c r="A2" t="s">
        <v>11</v>
      </c>
      <c r="B2" t="s">
        <v>106</v>
      </c>
      <c r="M2" s="29" t="s">
        <v>26</v>
      </c>
      <c r="N2" s="27" t="s">
        <v>178</v>
      </c>
      <c r="O2" s="27" t="s">
        <v>27</v>
      </c>
      <c r="P2" s="28" t="s">
        <v>28</v>
      </c>
    </row>
    <row r="3" spans="1:16" ht="17" customHeight="1" x14ac:dyDescent="0.2">
      <c r="B3" s="8" t="s">
        <v>80</v>
      </c>
      <c r="M3" s="30" t="s">
        <v>179</v>
      </c>
      <c r="N3" t="s">
        <v>180</v>
      </c>
      <c r="O3" s="24">
        <v>257800644</v>
      </c>
      <c r="P3" s="14" t="s">
        <v>181</v>
      </c>
    </row>
    <row r="4" spans="1:16" x14ac:dyDescent="0.2">
      <c r="A4" t="s">
        <v>107</v>
      </c>
      <c r="M4" s="30" t="s">
        <v>182</v>
      </c>
      <c r="N4" t="s">
        <v>183</v>
      </c>
      <c r="O4" s="24">
        <v>5156012.88</v>
      </c>
      <c r="P4" s="14" t="s">
        <v>181</v>
      </c>
    </row>
    <row r="5" spans="1:16" x14ac:dyDescent="0.2">
      <c r="A5" t="s">
        <v>108</v>
      </c>
      <c r="B5">
        <v>2019</v>
      </c>
      <c r="H5" t="s">
        <v>126</v>
      </c>
      <c r="M5" s="30"/>
      <c r="N5" t="s">
        <v>184</v>
      </c>
      <c r="O5" s="24">
        <v>25780064.399999999</v>
      </c>
      <c r="P5" s="14" t="s">
        <v>181</v>
      </c>
    </row>
    <row r="6" spans="1:16" x14ac:dyDescent="0.2">
      <c r="A6" t="s">
        <v>109</v>
      </c>
      <c r="B6" t="s">
        <v>110</v>
      </c>
      <c r="H6" t="s">
        <v>127</v>
      </c>
      <c r="I6">
        <v>100</v>
      </c>
      <c r="J6">
        <v>400</v>
      </c>
      <c r="K6">
        <v>1000</v>
      </c>
      <c r="M6" s="30"/>
      <c r="N6" t="s">
        <v>185</v>
      </c>
      <c r="O6" s="24">
        <v>38670096.600000001</v>
      </c>
      <c r="P6" s="14" t="s">
        <v>181</v>
      </c>
    </row>
    <row r="7" spans="1:16" x14ac:dyDescent="0.2">
      <c r="A7" t="s">
        <v>111</v>
      </c>
      <c r="B7">
        <v>1.9E-2</v>
      </c>
      <c r="H7" t="s">
        <v>81</v>
      </c>
      <c r="I7">
        <v>68968000</v>
      </c>
      <c r="J7">
        <v>155155000</v>
      </c>
      <c r="K7">
        <v>293926000</v>
      </c>
      <c r="M7" s="30"/>
      <c r="N7" t="s">
        <v>186</v>
      </c>
      <c r="O7" s="24">
        <v>12251143</v>
      </c>
      <c r="P7" s="14" t="s">
        <v>181</v>
      </c>
    </row>
    <row r="8" spans="1:16" x14ac:dyDescent="0.2">
      <c r="A8" t="s">
        <v>112</v>
      </c>
      <c r="B8" t="s">
        <v>113</v>
      </c>
      <c r="H8" t="s">
        <v>82</v>
      </c>
      <c r="I8">
        <f>I6/J6</f>
        <v>0.25</v>
      </c>
      <c r="J8">
        <v>1</v>
      </c>
      <c r="K8">
        <f>K6/J6</f>
        <v>2.5</v>
      </c>
      <c r="M8" s="30"/>
      <c r="N8" t="s">
        <v>187</v>
      </c>
      <c r="O8" s="24">
        <v>38670096.600000001</v>
      </c>
      <c r="P8" s="14" t="s">
        <v>181</v>
      </c>
    </row>
    <row r="9" spans="1:16" x14ac:dyDescent="0.2">
      <c r="A9" t="s">
        <v>123</v>
      </c>
      <c r="B9" t="s">
        <v>124</v>
      </c>
      <c r="H9" t="s">
        <v>83</v>
      </c>
      <c r="I9">
        <f>LOG(I8)</f>
        <v>-0.6020599913279624</v>
      </c>
      <c r="J9">
        <f t="shared" ref="J9:K9" si="0">LOG(J8)</f>
        <v>0</v>
      </c>
      <c r="K9">
        <f t="shared" si="0"/>
        <v>0.3979400086720376</v>
      </c>
      <c r="M9" s="30" t="s">
        <v>188</v>
      </c>
      <c r="O9" s="24">
        <v>120527413.48</v>
      </c>
      <c r="P9" s="14" t="s">
        <v>181</v>
      </c>
    </row>
    <row r="10" spans="1:16" x14ac:dyDescent="0.2">
      <c r="H10" t="s">
        <v>128</v>
      </c>
      <c r="I10">
        <f>LOG(I7)</f>
        <v>7.8386476320849576</v>
      </c>
      <c r="J10">
        <f t="shared" ref="J10:K10" si="1">LOG(J7)</f>
        <v>8.1907657756496093</v>
      </c>
      <c r="K10">
        <f t="shared" si="1"/>
        <v>8.4682380044363352</v>
      </c>
      <c r="M10" s="30" t="s">
        <v>189</v>
      </c>
      <c r="N10" t="s">
        <v>190</v>
      </c>
      <c r="O10" s="24">
        <v>550360</v>
      </c>
      <c r="P10" s="14" t="s">
        <v>181</v>
      </c>
    </row>
    <row r="11" spans="1:16" x14ac:dyDescent="0.2">
      <c r="A11" t="s">
        <v>114</v>
      </c>
      <c r="M11" s="30" t="s">
        <v>81</v>
      </c>
      <c r="N11" t="s">
        <v>191</v>
      </c>
      <c r="O11" s="25">
        <v>378878417.48000002</v>
      </c>
      <c r="P11" s="14" t="s">
        <v>181</v>
      </c>
    </row>
    <row r="12" spans="1:16" x14ac:dyDescent="0.2">
      <c r="A12" t="s">
        <v>118</v>
      </c>
      <c r="B12" t="s">
        <v>119</v>
      </c>
      <c r="C12" t="s">
        <v>120</v>
      </c>
      <c r="D12" t="s">
        <v>0</v>
      </c>
      <c r="M12" s="30" t="s">
        <v>192</v>
      </c>
      <c r="N12" t="s">
        <v>193</v>
      </c>
      <c r="O12" s="24">
        <v>9607972</v>
      </c>
      <c r="P12" s="14" t="s">
        <v>194</v>
      </c>
    </row>
    <row r="13" spans="1:16" x14ac:dyDescent="0.2">
      <c r="A13" t="s">
        <v>115</v>
      </c>
      <c r="B13" t="s">
        <v>116</v>
      </c>
      <c r="M13" s="30" t="s">
        <v>195</v>
      </c>
      <c r="N13" t="s">
        <v>196</v>
      </c>
      <c r="O13" s="24">
        <v>1921594.4</v>
      </c>
      <c r="P13" s="14" t="s">
        <v>194</v>
      </c>
    </row>
    <row r="14" spans="1:16" x14ac:dyDescent="0.2">
      <c r="A14" t="s">
        <v>117</v>
      </c>
      <c r="B14">
        <v>10625</v>
      </c>
      <c r="C14" s="1" t="s">
        <v>121</v>
      </c>
      <c r="D14" t="s">
        <v>122</v>
      </c>
      <c r="M14" s="30" t="s">
        <v>197</v>
      </c>
      <c r="N14" t="s">
        <v>198</v>
      </c>
      <c r="O14" s="24">
        <v>7577568.3499999996</v>
      </c>
      <c r="P14" s="14" t="s">
        <v>194</v>
      </c>
    </row>
    <row r="15" spans="1:16" x14ac:dyDescent="0.2">
      <c r="A15" t="s">
        <v>125</v>
      </c>
      <c r="B15">
        <f>155155000*(1+B7)</f>
        <v>158102945</v>
      </c>
      <c r="C15" s="1" t="s">
        <v>132</v>
      </c>
      <c r="M15" s="30" t="s">
        <v>199</v>
      </c>
      <c r="O15" s="24">
        <v>1049006</v>
      </c>
      <c r="P15" s="14" t="s">
        <v>194</v>
      </c>
    </row>
    <row r="16" spans="1:16" x14ac:dyDescent="0.2">
      <c r="A16" t="s">
        <v>85</v>
      </c>
      <c r="B16">
        <v>0.626</v>
      </c>
      <c r="C16" s="1"/>
      <c r="M16" s="30" t="s">
        <v>200</v>
      </c>
      <c r="O16" s="25">
        <v>20156140.75</v>
      </c>
      <c r="P16" s="14" t="s">
        <v>194</v>
      </c>
    </row>
    <row r="17" spans="1:16" x14ac:dyDescent="0.2">
      <c r="A17" t="s">
        <v>86</v>
      </c>
      <c r="B17">
        <v>20</v>
      </c>
      <c r="C17" s="1" t="s">
        <v>39</v>
      </c>
      <c r="M17" s="30" t="s">
        <v>201</v>
      </c>
      <c r="O17" s="24">
        <v>7085933</v>
      </c>
      <c r="P17" s="14" t="s">
        <v>194</v>
      </c>
    </row>
    <row r="18" spans="1:16" x14ac:dyDescent="0.2">
      <c r="M18" s="30" t="s">
        <v>202</v>
      </c>
      <c r="O18" s="25">
        <v>7085933</v>
      </c>
      <c r="P18" s="14" t="s">
        <v>194</v>
      </c>
    </row>
    <row r="19" spans="1:16" ht="16" thickBot="1" x14ac:dyDescent="0.25">
      <c r="A19" t="s">
        <v>129</v>
      </c>
      <c r="B19" t="s">
        <v>130</v>
      </c>
      <c r="M19" s="31" t="s">
        <v>203</v>
      </c>
      <c r="N19" s="26" t="s">
        <v>4</v>
      </c>
      <c r="O19" s="26">
        <v>20</v>
      </c>
      <c r="P19" s="17" t="s">
        <v>39</v>
      </c>
    </row>
    <row r="20" spans="1:16" x14ac:dyDescent="0.2">
      <c r="A20" t="s">
        <v>115</v>
      </c>
      <c r="B20">
        <v>1</v>
      </c>
    </row>
    <row r="21" spans="1:16" x14ac:dyDescent="0.2">
      <c r="A21" t="s">
        <v>125</v>
      </c>
      <c r="B21" s="20">
        <f>POWER(1+B7,4)*O18</f>
        <v>7640007.3719816608</v>
      </c>
    </row>
    <row r="23" spans="1:16" x14ac:dyDescent="0.2">
      <c r="A23" t="s">
        <v>40</v>
      </c>
    </row>
    <row r="24" spans="1:16" x14ac:dyDescent="0.2">
      <c r="A24" t="s">
        <v>115</v>
      </c>
      <c r="B24">
        <v>1</v>
      </c>
    </row>
    <row r="25" spans="1:16" x14ac:dyDescent="0.2">
      <c r="A25" t="s">
        <v>125</v>
      </c>
      <c r="B25" s="20">
        <f>POWER(1+B7,4)*O16</f>
        <v>21732221.278510533</v>
      </c>
      <c r="C25" t="s">
        <v>131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1F20-95C4-42A2-B03A-23B9DD4DBFA3}">
  <dimension ref="A1:K48"/>
  <sheetViews>
    <sheetView tabSelected="1" topLeftCell="A15" zoomScale="120" zoomScaleNormal="120" workbookViewId="0">
      <selection activeCell="K21" sqref="K21"/>
    </sheetView>
  </sheetViews>
  <sheetFormatPr baseColWidth="10" defaultColWidth="8.83203125" defaultRowHeight="15" x14ac:dyDescent="0.2"/>
  <cols>
    <col min="1" max="1" width="15.1640625" customWidth="1"/>
    <col min="2" max="2" width="13.33203125" customWidth="1"/>
    <col min="5" max="5" width="18.83203125" bestFit="1" customWidth="1"/>
    <col min="6" max="6" width="13.33203125" bestFit="1" customWidth="1"/>
    <col min="7" max="8" width="15.1640625" bestFit="1" customWidth="1"/>
    <col min="9" max="9" width="13.5" bestFit="1" customWidth="1"/>
    <col min="10" max="10" width="8.33203125" customWidth="1"/>
    <col min="11" max="11" width="13.6640625" customWidth="1"/>
    <col min="12" max="12" width="11.83203125" customWidth="1"/>
  </cols>
  <sheetData>
    <row r="1" spans="1:3" x14ac:dyDescent="0.2">
      <c r="A1" t="s">
        <v>96</v>
      </c>
      <c r="B1" t="s">
        <v>94</v>
      </c>
    </row>
    <row r="2" spans="1:3" x14ac:dyDescent="0.2">
      <c r="A2" t="s">
        <v>87</v>
      </c>
      <c r="B2" t="s">
        <v>97</v>
      </c>
    </row>
    <row r="3" spans="1:3" x14ac:dyDescent="0.2">
      <c r="A3" t="s">
        <v>95</v>
      </c>
    </row>
    <row r="4" spans="1:3" x14ac:dyDescent="0.2">
      <c r="A4" t="s">
        <v>84</v>
      </c>
      <c r="B4" t="s">
        <v>100</v>
      </c>
      <c r="C4" t="s">
        <v>28</v>
      </c>
    </row>
    <row r="5" spans="1:3" x14ac:dyDescent="0.2">
      <c r="A5" t="s">
        <v>101</v>
      </c>
      <c r="B5">
        <v>14.9</v>
      </c>
      <c r="C5" t="s">
        <v>66</v>
      </c>
    </row>
    <row r="6" spans="1:3" x14ac:dyDescent="0.2">
      <c r="A6" t="s">
        <v>134</v>
      </c>
      <c r="B6" s="2">
        <v>-9.9999999999999997E+199</v>
      </c>
      <c r="C6" t="s">
        <v>66</v>
      </c>
    </row>
    <row r="7" spans="1:3" x14ac:dyDescent="0.2">
      <c r="A7" t="s">
        <v>102</v>
      </c>
      <c r="B7" s="2">
        <v>-9.9999999999999997E+199</v>
      </c>
      <c r="C7" t="s">
        <v>66</v>
      </c>
    </row>
    <row r="8" spans="1:3" x14ac:dyDescent="0.2">
      <c r="A8" t="s">
        <v>103</v>
      </c>
      <c r="B8" s="2">
        <v>-9.9999999999999997E+199</v>
      </c>
      <c r="C8" t="s">
        <v>66</v>
      </c>
    </row>
    <row r="9" spans="1:3" x14ac:dyDescent="0.2">
      <c r="A9" t="s">
        <v>104</v>
      </c>
      <c r="B9" s="2">
        <v>-9.9999999999999997E+199</v>
      </c>
      <c r="C9" t="s">
        <v>66</v>
      </c>
    </row>
    <row r="10" spans="1:3" x14ac:dyDescent="0.2">
      <c r="B10" s="2"/>
    </row>
    <row r="11" spans="1:3" x14ac:dyDescent="0.2">
      <c r="A11" t="s">
        <v>204</v>
      </c>
      <c r="B11" s="2" t="s">
        <v>205</v>
      </c>
    </row>
    <row r="12" spans="1:3" x14ac:dyDescent="0.2">
      <c r="A12" t="s">
        <v>206</v>
      </c>
      <c r="B12" s="2" t="s">
        <v>207</v>
      </c>
    </row>
    <row r="13" spans="1:3" x14ac:dyDescent="0.2">
      <c r="A13" t="s">
        <v>210</v>
      </c>
      <c r="B13" s="2" t="s">
        <v>211</v>
      </c>
    </row>
    <row r="14" spans="1:3" x14ac:dyDescent="0.2">
      <c r="A14" t="s">
        <v>212</v>
      </c>
      <c r="B14" s="2" t="s">
        <v>213</v>
      </c>
    </row>
    <row r="15" spans="1:3" x14ac:dyDescent="0.2">
      <c r="A15" t="s">
        <v>214</v>
      </c>
      <c r="B15">
        <v>14.9</v>
      </c>
    </row>
    <row r="16" spans="1:3" x14ac:dyDescent="0.2">
      <c r="A16" s="33" t="s">
        <v>219</v>
      </c>
    </row>
    <row r="17" spans="1:11" x14ac:dyDescent="0.2">
      <c r="B17" s="2"/>
    </row>
    <row r="18" spans="1:11" x14ac:dyDescent="0.2">
      <c r="A18" s="36" t="s">
        <v>135</v>
      </c>
      <c r="B18" s="36" t="s">
        <v>140</v>
      </c>
      <c r="C18" s="35" t="s">
        <v>215</v>
      </c>
      <c r="D18" s="35"/>
      <c r="E18" s="35" t="s">
        <v>216</v>
      </c>
      <c r="F18" s="35"/>
      <c r="G18" s="35" t="s">
        <v>217</v>
      </c>
      <c r="H18" s="35"/>
    </row>
    <row r="19" spans="1:11" x14ac:dyDescent="0.2">
      <c r="A19" s="36"/>
      <c r="B19" s="36"/>
      <c r="C19" t="s">
        <v>98</v>
      </c>
      <c r="D19" t="s">
        <v>99</v>
      </c>
      <c r="E19" t="s">
        <v>98</v>
      </c>
      <c r="F19" t="s">
        <v>99</v>
      </c>
      <c r="G19" t="s">
        <v>98</v>
      </c>
      <c r="H19" t="s">
        <v>99</v>
      </c>
      <c r="I19" t="s">
        <v>222</v>
      </c>
      <c r="J19" t="s">
        <v>220</v>
      </c>
    </row>
    <row r="20" spans="1:11" x14ac:dyDescent="0.2">
      <c r="A20" t="s">
        <v>143</v>
      </c>
      <c r="B20">
        <v>1194</v>
      </c>
      <c r="C20">
        <f>MAX(-B20+$B$15, -1000+$B$15)</f>
        <v>-985.1</v>
      </c>
      <c r="D20">
        <f>-100+$B$15</f>
        <v>-85.1</v>
      </c>
      <c r="E20">
        <f>C20*25.13</f>
        <v>-24755.562999999998</v>
      </c>
      <c r="F20">
        <f>D20*25.13</f>
        <v>-2138.5629999999996</v>
      </c>
      <c r="G20">
        <f>0</f>
        <v>0</v>
      </c>
      <c r="H20">
        <f>ABS(E20)*24*I20</f>
        <v>1188267.024</v>
      </c>
      <c r="I20">
        <f t="shared" ref="I20:I22" si="0">ROUNDUP(J20*$I$24/$J$24,0)</f>
        <v>2</v>
      </c>
      <c r="J20">
        <v>934</v>
      </c>
    </row>
    <row r="21" spans="1:11" x14ac:dyDescent="0.2">
      <c r="A21" t="s">
        <v>223</v>
      </c>
      <c r="B21">
        <v>769</v>
      </c>
      <c r="C21">
        <f t="shared" ref="C21:C24" si="1">MAX(-B21+$B$15, -1000+$B$15)</f>
        <v>-754.1</v>
      </c>
      <c r="D21">
        <f t="shared" ref="D21:D24" si="2">-100+$B$15</f>
        <v>-85.1</v>
      </c>
      <c r="E21">
        <f t="shared" ref="E21" si="3">C21*25.13</f>
        <v>-18950.532999999999</v>
      </c>
      <c r="F21">
        <f t="shared" ref="F21" si="4">D21*25.13</f>
        <v>-2138.5629999999996</v>
      </c>
      <c r="G21">
        <f>0</f>
        <v>0</v>
      </c>
      <c r="H21">
        <f t="shared" ref="H20:H23" si="5">ABS(E21)*24*I21</f>
        <v>3183689.5440000002</v>
      </c>
      <c r="I21">
        <f t="shared" si="0"/>
        <v>7</v>
      </c>
      <c r="J21">
        <v>4231</v>
      </c>
    </row>
    <row r="22" spans="1:11" x14ac:dyDescent="0.2">
      <c r="A22" t="s">
        <v>148</v>
      </c>
      <c r="B22">
        <v>894</v>
      </c>
      <c r="C22">
        <f t="shared" si="1"/>
        <v>-879.1</v>
      </c>
      <c r="D22">
        <f t="shared" si="2"/>
        <v>-85.1</v>
      </c>
      <c r="E22">
        <f>C22*25.13</f>
        <v>-22091.782999999999</v>
      </c>
      <c r="F22">
        <f>D22*25.13</f>
        <v>-2138.5629999999996</v>
      </c>
      <c r="G22">
        <f>0</f>
        <v>0</v>
      </c>
      <c r="H22">
        <f t="shared" si="5"/>
        <v>1060405.584</v>
      </c>
      <c r="I22">
        <f t="shared" si="0"/>
        <v>2</v>
      </c>
      <c r="J22">
        <v>934</v>
      </c>
    </row>
    <row r="23" spans="1:11" x14ac:dyDescent="0.2">
      <c r="A23" t="s">
        <v>159</v>
      </c>
      <c r="B23">
        <v>522</v>
      </c>
      <c r="C23">
        <f t="shared" si="1"/>
        <v>-507.1</v>
      </c>
      <c r="D23">
        <f t="shared" si="2"/>
        <v>-85.1</v>
      </c>
      <c r="E23">
        <f t="shared" ref="E23" si="6">C23*25.13</f>
        <v>-12743.423000000001</v>
      </c>
      <c r="F23">
        <f t="shared" ref="F23" si="7">D23*25.13</f>
        <v>-2138.5629999999996</v>
      </c>
      <c r="G23">
        <f>0</f>
        <v>0</v>
      </c>
      <c r="H23">
        <f t="shared" si="5"/>
        <v>305842.152</v>
      </c>
      <c r="I23">
        <f>ROUNDUP(J23*$I$24/$J$24,0)</f>
        <v>1</v>
      </c>
      <c r="J23">
        <v>97</v>
      </c>
    </row>
    <row r="24" spans="1:11" x14ac:dyDescent="0.2">
      <c r="A24" t="s">
        <v>151</v>
      </c>
      <c r="B24">
        <v>1280</v>
      </c>
      <c r="C24">
        <f t="shared" si="1"/>
        <v>-985.1</v>
      </c>
      <c r="D24">
        <f t="shared" si="2"/>
        <v>-85.1</v>
      </c>
      <c r="E24">
        <f>C24*25.13</f>
        <v>-24755.562999999998</v>
      </c>
      <c r="F24">
        <f>D24*25.13</f>
        <v>-2138.5629999999996</v>
      </c>
      <c r="G24">
        <f>0</f>
        <v>0</v>
      </c>
      <c r="H24">
        <f>ABS(E24)*24*I24</f>
        <v>8317869.1679999996</v>
      </c>
      <c r="I24">
        <v>14</v>
      </c>
      <c r="J24">
        <v>8997</v>
      </c>
      <c r="K24" t="s">
        <v>221</v>
      </c>
    </row>
    <row r="26" spans="1:11" x14ac:dyDescent="0.2">
      <c r="A26" t="s">
        <v>208</v>
      </c>
    </row>
    <row r="27" spans="1:11" x14ac:dyDescent="0.2">
      <c r="A27" s="6" t="s">
        <v>135</v>
      </c>
      <c r="B27" s="33">
        <v>0</v>
      </c>
      <c r="C27">
        <v>1</v>
      </c>
      <c r="D27" s="33">
        <v>2</v>
      </c>
      <c r="E27">
        <v>3</v>
      </c>
      <c r="F27" s="33">
        <v>4</v>
      </c>
      <c r="G27">
        <v>5</v>
      </c>
      <c r="H27" s="33">
        <v>6</v>
      </c>
      <c r="I27">
        <v>7</v>
      </c>
      <c r="J27" s="33">
        <v>8</v>
      </c>
      <c r="K27">
        <v>9</v>
      </c>
    </row>
    <row r="28" spans="1:11" x14ac:dyDescent="0.2">
      <c r="A28" t="s">
        <v>143</v>
      </c>
      <c r="B28" s="34">
        <f>$C20+B$27*ABS($C20-$D20)/9</f>
        <v>-985.1</v>
      </c>
      <c r="C28" s="32">
        <f t="shared" ref="C28:K28" si="8">$C20+C$27*ABS($C20-$D20)/9</f>
        <v>-885.1</v>
      </c>
      <c r="D28" s="34">
        <f t="shared" si="8"/>
        <v>-785.1</v>
      </c>
      <c r="E28" s="32">
        <f t="shared" si="8"/>
        <v>-685.1</v>
      </c>
      <c r="F28" s="34">
        <f t="shared" si="8"/>
        <v>-585.1</v>
      </c>
      <c r="G28" s="32">
        <f t="shared" si="8"/>
        <v>-485.1</v>
      </c>
      <c r="H28" s="34">
        <f t="shared" si="8"/>
        <v>-385.1</v>
      </c>
      <c r="I28" s="32">
        <f t="shared" si="8"/>
        <v>-285.10000000000002</v>
      </c>
      <c r="J28" s="34">
        <f t="shared" si="8"/>
        <v>-185.10000000000002</v>
      </c>
      <c r="K28" s="32">
        <f t="shared" si="8"/>
        <v>-85.100000000000023</v>
      </c>
    </row>
    <row r="29" spans="1:11" x14ac:dyDescent="0.2">
      <c r="A29" t="s">
        <v>163</v>
      </c>
      <c r="B29" s="34">
        <f t="shared" ref="B29:K32" si="9">$C21+B$27*ABS($C21-$D21)/9</f>
        <v>-754.1</v>
      </c>
      <c r="C29" s="32">
        <f t="shared" si="9"/>
        <v>-679.76666666666665</v>
      </c>
      <c r="D29" s="34">
        <f t="shared" si="9"/>
        <v>-605.43333333333339</v>
      </c>
      <c r="E29" s="32">
        <f t="shared" si="9"/>
        <v>-531.1</v>
      </c>
      <c r="F29" s="34">
        <f t="shared" si="9"/>
        <v>-456.76666666666671</v>
      </c>
      <c r="G29" s="32">
        <f t="shared" si="9"/>
        <v>-382.43333333333334</v>
      </c>
      <c r="H29" s="34">
        <f t="shared" si="9"/>
        <v>-308.10000000000002</v>
      </c>
      <c r="I29" s="32">
        <f t="shared" si="9"/>
        <v>-233.76666666666665</v>
      </c>
      <c r="J29" s="34">
        <f t="shared" si="9"/>
        <v>-159.43333333333339</v>
      </c>
      <c r="K29" s="32">
        <f t="shared" si="9"/>
        <v>-85.100000000000023</v>
      </c>
    </row>
    <row r="30" spans="1:11" x14ac:dyDescent="0.2">
      <c r="A30" t="s">
        <v>148</v>
      </c>
      <c r="B30" s="34">
        <f t="shared" si="9"/>
        <v>-879.1</v>
      </c>
      <c r="C30" s="32">
        <f t="shared" si="9"/>
        <v>-790.87777777777774</v>
      </c>
      <c r="D30" s="34">
        <f t="shared" si="9"/>
        <v>-702.65555555555557</v>
      </c>
      <c r="E30" s="32">
        <f t="shared" si="9"/>
        <v>-614.43333333333339</v>
      </c>
      <c r="F30" s="34">
        <f t="shared" si="9"/>
        <v>-526.21111111111111</v>
      </c>
      <c r="G30" s="32">
        <f t="shared" si="9"/>
        <v>-437.98888888888894</v>
      </c>
      <c r="H30" s="34">
        <f t="shared" si="9"/>
        <v>-349.76666666666665</v>
      </c>
      <c r="I30" s="32">
        <f t="shared" si="9"/>
        <v>-261.54444444444448</v>
      </c>
      <c r="J30" s="34">
        <f t="shared" si="9"/>
        <v>-173.32222222222219</v>
      </c>
      <c r="K30" s="32">
        <f t="shared" si="9"/>
        <v>-85.100000000000023</v>
      </c>
    </row>
    <row r="31" spans="1:11" x14ac:dyDescent="0.2">
      <c r="A31" t="s">
        <v>159</v>
      </c>
      <c r="B31" s="34">
        <f t="shared" si="9"/>
        <v>-507.1</v>
      </c>
      <c r="C31" s="32">
        <f t="shared" si="9"/>
        <v>-460.21111111111111</v>
      </c>
      <c r="D31" s="34">
        <f t="shared" si="9"/>
        <v>-413.32222222222225</v>
      </c>
      <c r="E31" s="32">
        <f t="shared" si="9"/>
        <v>-366.43333333333339</v>
      </c>
      <c r="F31" s="34">
        <f t="shared" si="9"/>
        <v>-319.54444444444448</v>
      </c>
      <c r="G31" s="32">
        <f t="shared" si="9"/>
        <v>-272.65555555555557</v>
      </c>
      <c r="H31" s="34">
        <f t="shared" si="9"/>
        <v>-225.76666666666671</v>
      </c>
      <c r="I31" s="32">
        <f t="shared" si="9"/>
        <v>-178.87777777777779</v>
      </c>
      <c r="J31" s="34">
        <f t="shared" si="9"/>
        <v>-131.98888888888894</v>
      </c>
      <c r="K31" s="32">
        <f t="shared" si="9"/>
        <v>-85.100000000000023</v>
      </c>
    </row>
    <row r="32" spans="1:11" x14ac:dyDescent="0.2">
      <c r="A32" t="s">
        <v>151</v>
      </c>
      <c r="B32" s="34">
        <f t="shared" si="9"/>
        <v>-985.1</v>
      </c>
      <c r="C32" s="32">
        <f t="shared" si="9"/>
        <v>-885.1</v>
      </c>
      <c r="D32" s="34">
        <f t="shared" si="9"/>
        <v>-785.1</v>
      </c>
      <c r="E32" s="32">
        <f t="shared" si="9"/>
        <v>-685.1</v>
      </c>
      <c r="F32" s="34">
        <f t="shared" si="9"/>
        <v>-585.1</v>
      </c>
      <c r="G32" s="32">
        <f t="shared" si="9"/>
        <v>-485.1</v>
      </c>
      <c r="H32" s="34">
        <f t="shared" si="9"/>
        <v>-385.1</v>
      </c>
      <c r="I32" s="32">
        <f t="shared" si="9"/>
        <v>-285.10000000000002</v>
      </c>
      <c r="J32" s="34">
        <f t="shared" si="9"/>
        <v>-185.10000000000002</v>
      </c>
      <c r="K32" s="32">
        <f t="shared" si="9"/>
        <v>-85.100000000000023</v>
      </c>
    </row>
    <row r="34" spans="1:11" x14ac:dyDescent="0.2">
      <c r="A34" t="s">
        <v>209</v>
      </c>
    </row>
    <row r="35" spans="1:11" x14ac:dyDescent="0.2">
      <c r="A35" s="6" t="s">
        <v>135</v>
      </c>
      <c r="B35" s="33">
        <v>0</v>
      </c>
      <c r="C35">
        <v>1</v>
      </c>
      <c r="D35" s="33">
        <v>2</v>
      </c>
      <c r="E35">
        <v>3</v>
      </c>
      <c r="F35" s="33">
        <v>4</v>
      </c>
      <c r="G35">
        <v>5</v>
      </c>
      <c r="H35" s="33">
        <v>6</v>
      </c>
      <c r="I35">
        <v>7</v>
      </c>
      <c r="J35" s="33">
        <v>8</v>
      </c>
      <c r="K35">
        <v>9</v>
      </c>
    </row>
    <row r="36" spans="1:11" x14ac:dyDescent="0.2">
      <c r="A36" t="s">
        <v>143</v>
      </c>
      <c r="B36" s="34">
        <f>$E20+B$35*ABS($E20-$F20)/9</f>
        <v>-24755.562999999998</v>
      </c>
      <c r="C36" s="32">
        <f t="shared" ref="C36:K36" si="10">$E20+C$35*ABS($E20-$F20)/9</f>
        <v>-22242.562999999998</v>
      </c>
      <c r="D36" s="34">
        <f t="shared" si="10"/>
        <v>-19729.562999999998</v>
      </c>
      <c r="E36" s="32">
        <f t="shared" si="10"/>
        <v>-17216.562999999998</v>
      </c>
      <c r="F36" s="34">
        <f t="shared" si="10"/>
        <v>-14703.562999999998</v>
      </c>
      <c r="G36" s="32">
        <f t="shared" si="10"/>
        <v>-12190.562999999998</v>
      </c>
      <c r="H36" s="34">
        <f t="shared" si="10"/>
        <v>-9677.5629999999983</v>
      </c>
      <c r="I36" s="32">
        <f t="shared" si="10"/>
        <v>-7164.5629999999983</v>
      </c>
      <c r="J36" s="34">
        <f t="shared" si="10"/>
        <v>-4651.5629999999983</v>
      </c>
      <c r="K36" s="32">
        <f t="shared" si="10"/>
        <v>-2138.5629999999983</v>
      </c>
    </row>
    <row r="37" spans="1:11" x14ac:dyDescent="0.2">
      <c r="A37" t="s">
        <v>163</v>
      </c>
      <c r="B37" s="34">
        <f t="shared" ref="B37:K40" si="11">$E21+B$35*ABS($E21-$F21)/9</f>
        <v>-18950.532999999999</v>
      </c>
      <c r="C37" s="32">
        <f t="shared" si="11"/>
        <v>-17082.536333333333</v>
      </c>
      <c r="D37" s="34">
        <f t="shared" si="11"/>
        <v>-15214.539666666666</v>
      </c>
      <c r="E37" s="32">
        <f t="shared" si="11"/>
        <v>-13346.542999999998</v>
      </c>
      <c r="F37" s="34">
        <f t="shared" si="11"/>
        <v>-11478.546333333332</v>
      </c>
      <c r="G37" s="32">
        <f t="shared" si="11"/>
        <v>-9610.5496666666659</v>
      </c>
      <c r="H37" s="34">
        <f t="shared" si="11"/>
        <v>-7742.5529999999981</v>
      </c>
      <c r="I37" s="32">
        <f t="shared" si="11"/>
        <v>-5874.5563333333321</v>
      </c>
      <c r="J37" s="34">
        <f t="shared" si="11"/>
        <v>-4006.5596666666643</v>
      </c>
      <c r="K37" s="32">
        <f t="shared" si="11"/>
        <v>-2138.5629999999983</v>
      </c>
    </row>
    <row r="38" spans="1:11" x14ac:dyDescent="0.2">
      <c r="A38" t="s">
        <v>148</v>
      </c>
      <c r="B38" s="34">
        <f t="shared" si="11"/>
        <v>-22091.782999999999</v>
      </c>
      <c r="C38" s="32">
        <f t="shared" si="11"/>
        <v>-19874.758555555556</v>
      </c>
      <c r="D38" s="34">
        <f t="shared" si="11"/>
        <v>-17657.734111111109</v>
      </c>
      <c r="E38" s="32">
        <f t="shared" si="11"/>
        <v>-15440.709666666666</v>
      </c>
      <c r="F38" s="34">
        <f t="shared" si="11"/>
        <v>-13223.685222222221</v>
      </c>
      <c r="G38" s="32">
        <f t="shared" si="11"/>
        <v>-11006.660777777777</v>
      </c>
      <c r="H38" s="34">
        <f t="shared" si="11"/>
        <v>-8789.636333333332</v>
      </c>
      <c r="I38" s="32">
        <f t="shared" si="11"/>
        <v>-6572.6118888888868</v>
      </c>
      <c r="J38" s="34">
        <f t="shared" si="11"/>
        <v>-4355.5874444444416</v>
      </c>
      <c r="K38" s="32">
        <f t="shared" si="11"/>
        <v>-2138.5629999999983</v>
      </c>
    </row>
    <row r="39" spans="1:11" x14ac:dyDescent="0.2">
      <c r="A39" t="s">
        <v>159</v>
      </c>
      <c r="B39" s="34">
        <f t="shared" si="11"/>
        <v>-12743.423000000001</v>
      </c>
      <c r="C39" s="32">
        <f t="shared" si="11"/>
        <v>-11565.105222222222</v>
      </c>
      <c r="D39" s="34">
        <f t="shared" si="11"/>
        <v>-10386.787444444446</v>
      </c>
      <c r="E39" s="32">
        <f t="shared" si="11"/>
        <v>-9208.4696666666678</v>
      </c>
      <c r="F39" s="34">
        <f t="shared" si="11"/>
        <v>-8030.1518888888895</v>
      </c>
      <c r="G39" s="32">
        <f t="shared" si="11"/>
        <v>-6851.8341111111113</v>
      </c>
      <c r="H39" s="34">
        <f t="shared" si="11"/>
        <v>-5673.5163333333339</v>
      </c>
      <c r="I39" s="32">
        <f t="shared" si="11"/>
        <v>-4495.1985555555566</v>
      </c>
      <c r="J39" s="34">
        <f t="shared" si="11"/>
        <v>-3316.8807777777783</v>
      </c>
      <c r="K39" s="32">
        <f t="shared" si="11"/>
        <v>-2138.5630000000001</v>
      </c>
    </row>
    <row r="40" spans="1:11" x14ac:dyDescent="0.2">
      <c r="A40" t="s">
        <v>151</v>
      </c>
      <c r="B40" s="34">
        <f t="shared" si="11"/>
        <v>-24755.562999999998</v>
      </c>
      <c r="C40" s="32">
        <f t="shared" si="11"/>
        <v>-22242.562999999998</v>
      </c>
      <c r="D40" s="34">
        <f t="shared" si="11"/>
        <v>-19729.562999999998</v>
      </c>
      <c r="E40" s="32">
        <f t="shared" si="11"/>
        <v>-17216.562999999998</v>
      </c>
      <c r="F40" s="34">
        <f t="shared" si="11"/>
        <v>-14703.562999999998</v>
      </c>
      <c r="G40" s="32">
        <f t="shared" si="11"/>
        <v>-12190.562999999998</v>
      </c>
      <c r="H40" s="34">
        <f t="shared" si="11"/>
        <v>-9677.5629999999983</v>
      </c>
      <c r="I40" s="32">
        <f t="shared" si="11"/>
        <v>-7164.5629999999983</v>
      </c>
      <c r="J40" s="34">
        <f t="shared" si="11"/>
        <v>-4651.5629999999983</v>
      </c>
      <c r="K40" s="32">
        <f t="shared" si="11"/>
        <v>-2138.5629999999983</v>
      </c>
    </row>
    <row r="42" spans="1:11" x14ac:dyDescent="0.2">
      <c r="A42" t="s">
        <v>218</v>
      </c>
    </row>
    <row r="43" spans="1:11" x14ac:dyDescent="0.2">
      <c r="A43" s="6" t="s">
        <v>135</v>
      </c>
      <c r="B43" s="33">
        <v>0</v>
      </c>
      <c r="C43">
        <v>1</v>
      </c>
      <c r="D43" s="33">
        <v>2</v>
      </c>
      <c r="E43">
        <v>3</v>
      </c>
      <c r="F43" s="33">
        <v>4</v>
      </c>
      <c r="G43">
        <v>5</v>
      </c>
      <c r="H43" s="33">
        <v>6</v>
      </c>
      <c r="I43">
        <v>7</v>
      </c>
      <c r="J43" s="33">
        <v>8</v>
      </c>
      <c r="K43">
        <v>9</v>
      </c>
    </row>
    <row r="44" spans="1:11" x14ac:dyDescent="0.2">
      <c r="A44" t="s">
        <v>143</v>
      </c>
      <c r="B44" s="34">
        <f>B$43*ABS($G20-$H20)/9</f>
        <v>0</v>
      </c>
      <c r="C44" s="32">
        <f t="shared" ref="C44:J44" si="12">C$43*ABS($G20-$H20)/9</f>
        <v>132029.66933333332</v>
      </c>
      <c r="D44" s="34">
        <f t="shared" si="12"/>
        <v>264059.33866666665</v>
      </c>
      <c r="E44" s="32">
        <f t="shared" si="12"/>
        <v>396089.00799999997</v>
      </c>
      <c r="F44" s="34">
        <f t="shared" si="12"/>
        <v>528118.6773333333</v>
      </c>
      <c r="G44" s="32">
        <f t="shared" si="12"/>
        <v>660148.34666666668</v>
      </c>
      <c r="H44" s="34">
        <f t="shared" si="12"/>
        <v>792178.01599999995</v>
      </c>
      <c r="I44" s="32">
        <f t="shared" si="12"/>
        <v>924207.68533333333</v>
      </c>
      <c r="J44" s="34">
        <f t="shared" si="12"/>
        <v>1056237.3546666666</v>
      </c>
      <c r="K44" s="32">
        <f>K$43*ABS($G20-$H20)/9</f>
        <v>1188267.024</v>
      </c>
    </row>
    <row r="45" spans="1:11" x14ac:dyDescent="0.2">
      <c r="A45" t="s">
        <v>163</v>
      </c>
      <c r="B45" s="34">
        <f t="shared" ref="B45:K45" si="13">B$43*ABS($G21-$H21)/9</f>
        <v>0</v>
      </c>
      <c r="C45" s="32">
        <f t="shared" si="13"/>
        <v>353743.28266666667</v>
      </c>
      <c r="D45" s="34">
        <f t="shared" si="13"/>
        <v>707486.56533333333</v>
      </c>
      <c r="E45" s="32">
        <f t="shared" si="13"/>
        <v>1061229.8480000002</v>
      </c>
      <c r="F45" s="34">
        <f t="shared" si="13"/>
        <v>1414973.1306666667</v>
      </c>
      <c r="G45" s="32">
        <f t="shared" si="13"/>
        <v>1768716.4133333333</v>
      </c>
      <c r="H45" s="34">
        <f t="shared" si="13"/>
        <v>2122459.6960000005</v>
      </c>
      <c r="I45" s="32">
        <f t="shared" si="13"/>
        <v>2476202.9786666669</v>
      </c>
      <c r="J45" s="34">
        <f t="shared" si="13"/>
        <v>2829946.2613333333</v>
      </c>
      <c r="K45" s="32">
        <f t="shared" si="13"/>
        <v>3183689.5440000002</v>
      </c>
    </row>
    <row r="46" spans="1:11" x14ac:dyDescent="0.2">
      <c r="A46" t="s">
        <v>148</v>
      </c>
      <c r="B46" s="34">
        <f t="shared" ref="B46:K46" si="14">B$43*ABS($G22-$H22)/9</f>
        <v>0</v>
      </c>
      <c r="C46" s="32">
        <f t="shared" si="14"/>
        <v>117822.84266666666</v>
      </c>
      <c r="D46" s="34">
        <f t="shared" si="14"/>
        <v>235645.68533333333</v>
      </c>
      <c r="E46" s="32">
        <f t="shared" si="14"/>
        <v>353468.52800000005</v>
      </c>
      <c r="F46" s="34">
        <f t="shared" si="14"/>
        <v>471291.37066666665</v>
      </c>
      <c r="G46" s="32">
        <f t="shared" si="14"/>
        <v>589114.21333333338</v>
      </c>
      <c r="H46" s="34">
        <f t="shared" si="14"/>
        <v>706937.0560000001</v>
      </c>
      <c r="I46" s="32">
        <f t="shared" si="14"/>
        <v>824759.8986666667</v>
      </c>
      <c r="J46" s="34">
        <f t="shared" si="14"/>
        <v>942582.74133333331</v>
      </c>
      <c r="K46" s="32">
        <f t="shared" si="14"/>
        <v>1060405.584</v>
      </c>
    </row>
    <row r="47" spans="1:11" x14ac:dyDescent="0.2">
      <c r="A47" t="s">
        <v>159</v>
      </c>
      <c r="B47" s="34">
        <f t="shared" ref="B47:K47" si="15">B$43*ABS($G23-$H23)/9</f>
        <v>0</v>
      </c>
      <c r="C47" s="32">
        <f t="shared" si="15"/>
        <v>33982.461333333333</v>
      </c>
      <c r="D47" s="34">
        <f t="shared" si="15"/>
        <v>67964.922666666665</v>
      </c>
      <c r="E47" s="32">
        <f t="shared" si="15"/>
        <v>101947.38400000001</v>
      </c>
      <c r="F47" s="34">
        <f t="shared" si="15"/>
        <v>135929.84533333333</v>
      </c>
      <c r="G47" s="32">
        <f t="shared" si="15"/>
        <v>169912.30666666667</v>
      </c>
      <c r="H47" s="34">
        <f t="shared" si="15"/>
        <v>203894.76800000001</v>
      </c>
      <c r="I47" s="32">
        <f t="shared" si="15"/>
        <v>237877.22933333335</v>
      </c>
      <c r="J47" s="34">
        <f t="shared" si="15"/>
        <v>271859.69066666666</v>
      </c>
      <c r="K47" s="32">
        <f t="shared" si="15"/>
        <v>305842.152</v>
      </c>
    </row>
    <row r="48" spans="1:11" x14ac:dyDescent="0.2">
      <c r="A48" t="s">
        <v>151</v>
      </c>
      <c r="B48" s="34">
        <f t="shared" ref="B48:K48" si="16">B$43*ABS($G24-$H24)/9</f>
        <v>0</v>
      </c>
      <c r="C48" s="32">
        <f t="shared" si="16"/>
        <v>924207.68533333333</v>
      </c>
      <c r="D48" s="34">
        <f t="shared" si="16"/>
        <v>1848415.3706666667</v>
      </c>
      <c r="E48" s="32">
        <f t="shared" si="16"/>
        <v>2772623.0559999999</v>
      </c>
      <c r="F48" s="34">
        <f t="shared" si="16"/>
        <v>3696830.7413333333</v>
      </c>
      <c r="G48" s="32">
        <f t="shared" si="16"/>
        <v>4621038.4266666658</v>
      </c>
      <c r="H48" s="34">
        <f t="shared" si="16"/>
        <v>5545246.1119999997</v>
      </c>
      <c r="I48" s="32">
        <f t="shared" si="16"/>
        <v>6469453.7973333336</v>
      </c>
      <c r="J48" s="34">
        <f t="shared" si="16"/>
        <v>7393661.4826666666</v>
      </c>
      <c r="K48" s="32">
        <f t="shared" si="16"/>
        <v>8317869.1679999996</v>
      </c>
    </row>
  </sheetData>
  <mergeCells count="5">
    <mergeCell ref="A18:A19"/>
    <mergeCell ref="B18:B19"/>
    <mergeCell ref="E18:F18"/>
    <mergeCell ref="C18:D18"/>
    <mergeCell ref="G18:H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0.1640625" bestFit="1" customWidth="1"/>
    <col min="2" max="2" width="33.1640625" bestFit="1" customWidth="1"/>
  </cols>
  <sheetData>
    <row r="1" spans="1:3" x14ac:dyDescent="0.2">
      <c r="A1" t="s">
        <v>87</v>
      </c>
      <c r="B1" t="s">
        <v>91</v>
      </c>
    </row>
    <row r="2" spans="1:3" x14ac:dyDescent="0.2">
      <c r="A2" t="s">
        <v>47</v>
      </c>
    </row>
    <row r="3" spans="1:3" x14ac:dyDescent="0.2">
      <c r="A3" t="s">
        <v>48</v>
      </c>
      <c r="B3" t="s">
        <v>49</v>
      </c>
      <c r="C3" t="s">
        <v>51</v>
      </c>
    </row>
    <row r="4" spans="1:3" x14ac:dyDescent="0.2">
      <c r="A4" t="s">
        <v>55</v>
      </c>
      <c r="B4">
        <v>164.77</v>
      </c>
      <c r="C4">
        <v>1.395</v>
      </c>
    </row>
    <row r="5" spans="1:3" x14ac:dyDescent="0.2">
      <c r="A5" t="s">
        <v>54</v>
      </c>
      <c r="B5">
        <v>100</v>
      </c>
      <c r="C5">
        <v>1.395</v>
      </c>
    </row>
    <row r="6" spans="1:3" x14ac:dyDescent="0.2">
      <c r="A6" t="s">
        <v>53</v>
      </c>
      <c r="B6">
        <v>76.53</v>
      </c>
      <c r="C6">
        <v>1.395</v>
      </c>
    </row>
    <row r="7" spans="1:3" x14ac:dyDescent="0.2">
      <c r="A7" t="s">
        <v>52</v>
      </c>
      <c r="B7">
        <v>140</v>
      </c>
      <c r="C7">
        <v>1.395</v>
      </c>
    </row>
    <row r="8" spans="1:3" x14ac:dyDescent="0.2">
      <c r="A8" t="s">
        <v>90</v>
      </c>
      <c r="B8">
        <f>AVERAGE(B4:B7)</f>
        <v>120.32499999999999</v>
      </c>
    </row>
    <row r="10" spans="1:3" x14ac:dyDescent="0.2">
      <c r="A10" t="s">
        <v>89</v>
      </c>
    </row>
    <row r="11" spans="1:3" x14ac:dyDescent="0.2">
      <c r="A11" t="s">
        <v>56</v>
      </c>
    </row>
    <row r="12" spans="1:3" x14ac:dyDescent="0.2">
      <c r="A12" t="s">
        <v>57</v>
      </c>
    </row>
    <row r="13" spans="1:3" x14ac:dyDescent="0.2">
      <c r="A13" t="s">
        <v>88</v>
      </c>
    </row>
    <row r="14" spans="1:3" x14ac:dyDescent="0.2">
      <c r="A14" t="s">
        <v>50</v>
      </c>
      <c r="B14" t="s">
        <v>58</v>
      </c>
    </row>
    <row r="15" spans="1:3" x14ac:dyDescent="0.2">
      <c r="A15" t="s">
        <v>59</v>
      </c>
      <c r="B15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045A-41A7-AF40-95B6-DBF867B04F6F}">
  <dimension ref="A1:J10"/>
  <sheetViews>
    <sheetView workbookViewId="0">
      <selection activeCell="F1" sqref="F1:F8"/>
    </sheetView>
  </sheetViews>
  <sheetFormatPr baseColWidth="10" defaultRowHeight="15" x14ac:dyDescent="0.2"/>
  <cols>
    <col min="1" max="1" width="20.6640625" bestFit="1" customWidth="1"/>
    <col min="6" max="6" width="14.6640625" bestFit="1" customWidth="1"/>
  </cols>
  <sheetData>
    <row r="1" spans="1:10" x14ac:dyDescent="0.2">
      <c r="A1" s="6" t="s">
        <v>135</v>
      </c>
      <c r="B1" s="6" t="s">
        <v>136</v>
      </c>
      <c r="C1" s="6" t="s">
        <v>137</v>
      </c>
      <c r="D1" s="6" t="s">
        <v>138</v>
      </c>
      <c r="E1" s="6" t="s">
        <v>139</v>
      </c>
      <c r="F1" s="6" t="s">
        <v>140</v>
      </c>
      <c r="G1" s="6" t="s">
        <v>0</v>
      </c>
      <c r="H1" s="6" t="s">
        <v>141</v>
      </c>
      <c r="I1" s="6" t="s">
        <v>142</v>
      </c>
      <c r="J1" s="6" t="s">
        <v>176</v>
      </c>
    </row>
    <row r="2" spans="1:10" x14ac:dyDescent="0.2">
      <c r="A2" t="s">
        <v>143</v>
      </c>
      <c r="B2" t="s">
        <v>144</v>
      </c>
      <c r="C2" t="s">
        <v>145</v>
      </c>
      <c r="D2">
        <v>2</v>
      </c>
      <c r="E2">
        <v>3645</v>
      </c>
      <c r="F2" t="s">
        <v>172</v>
      </c>
      <c r="G2" s="18" t="s">
        <v>146</v>
      </c>
      <c r="H2" t="s">
        <v>147</v>
      </c>
      <c r="I2" s="23">
        <v>9.5000000000000001E-2</v>
      </c>
      <c r="J2" s="19">
        <f>$B$10+I2*(1-$B$10)</f>
        <v>0.28505000000000003</v>
      </c>
    </row>
    <row r="3" spans="1:10" x14ac:dyDescent="0.2">
      <c r="A3" t="s">
        <v>148</v>
      </c>
      <c r="B3" t="s">
        <v>144</v>
      </c>
      <c r="C3" t="s">
        <v>145</v>
      </c>
      <c r="D3">
        <v>1</v>
      </c>
      <c r="E3">
        <v>2817</v>
      </c>
      <c r="F3">
        <v>894</v>
      </c>
      <c r="G3" s="18" t="s">
        <v>149</v>
      </c>
      <c r="H3" t="s">
        <v>150</v>
      </c>
      <c r="I3" s="23">
        <v>0</v>
      </c>
      <c r="J3" s="19">
        <f t="shared" ref="J3:J8" si="0">$B$10+I3*(1-$B$10)</f>
        <v>0.21</v>
      </c>
    </row>
    <row r="4" spans="1:10" x14ac:dyDescent="0.2">
      <c r="A4" t="s">
        <v>151</v>
      </c>
      <c r="B4" t="s">
        <v>152</v>
      </c>
      <c r="C4" t="s">
        <v>145</v>
      </c>
      <c r="D4">
        <v>2</v>
      </c>
      <c r="E4">
        <v>3853</v>
      </c>
      <c r="F4">
        <v>1280</v>
      </c>
      <c r="G4" s="18" t="s">
        <v>153</v>
      </c>
      <c r="H4" t="s">
        <v>154</v>
      </c>
      <c r="I4" s="23">
        <v>0</v>
      </c>
      <c r="J4" s="19">
        <f t="shared" si="0"/>
        <v>0.21</v>
      </c>
    </row>
    <row r="5" spans="1:10" x14ac:dyDescent="0.2">
      <c r="A5" t="s">
        <v>155</v>
      </c>
      <c r="B5" t="s">
        <v>156</v>
      </c>
      <c r="C5" t="s">
        <v>145</v>
      </c>
      <c r="D5">
        <v>2</v>
      </c>
      <c r="E5">
        <v>3411</v>
      </c>
      <c r="F5" t="s">
        <v>173</v>
      </c>
      <c r="G5" s="18" t="s">
        <v>157</v>
      </c>
      <c r="H5" t="s">
        <v>158</v>
      </c>
      <c r="I5" s="23">
        <v>8.8400000000000006E-2</v>
      </c>
      <c r="J5" s="19">
        <f t="shared" si="0"/>
        <v>0.27983599999999997</v>
      </c>
    </row>
    <row r="6" spans="1:10" x14ac:dyDescent="0.2">
      <c r="A6" t="s">
        <v>159</v>
      </c>
      <c r="B6" t="s">
        <v>160</v>
      </c>
      <c r="C6" t="s">
        <v>145</v>
      </c>
      <c r="D6">
        <v>2</v>
      </c>
      <c r="E6">
        <v>1677</v>
      </c>
      <c r="F6" t="s">
        <v>174</v>
      </c>
      <c r="G6" s="18" t="s">
        <v>161</v>
      </c>
      <c r="H6" t="s">
        <v>162</v>
      </c>
      <c r="I6" s="23">
        <v>9.8000000000000004E-2</v>
      </c>
      <c r="J6" s="19">
        <f t="shared" si="0"/>
        <v>0.28742000000000001</v>
      </c>
    </row>
    <row r="7" spans="1:10" x14ac:dyDescent="0.2">
      <c r="A7" t="s">
        <v>163</v>
      </c>
      <c r="B7" t="s">
        <v>164</v>
      </c>
      <c r="C7" t="s">
        <v>165</v>
      </c>
      <c r="D7">
        <v>1</v>
      </c>
      <c r="E7">
        <v>2419</v>
      </c>
      <c r="F7">
        <v>769</v>
      </c>
      <c r="G7" s="18" t="s">
        <v>166</v>
      </c>
      <c r="H7" t="s">
        <v>167</v>
      </c>
      <c r="I7" s="23">
        <v>7.8100000000000003E-2</v>
      </c>
      <c r="J7" s="19">
        <f t="shared" si="0"/>
        <v>0.27169900000000002</v>
      </c>
    </row>
    <row r="8" spans="1:10" x14ac:dyDescent="0.2">
      <c r="A8" t="s">
        <v>168</v>
      </c>
      <c r="B8" t="s">
        <v>169</v>
      </c>
      <c r="C8" t="s">
        <v>145</v>
      </c>
      <c r="D8">
        <v>3</v>
      </c>
      <c r="E8">
        <v>3990</v>
      </c>
      <c r="F8" t="s">
        <v>175</v>
      </c>
      <c r="G8" s="18" t="s">
        <v>170</v>
      </c>
      <c r="H8" t="s">
        <v>171</v>
      </c>
      <c r="I8" s="23">
        <v>4.9000000000000002E-2</v>
      </c>
      <c r="J8" s="19">
        <f t="shared" si="0"/>
        <v>0.24870999999999999</v>
      </c>
    </row>
    <row r="9" spans="1:10" x14ac:dyDescent="0.2">
      <c r="H9" s="18"/>
    </row>
    <row r="10" spans="1:10" x14ac:dyDescent="0.2">
      <c r="A10" t="s">
        <v>177</v>
      </c>
      <c r="B10" s="22">
        <v>0.21</v>
      </c>
      <c r="G10" s="21"/>
      <c r="H10" s="18"/>
    </row>
  </sheetData>
  <hyperlinks>
    <hyperlink ref="G2" r:id="rId1" xr:uid="{E420822C-9CB6-0543-ADF1-EDCFE8D5ABAC}"/>
    <hyperlink ref="G3" r:id="rId2" display="https://en.wikipedia.org/wiki/Davis%E2%80%93Besse_Nuclear_Power_Station" xr:uid="{9110542E-89D6-2D47-BAB0-04E98B13FBF5}"/>
    <hyperlink ref="G4" r:id="rId3" xr:uid="{D1783477-78FF-784B-9A1B-672979000EC5}"/>
    <hyperlink ref="G5" r:id="rId4" xr:uid="{50BD1FBC-1D61-6F40-B26D-85ED74F24A2B}"/>
    <hyperlink ref="G6" r:id="rId5" xr:uid="{3096E627-E5FC-5A4A-BC59-39F664A94478}"/>
    <hyperlink ref="G7" r:id="rId6" xr:uid="{A9BD79D7-5527-A44C-B2EE-3F868C0E23D5}"/>
    <hyperlink ref="G8" r:id="rId7" xr:uid="{9DA2C91F-A18F-F04F-A835-EC8502AD4D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MACRS</vt:lpstr>
      <vt:lpstr>Transfer_rates</vt:lpstr>
      <vt:lpstr>HTSE</vt:lpstr>
      <vt:lpstr>FT</vt:lpstr>
      <vt:lpstr>Sweep values</vt:lpstr>
      <vt:lpstr>Capacity_Market</vt:lpstr>
      <vt:lpstr>NPP_capacities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Microsoft Office User</cp:lastModifiedBy>
  <dcterms:created xsi:type="dcterms:W3CDTF">2022-05-18T16:54:28Z</dcterms:created>
  <dcterms:modified xsi:type="dcterms:W3CDTF">2023-06-21T12:37:29Z</dcterms:modified>
</cp:coreProperties>
</file>