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SMR_FT_2023/data/"/>
    </mc:Choice>
  </mc:AlternateContent>
  <xr:revisionPtr revIDLastSave="0" documentId="13_ncr:1_{530F6613-D731-8B47-90B6-12CC9F9F5F07}" xr6:coauthVersionLast="47" xr6:coauthVersionMax="47" xr10:uidLastSave="{00000000-0000-0000-0000-000000000000}"/>
  <bookViews>
    <workbookView xWindow="0" yWindow="500" windowWidth="35840" windowHeight="20320" activeTab="4" xr2:uid="{3CE7F202-39F9-48AF-B0C7-575379157397}"/>
  </bookViews>
  <sheets>
    <sheet name="SMR" sheetId="13" r:id="rId1"/>
    <sheet name="Boundaries_5steps" sheetId="23" r:id="rId2"/>
    <sheet name="Boundaries_6steps" sheetId="22" r:id="rId3"/>
    <sheet name="Boundaries_7steps" sheetId="19" r:id="rId4"/>
    <sheet name="Boundaries_8steps" sheetId="15" r:id="rId5"/>
    <sheet name="steps" sheetId="24" r:id="rId6"/>
    <sheet name="Boundaries" sheetId="10" r:id="rId7"/>
    <sheet name="PTC vs. ITC" sheetId="14" r:id="rId8"/>
    <sheet name="MACRS" sheetId="1" r:id="rId9"/>
    <sheet name="Transfer_rates" sheetId="4" r:id="rId10"/>
    <sheet name="HTSE" sheetId="2" r:id="rId11"/>
    <sheet name="FT" sheetId="11" r:id="rId12"/>
    <sheet name="Capacity_Market" sheetId="3" r:id="rId13"/>
    <sheet name="Tax rates" sheetId="12" r:id="rId14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2" i="15" l="1"/>
  <c r="E43" i="15"/>
  <c r="E44" i="15"/>
  <c r="F6" i="15" s="1"/>
  <c r="E45" i="15"/>
  <c r="G9" i="15" s="1"/>
  <c r="E41" i="15"/>
  <c r="E42" i="23"/>
  <c r="E43" i="23"/>
  <c r="E44" i="23"/>
  <c r="E45" i="23"/>
  <c r="G4" i="23" s="1"/>
  <c r="E41" i="23"/>
  <c r="E42" i="22"/>
  <c r="E43" i="22"/>
  <c r="E44" i="22"/>
  <c r="E45" i="22"/>
  <c r="E41" i="22"/>
  <c r="E42" i="19"/>
  <c r="E43" i="19"/>
  <c r="E44" i="19"/>
  <c r="F6" i="19" s="1"/>
  <c r="E45" i="19"/>
  <c r="E41" i="19"/>
  <c r="C4" i="19" s="1"/>
  <c r="C3" i="19"/>
  <c r="D10" i="24"/>
  <c r="E10" i="24"/>
  <c r="F10" i="24"/>
  <c r="G10" i="24"/>
  <c r="H10" i="24"/>
  <c r="I10" i="24"/>
  <c r="J10" i="24"/>
  <c r="K10" i="24"/>
  <c r="L10" i="24"/>
  <c r="C10" i="24"/>
  <c r="D9" i="24"/>
  <c r="E9" i="24"/>
  <c r="F9" i="24"/>
  <c r="G9" i="24"/>
  <c r="H9" i="24"/>
  <c r="I9" i="24"/>
  <c r="J9" i="24"/>
  <c r="K9" i="24"/>
  <c r="L9" i="24"/>
  <c r="C9" i="24"/>
  <c r="D8" i="24"/>
  <c r="E8" i="24"/>
  <c r="F8" i="24"/>
  <c r="G8" i="24"/>
  <c r="H8" i="24"/>
  <c r="I8" i="24"/>
  <c r="J8" i="24"/>
  <c r="K8" i="24"/>
  <c r="L8" i="24"/>
  <c r="C8" i="24"/>
  <c r="D7" i="24"/>
  <c r="E7" i="24"/>
  <c r="F7" i="24"/>
  <c r="G7" i="24"/>
  <c r="H7" i="24"/>
  <c r="I7" i="24"/>
  <c r="J7" i="24"/>
  <c r="K7" i="24"/>
  <c r="L7" i="24"/>
  <c r="D6" i="24"/>
  <c r="E6" i="24"/>
  <c r="F6" i="24"/>
  <c r="G6" i="24"/>
  <c r="H6" i="24"/>
  <c r="I6" i="24"/>
  <c r="J6" i="24"/>
  <c r="K6" i="24"/>
  <c r="L6" i="24"/>
  <c r="C6" i="24"/>
  <c r="D5" i="24"/>
  <c r="E5" i="24"/>
  <c r="F5" i="24"/>
  <c r="G5" i="24"/>
  <c r="H5" i="24"/>
  <c r="I5" i="24"/>
  <c r="J5" i="24"/>
  <c r="K5" i="24"/>
  <c r="L5" i="24"/>
  <c r="C5" i="24"/>
  <c r="D4" i="24"/>
  <c r="E4" i="24"/>
  <c r="F4" i="24"/>
  <c r="G4" i="24"/>
  <c r="H4" i="24"/>
  <c r="I4" i="24"/>
  <c r="J4" i="24"/>
  <c r="K4" i="24"/>
  <c r="L4" i="24"/>
  <c r="D3" i="24"/>
  <c r="E3" i="24"/>
  <c r="F3" i="24"/>
  <c r="G3" i="24"/>
  <c r="H3" i="24"/>
  <c r="I3" i="24"/>
  <c r="J3" i="24"/>
  <c r="K3" i="24"/>
  <c r="L3" i="24"/>
  <c r="C3" i="24"/>
  <c r="D2" i="24"/>
  <c r="E2" i="24"/>
  <c r="F2" i="24"/>
  <c r="G2" i="24"/>
  <c r="H2" i="24"/>
  <c r="I2" i="24"/>
  <c r="J2" i="24"/>
  <c r="K2" i="24"/>
  <c r="L2" i="24"/>
  <c r="C2" i="24"/>
  <c r="E41" i="10"/>
  <c r="C48" i="10" s="1"/>
  <c r="E42" i="10"/>
  <c r="E43" i="10"/>
  <c r="E44" i="10"/>
  <c r="E45" i="10"/>
  <c r="C4" i="22"/>
  <c r="C5" i="22"/>
  <c r="C6" i="22"/>
  <c r="C7" i="22"/>
  <c r="D4" i="22"/>
  <c r="D5" i="22"/>
  <c r="D6" i="22"/>
  <c r="D7" i="22"/>
  <c r="E4" i="22"/>
  <c r="E5" i="22"/>
  <c r="E6" i="22"/>
  <c r="E7" i="22"/>
  <c r="F4" i="22"/>
  <c r="F5" i="22"/>
  <c r="F6" i="22"/>
  <c r="F7" i="22"/>
  <c r="G4" i="22"/>
  <c r="G5" i="22"/>
  <c r="G6" i="22"/>
  <c r="G7" i="22"/>
  <c r="G3" i="22"/>
  <c r="F3" i="22"/>
  <c r="E3" i="22"/>
  <c r="D3" i="22"/>
  <c r="C3" i="22"/>
  <c r="C29" i="22"/>
  <c r="C30" i="22"/>
  <c r="C31" i="22"/>
  <c r="C32" i="22"/>
  <c r="C33" i="22"/>
  <c r="C28" i="22"/>
  <c r="C19" i="22"/>
  <c r="C20" i="22"/>
  <c r="C21" i="22"/>
  <c r="C22" i="22"/>
  <c r="C23" i="22"/>
  <c r="C18" i="22"/>
  <c r="G6" i="23"/>
  <c r="G3" i="23"/>
  <c r="F4" i="23"/>
  <c r="F5" i="23"/>
  <c r="F6" i="23"/>
  <c r="F3" i="23"/>
  <c r="E4" i="23"/>
  <c r="E5" i="23"/>
  <c r="E6" i="23"/>
  <c r="E3" i="23"/>
  <c r="D4" i="23"/>
  <c r="D5" i="23"/>
  <c r="D6" i="23"/>
  <c r="D3" i="23"/>
  <c r="C4" i="23"/>
  <c r="C5" i="23"/>
  <c r="C6" i="23"/>
  <c r="C29" i="23"/>
  <c r="C30" i="23"/>
  <c r="C31" i="23"/>
  <c r="C32" i="23"/>
  <c r="C28" i="23"/>
  <c r="C19" i="23"/>
  <c r="C20" i="23"/>
  <c r="C21" i="23"/>
  <c r="C22" i="23"/>
  <c r="C18" i="23"/>
  <c r="C3" i="23"/>
  <c r="B44" i="23"/>
  <c r="B43" i="23"/>
  <c r="B42" i="23"/>
  <c r="B41" i="23"/>
  <c r="D39" i="23"/>
  <c r="A29" i="23"/>
  <c r="A19" i="23"/>
  <c r="D14" i="23"/>
  <c r="F14" i="23" s="1"/>
  <c r="C14" i="23"/>
  <c r="B44" i="22"/>
  <c r="B43" i="22"/>
  <c r="B42" i="22"/>
  <c r="B41" i="22"/>
  <c r="D39" i="22"/>
  <c r="A29" i="22"/>
  <c r="A19" i="22"/>
  <c r="D14" i="22"/>
  <c r="F14" i="22" s="1"/>
  <c r="C14" i="22"/>
  <c r="G4" i="19"/>
  <c r="G5" i="19"/>
  <c r="G6" i="19"/>
  <c r="G7" i="19"/>
  <c r="G8" i="19"/>
  <c r="G3" i="19"/>
  <c r="F4" i="19"/>
  <c r="F5" i="19"/>
  <c r="F8" i="19"/>
  <c r="F3" i="19"/>
  <c r="E4" i="19"/>
  <c r="E5" i="19"/>
  <c r="E6" i="19"/>
  <c r="E7" i="19"/>
  <c r="E8" i="19"/>
  <c r="E3" i="19"/>
  <c r="D4" i="19"/>
  <c r="D5" i="19"/>
  <c r="D6" i="19"/>
  <c r="D7" i="19"/>
  <c r="D8" i="19"/>
  <c r="D3" i="19"/>
  <c r="C5" i="19"/>
  <c r="C6" i="19"/>
  <c r="C7" i="19"/>
  <c r="C8" i="19"/>
  <c r="E3" i="15"/>
  <c r="D6" i="15"/>
  <c r="D5" i="15"/>
  <c r="D3" i="15"/>
  <c r="F3" i="15"/>
  <c r="G3" i="15"/>
  <c r="C4" i="15"/>
  <c r="D4" i="15"/>
  <c r="E4" i="15"/>
  <c r="F4" i="15"/>
  <c r="G4" i="15"/>
  <c r="C5" i="15"/>
  <c r="E5" i="15"/>
  <c r="F5" i="15"/>
  <c r="G5" i="15"/>
  <c r="C6" i="15"/>
  <c r="E6" i="15"/>
  <c r="C7" i="15"/>
  <c r="D7" i="15"/>
  <c r="E7" i="15"/>
  <c r="F7" i="15"/>
  <c r="G7" i="15"/>
  <c r="C8" i="15"/>
  <c r="D8" i="15"/>
  <c r="E8" i="15"/>
  <c r="F8" i="15"/>
  <c r="G8" i="15"/>
  <c r="C9" i="15"/>
  <c r="D9" i="15"/>
  <c r="E9" i="15"/>
  <c r="F9" i="15"/>
  <c r="C3" i="15"/>
  <c r="C29" i="19"/>
  <c r="C30" i="19"/>
  <c r="C31" i="19"/>
  <c r="C32" i="19"/>
  <c r="C33" i="19"/>
  <c r="C34" i="19"/>
  <c r="C28" i="19"/>
  <c r="C19" i="19"/>
  <c r="C20" i="19"/>
  <c r="C21" i="19"/>
  <c r="C22" i="19"/>
  <c r="C23" i="19"/>
  <c r="C24" i="19"/>
  <c r="C18" i="19"/>
  <c r="B44" i="19"/>
  <c r="B43" i="19"/>
  <c r="B42" i="19"/>
  <c r="B41" i="19"/>
  <c r="D39" i="19"/>
  <c r="A29" i="19"/>
  <c r="A8" i="19"/>
  <c r="A7" i="19"/>
  <c r="A6" i="19"/>
  <c r="A5" i="19"/>
  <c r="A19" i="19"/>
  <c r="D14" i="19"/>
  <c r="F14" i="19" s="1"/>
  <c r="C14" i="19"/>
  <c r="A4" i="19" s="1"/>
  <c r="B3" i="15"/>
  <c r="B4" i="15"/>
  <c r="B5" i="15"/>
  <c r="B6" i="15"/>
  <c r="B7" i="15"/>
  <c r="B8" i="15"/>
  <c r="B9" i="15"/>
  <c r="B2" i="15"/>
  <c r="A3" i="15"/>
  <c r="A4" i="15"/>
  <c r="A5" i="15"/>
  <c r="A6" i="15"/>
  <c r="A7" i="15"/>
  <c r="A8" i="15"/>
  <c r="A9" i="15"/>
  <c r="A2" i="15"/>
  <c r="C29" i="15"/>
  <c r="C30" i="15"/>
  <c r="C31" i="15"/>
  <c r="C32" i="15"/>
  <c r="C33" i="15"/>
  <c r="C34" i="15"/>
  <c r="C35" i="15"/>
  <c r="D14" i="15"/>
  <c r="C14" i="15"/>
  <c r="C21" i="15" s="1"/>
  <c r="A52" i="15"/>
  <c r="A51" i="15"/>
  <c r="A50" i="15"/>
  <c r="A49" i="15"/>
  <c r="A48" i="15"/>
  <c r="B44" i="15"/>
  <c r="B43" i="15"/>
  <c r="B42" i="15"/>
  <c r="B41" i="15"/>
  <c r="D39" i="15"/>
  <c r="A29" i="15"/>
  <c r="A19" i="15"/>
  <c r="D9" i="14"/>
  <c r="D10" i="14"/>
  <c r="C9" i="14"/>
  <c r="C10" i="14" s="1"/>
  <c r="B77" i="10"/>
  <c r="C77" i="10"/>
  <c r="D77" i="10"/>
  <c r="E77" i="10"/>
  <c r="F77" i="10"/>
  <c r="G77" i="10"/>
  <c r="E79" i="10"/>
  <c r="F79" i="10"/>
  <c r="G79" i="10"/>
  <c r="H79" i="10"/>
  <c r="I79" i="10"/>
  <c r="J79" i="10"/>
  <c r="K79" i="10"/>
  <c r="I80" i="10"/>
  <c r="H76" i="10"/>
  <c r="I76" i="10"/>
  <c r="J76" i="10"/>
  <c r="K76" i="10"/>
  <c r="B76" i="10"/>
  <c r="C75" i="10"/>
  <c r="D75" i="10"/>
  <c r="E75" i="10"/>
  <c r="F75" i="10"/>
  <c r="G75" i="10"/>
  <c r="H75" i="10"/>
  <c r="I75" i="10"/>
  <c r="J75" i="10"/>
  <c r="K75" i="10"/>
  <c r="B75" i="10"/>
  <c r="A77" i="10"/>
  <c r="A78" i="10"/>
  <c r="A79" i="10"/>
  <c r="A80" i="10"/>
  <c r="A76" i="10"/>
  <c r="A75" i="10"/>
  <c r="F72" i="10"/>
  <c r="F70" i="10"/>
  <c r="G70" i="10"/>
  <c r="H70" i="10"/>
  <c r="I70" i="10"/>
  <c r="B71" i="10"/>
  <c r="C71" i="10"/>
  <c r="D71" i="10"/>
  <c r="E71" i="10"/>
  <c r="F71" i="10"/>
  <c r="G71" i="10"/>
  <c r="H71" i="10"/>
  <c r="I71" i="10"/>
  <c r="B72" i="10"/>
  <c r="C72" i="10"/>
  <c r="D72" i="10"/>
  <c r="E72" i="10"/>
  <c r="G72" i="10"/>
  <c r="H72" i="10"/>
  <c r="I72" i="10"/>
  <c r="J72" i="10"/>
  <c r="K72" i="10"/>
  <c r="B73" i="10"/>
  <c r="C73" i="10"/>
  <c r="D73" i="10"/>
  <c r="E73" i="10"/>
  <c r="G69" i="10"/>
  <c r="H69" i="10"/>
  <c r="I69" i="10"/>
  <c r="J69" i="10"/>
  <c r="K69" i="10"/>
  <c r="B69" i="10"/>
  <c r="A70" i="10"/>
  <c r="A71" i="10"/>
  <c r="A72" i="10"/>
  <c r="A73" i="10"/>
  <c r="A69" i="10"/>
  <c r="C68" i="10"/>
  <c r="D68" i="10"/>
  <c r="E68" i="10"/>
  <c r="F68" i="10"/>
  <c r="G68" i="10"/>
  <c r="H68" i="10"/>
  <c r="I68" i="10"/>
  <c r="J68" i="10"/>
  <c r="K68" i="10"/>
  <c r="B68" i="10"/>
  <c r="A68" i="10"/>
  <c r="M42" i="10"/>
  <c r="H77" i="10" s="1"/>
  <c r="M43" i="10"/>
  <c r="B78" i="10" s="1"/>
  <c r="M44" i="10"/>
  <c r="B79" i="10" s="1"/>
  <c r="M45" i="10"/>
  <c r="K80" i="10" s="1"/>
  <c r="K42" i="10"/>
  <c r="J70" i="10" s="1"/>
  <c r="K43" i="10"/>
  <c r="J71" i="10" s="1"/>
  <c r="K44" i="10"/>
  <c r="K45" i="10"/>
  <c r="F73" i="10" s="1"/>
  <c r="M41" i="10"/>
  <c r="D76" i="10" s="1"/>
  <c r="K41" i="10"/>
  <c r="D69" i="10" s="1"/>
  <c r="I41" i="10"/>
  <c r="L39" i="10"/>
  <c r="J39" i="10"/>
  <c r="A61" i="10"/>
  <c r="A54" i="10"/>
  <c r="B25" i="10"/>
  <c r="C14" i="10"/>
  <c r="E14" i="10" s="1"/>
  <c r="C15" i="10"/>
  <c r="C16" i="10"/>
  <c r="C17" i="10"/>
  <c r="C18" i="10"/>
  <c r="D14" i="10"/>
  <c r="F14" i="10" s="1"/>
  <c r="A35" i="10"/>
  <c r="A36" i="10"/>
  <c r="A27" i="10"/>
  <c r="A28" i="10"/>
  <c r="D17" i="10"/>
  <c r="F17" i="10" s="1"/>
  <c r="D18" i="10"/>
  <c r="F18" i="10"/>
  <c r="I4" i="13"/>
  <c r="J4" i="13"/>
  <c r="K4" i="13"/>
  <c r="L4" i="13"/>
  <c r="H4" i="13"/>
  <c r="A49" i="10"/>
  <c r="A56" i="10" s="1"/>
  <c r="A63" i="10" s="1"/>
  <c r="A50" i="10"/>
  <c r="A57" i="10" s="1"/>
  <c r="A64" i="10" s="1"/>
  <c r="A51" i="10"/>
  <c r="A58" i="10" s="1"/>
  <c r="A65" i="10" s="1"/>
  <c r="A52" i="10"/>
  <c r="A59" i="10" s="1"/>
  <c r="A66" i="10" s="1"/>
  <c r="A48" i="10"/>
  <c r="A55" i="10" s="1"/>
  <c r="A62" i="10" s="1"/>
  <c r="H39" i="10"/>
  <c r="F39" i="10"/>
  <c r="D39" i="10"/>
  <c r="D15" i="10"/>
  <c r="D16" i="10"/>
  <c r="A33" i="10"/>
  <c r="A34" i="10"/>
  <c r="A32" i="10"/>
  <c r="A25" i="10"/>
  <c r="A26" i="10"/>
  <c r="A24" i="10"/>
  <c r="B25" i="11"/>
  <c r="B21" i="11"/>
  <c r="E3" i="12"/>
  <c r="E4" i="12"/>
  <c r="E5" i="12"/>
  <c r="E6" i="12"/>
  <c r="E7" i="12"/>
  <c r="E8" i="12"/>
  <c r="E2" i="12"/>
  <c r="B20" i="4"/>
  <c r="B15" i="11"/>
  <c r="J10" i="11"/>
  <c r="K10" i="11"/>
  <c r="I10" i="11"/>
  <c r="J9" i="11"/>
  <c r="I8" i="11"/>
  <c r="I9" i="11" s="1"/>
  <c r="K8" i="11"/>
  <c r="K9" i="11" s="1"/>
  <c r="B8" i="3"/>
  <c r="B4" i="2"/>
  <c r="B19" i="4"/>
  <c r="F12" i="4"/>
  <c r="F13" i="4"/>
  <c r="F11" i="4"/>
  <c r="F8" i="4"/>
  <c r="F7" i="4"/>
  <c r="D7" i="4"/>
  <c r="D8" i="4"/>
  <c r="D11" i="4"/>
  <c r="D12" i="4"/>
  <c r="D13" i="4"/>
  <c r="G6" i="15" l="1"/>
  <c r="G5" i="23"/>
  <c r="F7" i="19"/>
  <c r="J80" i="10"/>
  <c r="G80" i="10"/>
  <c r="H80" i="10"/>
  <c r="F80" i="10"/>
  <c r="E80" i="10"/>
  <c r="C80" i="10"/>
  <c r="B80" i="10"/>
  <c r="K73" i="10"/>
  <c r="J73" i="10"/>
  <c r="H73" i="10"/>
  <c r="G73" i="10"/>
  <c r="D80" i="10"/>
  <c r="I73" i="10"/>
  <c r="D79" i="10"/>
  <c r="C79" i="10"/>
  <c r="K78" i="10"/>
  <c r="J78" i="10"/>
  <c r="I78" i="10"/>
  <c r="H78" i="10"/>
  <c r="G78" i="10"/>
  <c r="F78" i="10"/>
  <c r="E78" i="10"/>
  <c r="D78" i="10"/>
  <c r="K71" i="10"/>
  <c r="C78" i="10"/>
  <c r="K77" i="10"/>
  <c r="J77" i="10"/>
  <c r="B70" i="10"/>
  <c r="C70" i="10"/>
  <c r="K70" i="10"/>
  <c r="I77" i="10"/>
  <c r="E70" i="10"/>
  <c r="D70" i="10"/>
  <c r="G76" i="10"/>
  <c r="C69" i="10"/>
  <c r="C76" i="10"/>
  <c r="F69" i="10"/>
  <c r="E69" i="10"/>
  <c r="F76" i="10"/>
  <c r="E76" i="10"/>
  <c r="A6" i="23"/>
  <c r="A2" i="23"/>
  <c r="E14" i="23"/>
  <c r="A3" i="23"/>
  <c r="A5" i="23"/>
  <c r="A4" i="23"/>
  <c r="E14" i="22"/>
  <c r="A3" i="22"/>
  <c r="A5" i="22"/>
  <c r="A6" i="22"/>
  <c r="A2" i="22"/>
  <c r="A4" i="22"/>
  <c r="A7" i="22"/>
  <c r="A2" i="19"/>
  <c r="E14" i="19"/>
  <c r="A3" i="19"/>
  <c r="C18" i="15"/>
  <c r="C23" i="15"/>
  <c r="C20" i="15"/>
  <c r="C25" i="15"/>
  <c r="C22" i="15"/>
  <c r="C19" i="15"/>
  <c r="C24" i="15"/>
  <c r="D27" i="10"/>
  <c r="B24" i="10"/>
  <c r="F15" i="10"/>
  <c r="F16" i="10"/>
  <c r="E15" i="10"/>
  <c r="B2" i="23" l="1"/>
  <c r="B4" i="23"/>
  <c r="B6" i="23"/>
  <c r="B5" i="23"/>
  <c r="B3" i="23"/>
  <c r="B2" i="22"/>
  <c r="B4" i="22"/>
  <c r="B5" i="22"/>
  <c r="B3" i="22"/>
  <c r="B7" i="22"/>
  <c r="B6" i="22"/>
  <c r="B6" i="19"/>
  <c r="B2" i="19"/>
  <c r="B5" i="19"/>
  <c r="B3" i="19"/>
  <c r="B8" i="19"/>
  <c r="B7" i="19"/>
  <c r="B4" i="19"/>
  <c r="E17" i="10"/>
  <c r="J27" i="10"/>
  <c r="B27" i="10"/>
  <c r="C27" i="10"/>
  <c r="F27" i="10"/>
  <c r="K27" i="10"/>
  <c r="E27" i="10"/>
  <c r="G27" i="10"/>
  <c r="I27" i="10"/>
  <c r="H27" i="10"/>
  <c r="E18" i="10"/>
  <c r="B28" i="10"/>
  <c r="C28" i="10"/>
  <c r="D28" i="10"/>
  <c r="E28" i="10"/>
  <c r="H28" i="10"/>
  <c r="I28" i="10"/>
  <c r="K28" i="10"/>
  <c r="F28" i="10"/>
  <c r="G28" i="10"/>
  <c r="J28" i="10"/>
  <c r="J33" i="10"/>
  <c r="G45" i="10"/>
  <c r="E33" i="10"/>
  <c r="B33" i="10"/>
  <c r="H33" i="10"/>
  <c r="K33" i="10"/>
  <c r="G42" i="10"/>
  <c r="G43" i="10"/>
  <c r="G44" i="10"/>
  <c r="C58" i="10" s="1"/>
  <c r="G41" i="10"/>
  <c r="C55" i="10" s="1"/>
  <c r="C33" i="10"/>
  <c r="D33" i="10"/>
  <c r="I33" i="10"/>
  <c r="F33" i="10"/>
  <c r="G33" i="10"/>
  <c r="E26" i="10"/>
  <c r="I26" i="10"/>
  <c r="K26" i="10"/>
  <c r="D26" i="10"/>
  <c r="F26" i="10"/>
  <c r="J26" i="10"/>
  <c r="G26" i="10"/>
  <c r="H26" i="10"/>
  <c r="B26" i="10"/>
  <c r="C26" i="10"/>
  <c r="D25" i="10"/>
  <c r="C25" i="10"/>
  <c r="E25" i="10"/>
  <c r="F25" i="10"/>
  <c r="K25" i="10"/>
  <c r="H25" i="10"/>
  <c r="I25" i="10"/>
  <c r="J25" i="10"/>
  <c r="G25" i="10"/>
  <c r="G24" i="10"/>
  <c r="H24" i="10"/>
  <c r="J24" i="10"/>
  <c r="K24" i="10"/>
  <c r="E24" i="10"/>
  <c r="I24" i="10"/>
  <c r="D24" i="10"/>
  <c r="C24" i="10"/>
  <c r="F24" i="10"/>
  <c r="E16" i="10"/>
  <c r="C34" i="10" s="1"/>
  <c r="E36" i="10" l="1"/>
  <c r="H36" i="10"/>
  <c r="K36" i="10"/>
  <c r="B36" i="10"/>
  <c r="F36" i="10"/>
  <c r="G36" i="10"/>
  <c r="I36" i="10"/>
  <c r="J36" i="10"/>
  <c r="D36" i="10"/>
  <c r="C36" i="10"/>
  <c r="D35" i="10"/>
  <c r="K35" i="10"/>
  <c r="C35" i="10"/>
  <c r="E35" i="10"/>
  <c r="F35" i="10"/>
  <c r="I35" i="10"/>
  <c r="J35" i="10"/>
  <c r="B35" i="10"/>
  <c r="G35" i="10"/>
  <c r="H35" i="10"/>
  <c r="B55" i="10"/>
  <c r="E55" i="10"/>
  <c r="D55" i="10"/>
  <c r="H55" i="10"/>
  <c r="F55" i="10"/>
  <c r="K55" i="10"/>
  <c r="I55" i="10"/>
  <c r="G55" i="10"/>
  <c r="J55" i="10"/>
  <c r="C56" i="10"/>
  <c r="F56" i="10"/>
  <c r="K56" i="10"/>
  <c r="D56" i="10"/>
  <c r="E56" i="10"/>
  <c r="G56" i="10"/>
  <c r="B56" i="10"/>
  <c r="H56" i="10"/>
  <c r="I56" i="10"/>
  <c r="J56" i="10"/>
  <c r="H59" i="10"/>
  <c r="B59" i="10"/>
  <c r="F59" i="10"/>
  <c r="I59" i="10"/>
  <c r="J59" i="10"/>
  <c r="K59" i="10"/>
  <c r="E59" i="10"/>
  <c r="C59" i="10"/>
  <c r="D59" i="10"/>
  <c r="G59" i="10"/>
  <c r="D58" i="10"/>
  <c r="G58" i="10"/>
  <c r="K58" i="10"/>
  <c r="E58" i="10"/>
  <c r="F58" i="10"/>
  <c r="B58" i="10"/>
  <c r="H58" i="10"/>
  <c r="I58" i="10"/>
  <c r="J58" i="10"/>
  <c r="J57" i="10"/>
  <c r="F57" i="10"/>
  <c r="K57" i="10"/>
  <c r="B57" i="10"/>
  <c r="E57" i="10"/>
  <c r="G57" i="10"/>
  <c r="I57" i="10"/>
  <c r="H57" i="10"/>
  <c r="C57" i="10"/>
  <c r="D57" i="10"/>
  <c r="D34" i="10"/>
  <c r="F34" i="10"/>
  <c r="G34" i="10"/>
  <c r="J34" i="10"/>
  <c r="K34" i="10"/>
  <c r="I42" i="10"/>
  <c r="I43" i="10"/>
  <c r="C64" i="10" s="1"/>
  <c r="I34" i="10"/>
  <c r="B34" i="10"/>
  <c r="E34" i="10"/>
  <c r="H34" i="10"/>
  <c r="I44" i="10"/>
  <c r="I45" i="10"/>
  <c r="C32" i="10"/>
  <c r="J32" i="10"/>
  <c r="D32" i="10"/>
  <c r="G32" i="10"/>
  <c r="H32" i="10"/>
  <c r="B32" i="10"/>
  <c r="E32" i="10"/>
  <c r="F32" i="10"/>
  <c r="I32" i="10"/>
  <c r="K32" i="10"/>
  <c r="B51" i="10"/>
  <c r="J66" i="10" l="1"/>
  <c r="I66" i="10"/>
  <c r="K66" i="10"/>
  <c r="B66" i="10"/>
  <c r="F66" i="10"/>
  <c r="C66" i="10"/>
  <c r="H66" i="10"/>
  <c r="D66" i="10"/>
  <c r="E66" i="10"/>
  <c r="G66" i="10"/>
  <c r="K52" i="10"/>
  <c r="E52" i="10"/>
  <c r="F52" i="10"/>
  <c r="H52" i="10"/>
  <c r="C52" i="10"/>
  <c r="B52" i="10"/>
  <c r="D52" i="10"/>
  <c r="J52" i="10"/>
  <c r="I52" i="10"/>
  <c r="G52" i="10"/>
  <c r="C65" i="10"/>
  <c r="B65" i="10"/>
  <c r="D65" i="10"/>
  <c r="E65" i="10"/>
  <c r="F65" i="10"/>
  <c r="G65" i="10"/>
  <c r="H65" i="10"/>
  <c r="K65" i="10"/>
  <c r="I65" i="10"/>
  <c r="J65" i="10"/>
  <c r="C51" i="10"/>
  <c r="E51" i="10"/>
  <c r="F51" i="10"/>
  <c r="D51" i="10"/>
  <c r="G51" i="10"/>
  <c r="H51" i="10"/>
  <c r="I51" i="10"/>
  <c r="K51" i="10"/>
  <c r="J51" i="10"/>
  <c r="D62" i="10"/>
  <c r="G62" i="10"/>
  <c r="C62" i="10"/>
  <c r="E62" i="10"/>
  <c r="H62" i="10"/>
  <c r="B62" i="10"/>
  <c r="I62" i="10"/>
  <c r="J62" i="10"/>
  <c r="K62" i="10"/>
  <c r="F62" i="10"/>
  <c r="D48" i="10"/>
  <c r="F48" i="10"/>
  <c r="E48" i="10"/>
  <c r="G48" i="10"/>
  <c r="I48" i="10"/>
  <c r="K48" i="10"/>
  <c r="J48" i="10"/>
  <c r="H48" i="10"/>
  <c r="H50" i="10"/>
  <c r="K50" i="10"/>
  <c r="B50" i="10"/>
  <c r="F50" i="10"/>
  <c r="C50" i="10"/>
  <c r="D50" i="10"/>
  <c r="G50" i="10"/>
  <c r="I50" i="10"/>
  <c r="E50" i="10"/>
  <c r="J50" i="10"/>
  <c r="E49" i="10"/>
  <c r="F49" i="10"/>
  <c r="B49" i="10"/>
  <c r="G49" i="10"/>
  <c r="H49" i="10"/>
  <c r="I49" i="10"/>
  <c r="J49" i="10"/>
  <c r="K49" i="10"/>
  <c r="C49" i="10"/>
  <c r="D49" i="10"/>
  <c r="B64" i="10"/>
  <c r="G64" i="10"/>
  <c r="I64" i="10"/>
  <c r="D64" i="10"/>
  <c r="E64" i="10"/>
  <c r="J64" i="10"/>
  <c r="F64" i="10"/>
  <c r="K64" i="10"/>
  <c r="H64" i="10"/>
  <c r="E63" i="10"/>
  <c r="G63" i="10"/>
  <c r="H63" i="10"/>
  <c r="F63" i="10"/>
  <c r="B63" i="10"/>
  <c r="I63" i="10"/>
  <c r="J63" i="10"/>
  <c r="K63" i="10"/>
  <c r="C63" i="10"/>
  <c r="D63" i="10"/>
  <c r="B48" i="10"/>
  <c r="E14" i="15" l="1"/>
  <c r="F14" i="15"/>
  <c r="C51" i="15" l="1"/>
  <c r="C28" i="15"/>
  <c r="E50" i="15"/>
  <c r="I48" i="15"/>
  <c r="H51" i="15"/>
  <c r="I51" i="15"/>
  <c r="G51" i="15"/>
  <c r="F51" i="15"/>
  <c r="D51" i="15"/>
  <c r="E51" i="15"/>
  <c r="H48" i="15" l="1"/>
  <c r="C48" i="15"/>
  <c r="F49" i="15"/>
  <c r="D49" i="15"/>
  <c r="E49" i="15"/>
  <c r="C49" i="15"/>
  <c r="C50" i="15"/>
  <c r="I49" i="15"/>
  <c r="D50" i="15"/>
  <c r="E48" i="15"/>
  <c r="F50" i="15"/>
  <c r="I50" i="15"/>
  <c r="G50" i="15"/>
  <c r="H50" i="15"/>
  <c r="F48" i="15"/>
  <c r="H49" i="15"/>
  <c r="G49" i="15"/>
  <c r="G48" i="15"/>
  <c r="D48" i="15"/>
  <c r="C52" i="15"/>
  <c r="D52" i="15"/>
  <c r="E52" i="15"/>
  <c r="G52" i="15"/>
  <c r="H52" i="15"/>
  <c r="F52" i="15"/>
  <c r="I52" i="15"/>
</calcChain>
</file>

<file path=xl/sharedStrings.xml><?xml version="1.0" encoding="utf-8"?>
<sst xmlns="http://schemas.openxmlformats.org/spreadsheetml/2006/main" count="445" uniqueCount="231">
  <si>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</si>
  <si>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</si>
  <si>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</si>
  <si>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</si>
  <si>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</si>
  <si>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</si>
  <si>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</si>
  <si>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</si>
  <si>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</si>
  <si>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</si>
  <si>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</si>
  <si>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</si>
  <si>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</si>
  <si>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</si>
  <si>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</si>
  <si>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</si>
  <si>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</si>
  <si>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</si>
  <si>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</si>
  <si>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</si>
  <si>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</si>
  <si>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</si>
  <si>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</si>
  <si>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</si>
  <si>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</si>
  <si>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</si>
  <si>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</si>
  <si>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</si>
  <si>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</si>
  <si>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</si>
  <si>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</si>
  <si>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</si>
  <si>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</si>
  <si>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</si>
  <si>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</si>
  <si>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</si>
  <si>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</si>
  <si>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</si>
  <si>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</si>
  <si>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</si>
  <si>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</si>
  <si>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</si>
  <si>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</si>
  <si>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</si>
  <si>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</si>
  <si>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</si>
  <si>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</si>
  <si>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</si>
  <si>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</si>
  <si>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</si>
  <si>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</si>
  <si>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</si>
  <si>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</si>
  <si>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</si>
  <si>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</si>
  <si>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</si>
  <si>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</si>
  <si>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</si>
  <si>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</si>
  <si>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</si>
  <si>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</si>
  <si>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FT process</t>
  </si>
  <si>
    <t>Inputs</t>
  </si>
  <si>
    <t>CO2</t>
  </si>
  <si>
    <t>H2</t>
  </si>
  <si>
    <t>Electricity</t>
  </si>
  <si>
    <t>MWe</t>
  </si>
  <si>
    <t>MT/day</t>
  </si>
  <si>
    <t>Outputs</t>
  </si>
  <si>
    <t>Naphta</t>
  </si>
  <si>
    <t>Jet Fuel</t>
  </si>
  <si>
    <t>Diesel</t>
  </si>
  <si>
    <t>kg/s</t>
  </si>
  <si>
    <t>kWh/kg-H2</t>
  </si>
  <si>
    <t>kg/h</t>
  </si>
  <si>
    <t>kg-H2/kWh</t>
  </si>
  <si>
    <t>Fixed no matter production level</t>
  </si>
  <si>
    <t>Modeled as separate electricity consuming component</t>
  </si>
  <si>
    <t>Using NOAK values</t>
  </si>
  <si>
    <t>kg-H2/kWh-e</t>
  </si>
  <si>
    <t>Performance and cost analysis of liquid fuel production form H2 and CO2 based on the FT process</t>
  </si>
  <si>
    <t>TCI</t>
  </si>
  <si>
    <t>Size factor</t>
  </si>
  <si>
    <t>Log size factor</t>
  </si>
  <si>
    <t>Name</t>
  </si>
  <si>
    <t>scaling factor</t>
  </si>
  <si>
    <t>depreciate</t>
  </si>
  <si>
    <t>Comment</t>
  </si>
  <si>
    <t>Acronyms</t>
  </si>
  <si>
    <t>Equations</t>
  </si>
  <si>
    <t>Average</t>
  </si>
  <si>
    <t>Used to compute a negative cashflow for the capacity of the NPP not sold on the capacity market</t>
  </si>
  <si>
    <t>FT ANL report</t>
  </si>
  <si>
    <t>Dan Wendt report</t>
  </si>
  <si>
    <t>Components capacities optimization boundaries calculation</t>
  </si>
  <si>
    <t>Fixed components</t>
  </si>
  <si>
    <t>Purpose</t>
  </si>
  <si>
    <t>Capacity negative when component is consuming a resource</t>
  </si>
  <si>
    <t xml:space="preserve">Capacity  </t>
  </si>
  <si>
    <t>ft_elec_consumption</t>
  </si>
  <si>
    <t>jet_fuel_market</t>
  </si>
  <si>
    <t>diesel_market</t>
  </si>
  <si>
    <t>naphtha_market</t>
  </si>
  <si>
    <t>Update from ANL August 2022</t>
  </si>
  <si>
    <t>The Modeling of the Synfuel Production Process, H.E Delgado and all, June 2022</t>
  </si>
  <si>
    <t>Financial assumptions</t>
  </si>
  <si>
    <t xml:space="preserve">Basis year </t>
  </si>
  <si>
    <t xml:space="preserve">Depreciation </t>
  </si>
  <si>
    <t>20 year MACRS</t>
  </si>
  <si>
    <t xml:space="preserve">Inflation </t>
  </si>
  <si>
    <t xml:space="preserve">Plant life </t>
  </si>
  <si>
    <t>40 years</t>
  </si>
  <si>
    <t>CAPEX</t>
  </si>
  <si>
    <t>driver</t>
  </si>
  <si>
    <t>ft_capacity</t>
  </si>
  <si>
    <t>reference driver</t>
  </si>
  <si>
    <t>Node</t>
  </si>
  <si>
    <t>value</t>
  </si>
  <si>
    <t>unit</t>
  </si>
  <si>
    <t>kg-H2/h</t>
  </si>
  <si>
    <t>Table 3 (255MT-h2/day)</t>
  </si>
  <si>
    <t>Data</t>
  </si>
  <si>
    <t>FT-400</t>
  </si>
  <si>
    <t>reference price</t>
  </si>
  <si>
    <t>Total Capital Cost TCI</t>
  </si>
  <si>
    <t>Size (MW)</t>
  </si>
  <si>
    <t xml:space="preserve">Log TCI </t>
  </si>
  <si>
    <t>VOM</t>
  </si>
  <si>
    <t>Not considering H2 cost, CO2 taken into account in supply curve, utilities only</t>
  </si>
  <si>
    <t>convert $2016 to $2020 using inflation rate</t>
  </si>
  <si>
    <t>$(2020)</t>
  </si>
  <si>
    <t>kg-H2/MWh</t>
  </si>
  <si>
    <t>elec_market</t>
  </si>
  <si>
    <t>Market</t>
  </si>
  <si>
    <t>State</t>
  </si>
  <si>
    <t>State corporate income tax rate (%)</t>
  </si>
  <si>
    <t>PJM</t>
  </si>
  <si>
    <t>Illinois</t>
  </si>
  <si>
    <t>Ohio</t>
  </si>
  <si>
    <t>ERCOT</t>
  </si>
  <si>
    <t>Texas</t>
  </si>
  <si>
    <t>CAISO</t>
  </si>
  <si>
    <t>California</t>
  </si>
  <si>
    <t>MISO</t>
  </si>
  <si>
    <t>Minnesota</t>
  </si>
  <si>
    <t>SPP</t>
  </si>
  <si>
    <t>Nebraska</t>
  </si>
  <si>
    <t>Southwest, Arizona</t>
  </si>
  <si>
    <t>Arizona</t>
  </si>
  <si>
    <t>Effective tax rate</t>
  </si>
  <si>
    <t>Federal corporate tax rate</t>
  </si>
  <si>
    <t>Description</t>
  </si>
  <si>
    <t>TDCC</t>
  </si>
  <si>
    <t>Total Direct Capital Costs, sum of equipment installed costs</t>
  </si>
  <si>
    <t>$USD (2016)</t>
  </si>
  <si>
    <t>Depreciable Capital Costs</t>
  </si>
  <si>
    <t>Site preparation</t>
  </si>
  <si>
    <t>Eng and design</t>
  </si>
  <si>
    <t>Project contingency</t>
  </si>
  <si>
    <t>Catalyst first fill fee</t>
  </si>
  <si>
    <t>Upfront permitting costs</t>
  </si>
  <si>
    <t>Total depreciable capital costs</t>
  </si>
  <si>
    <t>Non-depreciable Capital Costs</t>
  </si>
  <si>
    <t>Land</t>
  </si>
  <si>
    <t>Total Capital Investment</t>
  </si>
  <si>
    <t>LC</t>
  </si>
  <si>
    <t>Labor Cost</t>
  </si>
  <si>
    <t>$USD (2016)/year</t>
  </si>
  <si>
    <t>Gen and admin</t>
  </si>
  <si>
    <t>20% LC</t>
  </si>
  <si>
    <t>Property taxes and insurance</t>
  </si>
  <si>
    <t>2% TCI</t>
  </si>
  <si>
    <t>Materials costs for maintenance</t>
  </si>
  <si>
    <t>Total Fixed Operating Costs</t>
  </si>
  <si>
    <t>None Energy material and utilities costs</t>
  </si>
  <si>
    <t>Total Variable Operating Costs (excl. feedstock and elec)</t>
  </si>
  <si>
    <t>Depreciation schedule</t>
  </si>
  <si>
    <t>Case name</t>
  </si>
  <si>
    <t>illinois</t>
  </si>
  <si>
    <t>ohio</t>
  </si>
  <si>
    <t>texas</t>
  </si>
  <si>
    <t>california</t>
  </si>
  <si>
    <t>minnesota</t>
  </si>
  <si>
    <t>nebraska</t>
  </si>
  <si>
    <t>arizona</t>
  </si>
  <si>
    <t>Plant</t>
  </si>
  <si>
    <t>Capacity (MWe)</t>
  </si>
  <si>
    <t>HTSE (MWe)</t>
  </si>
  <si>
    <t>FT (kg-H2)</t>
  </si>
  <si>
    <t>Lower</t>
  </si>
  <si>
    <t>Upper</t>
  </si>
  <si>
    <t>Days FT prod. for sto max cap.</t>
  </si>
  <si>
    <t>Max elec. Price</t>
  </si>
  <si>
    <t>HTSE Steps</t>
  </si>
  <si>
    <t>FT Steps</t>
  </si>
  <si>
    <t>Ref</t>
  </si>
  <si>
    <t>Low</t>
  </si>
  <si>
    <t>High</t>
  </si>
  <si>
    <t>H2 Storage</t>
  </si>
  <si>
    <t>Location elec. Prices</t>
  </si>
  <si>
    <t>Find Abdalla's report citation</t>
  </si>
  <si>
    <t>Med</t>
  </si>
  <si>
    <t>CAPEX ($/MWe)</t>
  </si>
  <si>
    <t>720MWe ((2020)$ USD)</t>
  </si>
  <si>
    <t>OPEX ($/MWh)</t>
  </si>
  <si>
    <t>SA Capacity</t>
  </si>
  <si>
    <t># modules</t>
  </si>
  <si>
    <t>Unit capacity (MWe)</t>
  </si>
  <si>
    <t>Total capacity (MWe)</t>
  </si>
  <si>
    <t>20MWe</t>
  </si>
  <si>
    <t>40MWe</t>
  </si>
  <si>
    <t>80MWe</t>
  </si>
  <si>
    <t>100MWe</t>
  </si>
  <si>
    <t>Ref (60MWe)</t>
  </si>
  <si>
    <t>For SA inputs</t>
  </si>
  <si>
    <t>SMR Capacity (MWe)</t>
  </si>
  <si>
    <t>ITC (%)</t>
  </si>
  <si>
    <t>PTC ($/Mwh)</t>
  </si>
  <si>
    <t>CAPEX ($/MW)</t>
  </si>
  <si>
    <t>Added revenues</t>
  </si>
  <si>
    <t>ITC</t>
  </si>
  <si>
    <t>PTC</t>
  </si>
  <si>
    <t>First 10 years of operations</t>
  </si>
  <si>
    <t>20% of total CAPEX costs</t>
  </si>
  <si>
    <t>25 $/MWh for 10 years</t>
  </si>
  <si>
    <t>Discount rate</t>
  </si>
  <si>
    <t>htse</t>
  </si>
  <si>
    <t>ft</t>
  </si>
  <si>
    <t>component</t>
  </si>
  <si>
    <t>storage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</si>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</sst>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8" fillId="3" borderId="18" applyNumberFormat="0" applyAlignment="0" applyProtection="0"/>
  </cellStyleXfs>
  <cellXfs count="6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3" fillId="0" borderId="0" xfId="0" applyNumberFormat="1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/>
    <xf numFmtId="0" fontId="1" fillId="2" borderId="0" xfId="1"/>
    <xf numFmtId="0" fontId="0" fillId="0" borderId="0" xfId="0" applyAlignment="1">
      <alignment wrapText="1"/>
    </xf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4" fillId="0" borderId="0" xfId="2"/>
    <xf numFmtId="10" fontId="0" fillId="0" borderId="0" xfId="0" applyNumberFormat="1"/>
    <xf numFmtId="9" fontId="0" fillId="0" borderId="0" xfId="3" applyFont="1"/>
    <xf numFmtId="10" fontId="0" fillId="0" borderId="0" xfId="3" applyNumberFormat="1" applyFont="1"/>
    <xf numFmtId="44" fontId="0" fillId="0" borderId="0" xfId="4" applyFont="1" applyBorder="1"/>
    <xf numFmtId="44" fontId="6" fillId="0" borderId="0" xfId="4" applyFont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4" fontId="0" fillId="0" borderId="0" xfId="0" applyNumberFormat="1"/>
    <xf numFmtId="44" fontId="0" fillId="0" borderId="7" xfId="0" applyNumberFormat="1" applyBorder="1"/>
    <xf numFmtId="44" fontId="0" fillId="0" borderId="0" xfId="4" applyFont="1"/>
    <xf numFmtId="1" fontId="0" fillId="0" borderId="0" xfId="0" applyNumberFormat="1"/>
    <xf numFmtId="0" fontId="7" fillId="0" borderId="14" xfId="0" applyFont="1" applyBorder="1"/>
    <xf numFmtId="0" fontId="7" fillId="0" borderId="15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7" fillId="0" borderId="0" xfId="0" applyFont="1"/>
    <xf numFmtId="0" fontId="7" fillId="0" borderId="7" xfId="0" applyFont="1" applyBorder="1"/>
    <xf numFmtId="1" fontId="0" fillId="0" borderId="14" xfId="0" applyNumberFormat="1" applyBorder="1"/>
    <xf numFmtId="1" fontId="0" fillId="0" borderId="15" xfId="0" applyNumberFormat="1" applyBorder="1"/>
    <xf numFmtId="0" fontId="2" fillId="0" borderId="4" xfId="0" applyFont="1" applyBorder="1"/>
    <xf numFmtId="0" fontId="2" fillId="0" borderId="16" xfId="0" applyFont="1" applyBorder="1"/>
    <xf numFmtId="0" fontId="2" fillId="0" borderId="9" xfId="0" applyFont="1" applyBorder="1"/>
    <xf numFmtId="1" fontId="8" fillId="3" borderId="18" xfId="5" applyNumberFormat="1"/>
    <xf numFmtId="0" fontId="8" fillId="3" borderId="18" xfId="5"/>
    <xf numFmtId="44" fontId="0" fillId="4" borderId="0" xfId="4" applyFont="1" applyFill="1"/>
    <xf numFmtId="44" fontId="0" fillId="5" borderId="0" xfId="4" applyFont="1" applyFill="1"/>
    <xf numFmtId="1" fontId="8" fillId="3" borderId="0" xfId="5" applyNumberFormat="1" applyBorder="1"/>
    <xf numFmtId="0" fontId="8" fillId="3" borderId="0" xfId="5" applyBorder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6">
    <cellStyle name="Calculation" xfId="5" builtinId="22"/>
    <cellStyle name="Currency" xfId="4" builtinId="4"/>
    <cellStyle name="Good" xfId="1" builtinId="26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TCI logrithmic regression</a:t>
            </a:r>
          </a:p>
          <a:p>
            <a:pPr>
              <a:defRPr/>
            </a:pPr>
            <a:r>
              <a:rPr lang="en-US"/>
              <a:t>Goal:</a:t>
            </a:r>
            <a:r>
              <a:rPr lang="en-US" baseline="0"/>
              <a:t> Compute scaling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FT!$H$10</c:f>
              <c:strCache>
                <c:ptCount val="1"/>
                <c:pt idx="0">
                  <c:v>Log TCI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FT!$I$9:$K$9</c:f>
              <c:numCache>
                <c:formatCode>General</c:formatCode>
                <c:ptCount val="3"/>
                <c:pt idx="0">
                  <c:v>-0.6020599913279624</c:v>
                </c:pt>
                <c:pt idx="1">
                  <c:v>0</c:v>
                </c:pt>
                <c:pt idx="2">
                  <c:v>0.3979400086720376</c:v>
                </c:pt>
              </c:numCache>
            </c:numRef>
          </c:xVal>
          <c:yVal>
            <c:numRef>
              <c:f>FT!$I$10:$K$10</c:f>
              <c:numCache>
                <c:formatCode>General</c:formatCode>
                <c:ptCount val="3"/>
                <c:pt idx="0">
                  <c:v>7.8386476320849576</c:v>
                </c:pt>
                <c:pt idx="1">
                  <c:v>8.1907657756496093</c:v>
                </c:pt>
                <c:pt idx="2">
                  <c:v>8.4682380044363352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5-2841-B186-F8BEF29CA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176783"/>
        <c:axId val="2098178431"/>
      </c:scatterChart>
      <c:valAx>
        <c:axId val="20981767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78431"/>
        <c:crosses val="autoZero"/>
        <c:crossBetween val="midCat"/>
      </c:valAx>
      <c:valAx>
        <c:axId val="209817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7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534459</xdr:colOff>
      <xdr:row>22</xdr:row>
      <xdr:rowOff>9525</xdr:rowOff>
    </xdr:from>
    <xdr:to>
      <xdr:col>12</xdr:col>
      <xdr:colOff>1333500</xdr:colOff>
      <xdr:row>41</xdr:row>
      <xdr:rowOff>31751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A9670-7B55-8F7C-E0DA-99E95918D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sti.gov/biblio/1867883" TargetMode="External"/><Relationship Id="rId1" Type="http://schemas.openxmlformats.org/officeDocument/2006/relationships/hyperlink" Target="https://www.sciencedirect.com/science/article/pii/S221298202100026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BA3C-274B-4147-8CC3-A303BF1014EB}">
  <dimension ref="A1:L5"/>
  <sheetViews>
    <sheetView zoomScale="120" zoomScaleNormal="120" workbookViewId="0">
      <selection activeCell="L11" sqref="L11"/>
    </sheetView>
  </sheetViews>
  <sheetFormatPr baseColWidth="10" defaultRowHeight="15" x14ac:dyDescent="0.2"/>
  <cols>
    <col min="1" max="1" width="20.33203125" bestFit="1" customWidth="1"/>
    <col min="2" max="3" width="13.6640625" bestFit="1" customWidth="1"/>
    <col min="4" max="4" width="14.6640625" bestFit="1" customWidth="1"/>
  </cols>
  <sheetData>
    <row r="1" spans="1:12" x14ac:dyDescent="0.2">
      <c r="A1" t="s">
        <v>0</v>
      </c>
      <c r="B1" t="s">
        <v>200</v>
      </c>
      <c r="G1" t="s">
        <v>205</v>
      </c>
    </row>
    <row r="2" spans="1:12" x14ac:dyDescent="0.2">
      <c r="G2" t="s">
        <v>206</v>
      </c>
      <c r="H2">
        <v>12</v>
      </c>
    </row>
    <row r="3" spans="1:12" x14ac:dyDescent="0.2">
      <c r="A3" t="s">
        <v>203</v>
      </c>
      <c r="B3" t="s">
        <v>196</v>
      </c>
      <c r="C3" t="s">
        <v>201</v>
      </c>
      <c r="D3" t="s">
        <v>197</v>
      </c>
      <c r="G3" t="s">
        <v>207</v>
      </c>
      <c r="H3">
        <v>60</v>
      </c>
      <c r="I3">
        <v>20</v>
      </c>
      <c r="J3">
        <v>40</v>
      </c>
      <c r="K3">
        <v>80</v>
      </c>
      <c r="L3">
        <v>100</v>
      </c>
    </row>
    <row r="4" spans="1:12" x14ac:dyDescent="0.2">
      <c r="A4" t="s">
        <v>202</v>
      </c>
      <c r="B4" s="34">
        <v>1802460</v>
      </c>
      <c r="C4" s="34">
        <v>5569000</v>
      </c>
      <c r="D4" s="34">
        <v>24646000</v>
      </c>
      <c r="G4" t="s">
        <v>208</v>
      </c>
      <c r="H4">
        <f>H3*$H$2</f>
        <v>720</v>
      </c>
      <c r="I4">
        <f t="shared" ref="I4:L4" si="0">I3*$H$2</f>
        <v>240</v>
      </c>
      <c r="J4">
        <f t="shared" si="0"/>
        <v>480</v>
      </c>
      <c r="K4">
        <f t="shared" si="0"/>
        <v>960</v>
      </c>
      <c r="L4">
        <f t="shared" si="0"/>
        <v>1200</v>
      </c>
    </row>
    <row r="5" spans="1:12" x14ac:dyDescent="0.2">
      <c r="A5" t="s">
        <v>204</v>
      </c>
      <c r="B5" s="34">
        <v>3.71</v>
      </c>
      <c r="C5" s="34">
        <v>23.2</v>
      </c>
      <c r="D5" s="34">
        <v>55.69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D1B8-26CF-A54F-A2FE-11376D661D34}">
  <dimension ref="A1:M81"/>
  <sheetViews>
    <sheetView topLeftCell="A10" zoomScale="120" zoomScaleNormal="120" workbookViewId="0">
      <selection activeCell="F41" sqref="F41"/>
    </sheetView>
  </sheetViews>
  <sheetFormatPr baseColWidth="10" defaultColWidth="8.83203125" defaultRowHeight="15" x14ac:dyDescent="0.2"/>
  <cols>
    <col min="1" max="1" width="28.83203125" customWidth="1"/>
    <col min="2" max="2" width="21.33203125" customWidth="1"/>
    <col min="3" max="3" width="15.1640625" bestFit="1" customWidth="1"/>
    <col min="4" max="5" width="13.5" bestFit="1" customWidth="1"/>
    <col min="6" max="6" width="20" bestFit="1" customWidth="1"/>
    <col min="7" max="8" width="15.1640625" bestFit="1" customWidth="1"/>
    <col min="9" max="9" width="13.5" bestFit="1" customWidth="1"/>
    <col min="10" max="10" width="9" customWidth="1"/>
    <col min="11" max="11" width="13.6640625" customWidth="1"/>
    <col min="12" max="12" width="11.83203125" customWidth="1"/>
  </cols>
  <sheetData>
    <row r="1" spans="1:8" x14ac:dyDescent="0.2">
      <c r="A1" t="s">
        <v>226</v>
      </c>
      <c r="B1" t="s">
        <v>227</v>
      </c>
      <c r="C1" t="s">
        <v>178</v>
      </c>
      <c r="D1" t="s">
        <v>183</v>
      </c>
      <c r="E1" t="s">
        <v>179</v>
      </c>
      <c r="F1" t="s">
        <v>182</v>
      </c>
      <c r="G1" t="s">
        <v>180</v>
      </c>
    </row>
    <row r="2" spans="1:8" x14ac:dyDescent="0.2">
      <c r="A2" s="54">
        <f>C18</f>
        <v>-705.1</v>
      </c>
      <c r="B2" s="54">
        <f>C28</f>
        <v>-17719.163</v>
      </c>
      <c r="C2" s="35">
        <v>10</v>
      </c>
      <c r="D2" s="35">
        <v>10</v>
      </c>
      <c r="E2" s="35">
        <v>10</v>
      </c>
      <c r="F2" s="35">
        <v>10</v>
      </c>
      <c r="G2" s="35">
        <v>10</v>
      </c>
    </row>
    <row r="3" spans="1:8" x14ac:dyDescent="0.2">
      <c r="A3" s="54">
        <f t="shared" ref="A3:A6" si="0">C19</f>
        <v>-550.1</v>
      </c>
      <c r="B3" s="54">
        <f t="shared" ref="B3:B6" si="1">C29</f>
        <v>-13824.013000000001</v>
      </c>
      <c r="C3" s="35">
        <f>D$41+$B19*ABS(E$41-D$41)/4</f>
        <v>106314.978</v>
      </c>
      <c r="D3" s="35">
        <f>D$42+$B19*ABS(E$42-D$42)/4</f>
        <v>106314.978</v>
      </c>
      <c r="E3" s="35">
        <f>D$43+$B19*ABS(D$43-E$43)/4</f>
        <v>106314.978</v>
      </c>
      <c r="F3" s="35">
        <f>D$44+$B19*ABS(E$44-D$44)/4</f>
        <v>106314.978</v>
      </c>
      <c r="G3" s="35">
        <f>D$45+$B19*ABS(E$45-D$45)/4</f>
        <v>106314.978</v>
      </c>
    </row>
    <row r="4" spans="1:8" x14ac:dyDescent="0.2">
      <c r="A4" s="54">
        <f t="shared" si="0"/>
        <v>-395.1</v>
      </c>
      <c r="B4" s="54">
        <f t="shared" si="1"/>
        <v>-9928.8630000000012</v>
      </c>
      <c r="C4" s="35">
        <f t="shared" ref="C4:C6" si="2">D$41+$B20*ABS(E$41-D$41)/4</f>
        <v>212629.95600000001</v>
      </c>
      <c r="D4" s="35">
        <f t="shared" ref="D4:D6" si="3">D$42+$B20*ABS(E$42-D$42)/4</f>
        <v>212629.95600000001</v>
      </c>
      <c r="E4" s="35">
        <f t="shared" ref="E4:E6" si="4">D$43+$B20*ABS(D$43-E$43)/4</f>
        <v>212629.95600000001</v>
      </c>
      <c r="F4" s="35">
        <f t="shared" ref="F4:F6" si="5">D$44+$B20*ABS(E$44-D$44)/4</f>
        <v>212629.95600000001</v>
      </c>
      <c r="G4" s="35">
        <f t="shared" ref="G4:G6" si="6">D$45+$B20*ABS(E$45-D$45)/4</f>
        <v>212629.95600000001</v>
      </c>
    </row>
    <row r="5" spans="1:8" x14ac:dyDescent="0.2">
      <c r="A5" s="54">
        <f t="shared" si="0"/>
        <v>-240.10000000000002</v>
      </c>
      <c r="B5" s="54">
        <f t="shared" si="1"/>
        <v>-6033.7129999999997</v>
      </c>
      <c r="C5" s="35">
        <f t="shared" si="2"/>
        <v>318944.93400000001</v>
      </c>
      <c r="D5" s="35">
        <f t="shared" si="3"/>
        <v>318944.93400000001</v>
      </c>
      <c r="E5" s="35">
        <f t="shared" si="4"/>
        <v>318944.93400000001</v>
      </c>
      <c r="F5" s="35">
        <f t="shared" si="5"/>
        <v>318944.93400000001</v>
      </c>
      <c r="G5" s="35">
        <f t="shared" si="6"/>
        <v>318944.93400000001</v>
      </c>
    </row>
    <row r="6" spans="1:8" x14ac:dyDescent="0.2">
      <c r="A6" s="54">
        <f t="shared" si="0"/>
        <v>-85.100000000000023</v>
      </c>
      <c r="B6" s="54">
        <f t="shared" si="1"/>
        <v>-2138.5630000000001</v>
      </c>
      <c r="C6" s="35">
        <f t="shared" si="2"/>
        <v>425259.91200000001</v>
      </c>
      <c r="D6" s="35">
        <f t="shared" si="3"/>
        <v>425259.91200000001</v>
      </c>
      <c r="E6" s="35">
        <f t="shared" si="4"/>
        <v>425259.91200000001</v>
      </c>
      <c r="F6" s="35">
        <f t="shared" si="5"/>
        <v>425259.91200000001</v>
      </c>
      <c r="G6" s="35">
        <f t="shared" si="6"/>
        <v>425259.91200000001</v>
      </c>
    </row>
    <row r="7" spans="1:8" x14ac:dyDescent="0.2">
      <c r="A7" s="54"/>
      <c r="B7" s="54"/>
      <c r="C7" s="35"/>
      <c r="D7" s="35"/>
      <c r="E7" s="35"/>
      <c r="F7" s="35"/>
      <c r="G7" s="35"/>
    </row>
    <row r="8" spans="1:8" x14ac:dyDescent="0.2">
      <c r="A8" s="54"/>
      <c r="B8" s="54"/>
      <c r="C8" s="35"/>
      <c r="D8" s="35"/>
      <c r="E8" s="35"/>
      <c r="F8" s="35"/>
      <c r="G8" s="35"/>
    </row>
    <row r="9" spans="1:8" x14ac:dyDescent="0.2">
      <c r="A9" s="54"/>
      <c r="B9" s="54"/>
      <c r="C9" s="35"/>
      <c r="D9" s="35"/>
      <c r="E9" s="35"/>
      <c r="F9" s="35"/>
      <c r="G9" s="35"/>
    </row>
    <row r="10" spans="1:8" x14ac:dyDescent="0.2">
      <c r="B10" s="2"/>
    </row>
    <row r="11" spans="1:8" ht="16" thickBot="1" x14ac:dyDescent="0.25"/>
    <row r="12" spans="1:8" x14ac:dyDescent="0.2">
      <c r="A12" s="56" t="s">
        <v>185</v>
      </c>
      <c r="B12" s="58" t="s">
        <v>186</v>
      </c>
      <c r="C12" s="60" t="s">
        <v>187</v>
      </c>
      <c r="D12" s="60"/>
      <c r="E12" s="60" t="s">
        <v>188</v>
      </c>
      <c r="F12" s="61"/>
      <c r="G12" s="55"/>
      <c r="H12" s="55"/>
    </row>
    <row r="13" spans="1:8" x14ac:dyDescent="0.2">
      <c r="A13" s="57"/>
      <c r="B13" s="59"/>
      <c r="C13" t="s">
        <v>189</v>
      </c>
      <c r="D13" t="s">
        <v>190</v>
      </c>
      <c r="E13" t="s">
        <v>189</v>
      </c>
      <c r="F13" s="14" t="s">
        <v>190</v>
      </c>
    </row>
    <row r="14" spans="1:8" x14ac:dyDescent="0.2">
      <c r="A14" s="13" t="s">
        <v>195</v>
      </c>
      <c r="B14">
        <v>720</v>
      </c>
      <c r="C14">
        <f>MAX(-B14+Boundaries!$B$5, -1000+Boundaries!$B$5)</f>
        <v>-705.1</v>
      </c>
      <c r="D14">
        <f>-100+Boundaries!$B$5</f>
        <v>-85.1</v>
      </c>
      <c r="E14">
        <f>C14*25.13</f>
        <v>-17719.163</v>
      </c>
      <c r="F14" s="14">
        <f>D14*25.13</f>
        <v>-2138.5629999999996</v>
      </c>
    </row>
    <row r="17" spans="1:11" x14ac:dyDescent="0.2">
      <c r="A17" s="6" t="s">
        <v>193</v>
      </c>
      <c r="B17" s="6"/>
      <c r="C17" s="6"/>
    </row>
    <row r="18" spans="1:11" x14ac:dyDescent="0.2">
      <c r="A18" s="6" t="s">
        <v>185</v>
      </c>
      <c r="B18">
        <v>0</v>
      </c>
      <c r="C18">
        <f>C$14+$B18*ABS(C$14-D$14)/4</f>
        <v>-705.1</v>
      </c>
    </row>
    <row r="19" spans="1:11" x14ac:dyDescent="0.2">
      <c r="A19" t="str">
        <f>A14</f>
        <v>Ref</v>
      </c>
      <c r="B19">
        <v>1</v>
      </c>
      <c r="C19">
        <f t="shared" ref="C19:C22" si="7">C$14+$B19*ABS(C$14-D$14)/4</f>
        <v>-550.1</v>
      </c>
    </row>
    <row r="20" spans="1:11" x14ac:dyDescent="0.2">
      <c r="B20">
        <v>2</v>
      </c>
      <c r="C20">
        <f t="shared" si="7"/>
        <v>-395.1</v>
      </c>
    </row>
    <row r="21" spans="1:11" x14ac:dyDescent="0.2">
      <c r="B21">
        <v>3</v>
      </c>
      <c r="C21">
        <f t="shared" si="7"/>
        <v>-240.10000000000002</v>
      </c>
    </row>
    <row r="22" spans="1:11" x14ac:dyDescent="0.2">
      <c r="B22">
        <v>4</v>
      </c>
      <c r="C22">
        <f t="shared" si="7"/>
        <v>-85.100000000000023</v>
      </c>
    </row>
    <row r="27" spans="1:11" x14ac:dyDescent="0.2">
      <c r="A27" s="6" t="s">
        <v>194</v>
      </c>
    </row>
    <row r="28" spans="1:11" x14ac:dyDescent="0.2">
      <c r="A28" s="45" t="s">
        <v>185</v>
      </c>
      <c r="B28">
        <v>0</v>
      </c>
      <c r="C28">
        <f>E$14+$B28*ABS(E$14-F$14)/4</f>
        <v>-17719.163</v>
      </c>
    </row>
    <row r="29" spans="1:11" x14ac:dyDescent="0.2">
      <c r="A29" s="13" t="str">
        <f>A14</f>
        <v>Ref</v>
      </c>
      <c r="B29">
        <v>1</v>
      </c>
      <c r="C29">
        <f t="shared" ref="C29:C32" si="8">E$14+$B29*ABS(E$14-F$14)/4</f>
        <v>-13824.013000000001</v>
      </c>
      <c r="K29" s="35"/>
    </row>
    <row r="30" spans="1:11" x14ac:dyDescent="0.2">
      <c r="B30">
        <v>2</v>
      </c>
      <c r="C30">
        <f t="shared" si="8"/>
        <v>-9928.8630000000012</v>
      </c>
      <c r="K30" s="35"/>
    </row>
    <row r="31" spans="1:11" x14ac:dyDescent="0.2">
      <c r="B31">
        <v>3</v>
      </c>
      <c r="C31">
        <f t="shared" si="8"/>
        <v>-6033.7129999999997</v>
      </c>
      <c r="K31" s="35"/>
    </row>
    <row r="32" spans="1:11" x14ac:dyDescent="0.2">
      <c r="B32">
        <v>4</v>
      </c>
      <c r="C32">
        <f t="shared" si="8"/>
        <v>-2138.5630000000001</v>
      </c>
      <c r="K32" s="35"/>
    </row>
    <row r="33" spans="1:13" x14ac:dyDescent="0.2">
      <c r="K33" s="35"/>
    </row>
    <row r="34" spans="1:13" x14ac:dyDescent="0.2">
      <c r="K34" s="35"/>
    </row>
    <row r="35" spans="1:13" x14ac:dyDescent="0.2">
      <c r="K35" s="35"/>
    </row>
    <row r="36" spans="1:13" x14ac:dyDescent="0.2">
      <c r="B36" s="35"/>
      <c r="C36" s="35"/>
      <c r="K36" s="35"/>
    </row>
    <row r="37" spans="1:13" x14ac:dyDescent="0.2">
      <c r="B37" s="35"/>
      <c r="C37" s="35"/>
      <c r="K37" s="35"/>
    </row>
    <row r="38" spans="1:13" ht="16" thickBot="1" x14ac:dyDescent="0.25"/>
    <row r="39" spans="1:13" ht="16" thickBot="1" x14ac:dyDescent="0.25">
      <c r="A39" s="47" t="s">
        <v>198</v>
      </c>
      <c r="B39" s="30"/>
      <c r="C39" s="30"/>
      <c r="D39" s="62" t="str">
        <f>A14</f>
        <v>Ref</v>
      </c>
      <c r="E39" s="60"/>
      <c r="F39" s="55"/>
      <c r="G39" s="55"/>
      <c r="H39" s="55"/>
      <c r="I39" s="55"/>
      <c r="J39" s="55"/>
      <c r="K39" s="55"/>
      <c r="L39" s="55"/>
      <c r="M39" s="55"/>
    </row>
    <row r="40" spans="1:13" ht="16" thickBot="1" x14ac:dyDescent="0.25">
      <c r="A40" s="15" t="s">
        <v>199</v>
      </c>
      <c r="B40" s="42" t="s">
        <v>191</v>
      </c>
      <c r="C40" s="42" t="s">
        <v>192</v>
      </c>
      <c r="D40" s="15" t="s">
        <v>189</v>
      </c>
      <c r="E40" s="24" t="s">
        <v>190</v>
      </c>
    </row>
    <row r="41" spans="1:13" x14ac:dyDescent="0.2">
      <c r="A41" s="13" t="s">
        <v>178</v>
      </c>
      <c r="B41" s="41">
        <f t="shared" ref="B41:B43" si="9">ROUNDUP(C41*$B$45/$C$45,0)</f>
        <v>2</v>
      </c>
      <c r="C41" s="41">
        <v>934</v>
      </c>
      <c r="D41">
        <v>0</v>
      </c>
      <c r="E41" s="35">
        <f>ABS($E$14)*24</f>
        <v>425259.91200000001</v>
      </c>
      <c r="F41" s="35"/>
      <c r="G41" s="35"/>
      <c r="H41" s="35"/>
      <c r="I41" s="35"/>
      <c r="J41" s="35"/>
      <c r="K41" s="35"/>
      <c r="M41" s="35"/>
    </row>
    <row r="42" spans="1:13" x14ac:dyDescent="0.2">
      <c r="A42" s="13" t="s">
        <v>183</v>
      </c>
      <c r="B42" s="41">
        <f t="shared" si="9"/>
        <v>7</v>
      </c>
      <c r="C42" s="41">
        <v>4231</v>
      </c>
      <c r="D42">
        <v>0</v>
      </c>
      <c r="E42" s="35">
        <f t="shared" ref="E42:E45" si="10">ABS($E$14)*24</f>
        <v>425259.91200000001</v>
      </c>
      <c r="F42" s="35"/>
      <c r="G42" s="35"/>
      <c r="H42" s="35"/>
      <c r="I42" s="35"/>
      <c r="J42" s="35"/>
      <c r="K42" s="35"/>
      <c r="M42" s="35"/>
    </row>
    <row r="43" spans="1:13" x14ac:dyDescent="0.2">
      <c r="A43" s="13" t="s">
        <v>179</v>
      </c>
      <c r="B43" s="41">
        <f t="shared" si="9"/>
        <v>2</v>
      </c>
      <c r="C43" s="41">
        <v>934</v>
      </c>
      <c r="D43">
        <v>0</v>
      </c>
      <c r="E43" s="35">
        <f t="shared" si="10"/>
        <v>425259.91200000001</v>
      </c>
      <c r="F43" s="35"/>
      <c r="G43" s="35"/>
      <c r="H43" s="35"/>
      <c r="I43" s="35"/>
      <c r="J43" s="35"/>
      <c r="K43" s="35"/>
      <c r="M43" s="35"/>
    </row>
    <row r="44" spans="1:13" x14ac:dyDescent="0.2">
      <c r="A44" s="13" t="s">
        <v>182</v>
      </c>
      <c r="B44" s="41">
        <f>ROUNDUP(C44*$B$45/$C$45,0)</f>
        <v>1</v>
      </c>
      <c r="C44" s="41">
        <v>97</v>
      </c>
      <c r="D44">
        <v>0</v>
      </c>
      <c r="E44" s="35">
        <f t="shared" si="10"/>
        <v>425259.91200000001</v>
      </c>
      <c r="F44" s="35"/>
      <c r="G44" s="35"/>
      <c r="H44" s="35"/>
      <c r="I44" s="35"/>
      <c r="J44" s="35"/>
      <c r="K44" s="35"/>
      <c r="M44" s="35"/>
    </row>
    <row r="45" spans="1:13" x14ac:dyDescent="0.2">
      <c r="A45" s="13" t="s">
        <v>180</v>
      </c>
      <c r="B45" s="41">
        <v>14</v>
      </c>
      <c r="C45" s="41">
        <v>8997</v>
      </c>
      <c r="D45">
        <v>0</v>
      </c>
      <c r="E45" s="35">
        <f t="shared" si="10"/>
        <v>425259.91200000001</v>
      </c>
      <c r="F45" s="35"/>
      <c r="G45" s="35"/>
      <c r="H45" s="35"/>
      <c r="I45" s="35"/>
      <c r="J45" s="35"/>
      <c r="K45" s="35"/>
      <c r="M45" s="35"/>
    </row>
    <row r="47" spans="1:13" x14ac:dyDescent="0.2">
      <c r="K47" s="41"/>
    </row>
    <row r="48" spans="1:13" x14ac:dyDescent="0.2">
      <c r="K48" s="35"/>
    </row>
    <row r="49" spans="1:11" x14ac:dyDescent="0.2">
      <c r="K49" s="35"/>
    </row>
    <row r="50" spans="1:11" x14ac:dyDescent="0.2">
      <c r="K50" s="35"/>
    </row>
    <row r="51" spans="1:11" x14ac:dyDescent="0.2">
      <c r="K51" s="35"/>
    </row>
    <row r="52" spans="1:11" x14ac:dyDescent="0.2">
      <c r="K52" s="35"/>
    </row>
    <row r="54" spans="1:11" x14ac:dyDescent="0.2">
      <c r="K54" s="41"/>
    </row>
    <row r="55" spans="1:11" x14ac:dyDescent="0.2">
      <c r="K55" s="35"/>
    </row>
    <row r="56" spans="1:11" ht="16" x14ac:dyDescent="0.2">
      <c r="B56" s="52"/>
      <c r="C56" s="35"/>
      <c r="D56" s="52"/>
      <c r="E56" s="35"/>
      <c r="F56" s="52"/>
      <c r="G56" s="35"/>
      <c r="H56" s="52"/>
      <c r="I56" s="35"/>
      <c r="J56" s="52"/>
      <c r="K56" s="35"/>
    </row>
    <row r="57" spans="1:11" ht="16" x14ac:dyDescent="0.2">
      <c r="B57" s="52"/>
      <c r="C57" s="35"/>
      <c r="D57" s="52"/>
      <c r="E57" s="35"/>
      <c r="F57" s="52"/>
      <c r="G57" s="35"/>
      <c r="H57" s="52"/>
      <c r="I57" s="35"/>
      <c r="J57" s="52"/>
      <c r="K57" s="35"/>
    </row>
    <row r="58" spans="1:11" ht="16" x14ac:dyDescent="0.2">
      <c r="B58" s="52"/>
      <c r="C58" s="35"/>
      <c r="D58" s="52"/>
      <c r="E58" s="35"/>
      <c r="F58" s="52"/>
      <c r="G58" s="35"/>
      <c r="H58" s="52"/>
      <c r="I58" s="35"/>
      <c r="J58" s="52"/>
      <c r="K58" s="35"/>
    </row>
    <row r="59" spans="1:11" ht="16" x14ac:dyDescent="0.2">
      <c r="B59" s="52"/>
      <c r="C59" s="35"/>
      <c r="D59" s="52"/>
      <c r="E59" s="35"/>
      <c r="F59" s="52"/>
      <c r="G59" s="35"/>
      <c r="H59" s="52"/>
      <c r="I59" s="35"/>
      <c r="J59" s="52"/>
      <c r="K59" s="35"/>
    </row>
    <row r="61" spans="1:11" x14ac:dyDescent="0.2">
      <c r="A61" s="6"/>
      <c r="C61" s="41"/>
      <c r="E61" s="41"/>
      <c r="G61" s="41"/>
      <c r="I61" s="41"/>
      <c r="K61" s="41"/>
    </row>
    <row r="62" spans="1:11" x14ac:dyDescent="0.2"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pans="1:11" x14ac:dyDescent="0.2"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pans="1:11" x14ac:dyDescent="0.2"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pans="1:11" x14ac:dyDescent="0.2"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pans="1:11" x14ac:dyDescent="0.2"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8" spans="1:11" x14ac:dyDescent="0.2">
      <c r="A68" s="6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pans="1:11" x14ac:dyDescent="0.2"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pans="1:11" x14ac:dyDescent="0.2"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pans="1:11" x14ac:dyDescent="0.2"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pans="1:11" x14ac:dyDescent="0.2"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x14ac:dyDescent="0.2"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5" spans="1:11" x14ac:dyDescent="0.2">
      <c r="A75" s="6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pans="1:11" ht="16" x14ac:dyDescent="0.2">
      <c r="B76" s="52"/>
      <c r="C76" s="35"/>
      <c r="D76" s="52"/>
      <c r="E76" s="35"/>
      <c r="F76" s="52"/>
      <c r="G76" s="35"/>
      <c r="H76" s="52"/>
      <c r="I76" s="35"/>
      <c r="J76" s="52"/>
      <c r="K76" s="35"/>
    </row>
    <row r="77" spans="1:11" ht="16" x14ac:dyDescent="0.2">
      <c r="B77" s="52"/>
      <c r="C77" s="35"/>
      <c r="D77" s="52"/>
      <c r="E77" s="35"/>
      <c r="F77" s="52"/>
      <c r="G77" s="35"/>
      <c r="H77" s="52"/>
      <c r="I77" s="35"/>
      <c r="J77" s="52"/>
      <c r="K77" s="35"/>
    </row>
    <row r="78" spans="1:11" ht="16" x14ac:dyDescent="0.2">
      <c r="B78" s="52"/>
      <c r="C78" s="35"/>
      <c r="D78" s="52"/>
      <c r="E78" s="35"/>
      <c r="F78" s="52"/>
      <c r="G78" s="35"/>
      <c r="H78" s="52"/>
      <c r="I78" s="35"/>
      <c r="J78" s="52"/>
      <c r="K78" s="35"/>
    </row>
    <row r="79" spans="1:11" ht="16" x14ac:dyDescent="0.2">
      <c r="B79" s="52"/>
      <c r="C79" s="35"/>
      <c r="D79" s="52"/>
      <c r="E79" s="35"/>
      <c r="F79" s="52"/>
      <c r="G79" s="35"/>
      <c r="H79" s="52"/>
      <c r="I79" s="35"/>
      <c r="J79" s="52"/>
      <c r="K79" s="35"/>
    </row>
    <row r="80" spans="1:11" ht="16" x14ac:dyDescent="0.2">
      <c r="B80" s="52"/>
      <c r="C80" s="35"/>
      <c r="D80" s="52"/>
      <c r="E80" s="35"/>
      <c r="F80" s="52"/>
      <c r="G80" s="35"/>
      <c r="H80" s="52"/>
      <c r="I80" s="35"/>
      <c r="J80" s="52"/>
      <c r="K80" s="35"/>
    </row>
    <row r="81" spans="4:4" ht="16" x14ac:dyDescent="0.2">
      <c r="D81" s="53"/>
    </row>
  </sheetData>
  <mergeCells count="10">
    <mergeCell ref="J39:K39"/>
    <mergeCell ref="L39:M39"/>
    <mergeCell ref="A12:A13"/>
    <mergeCell ref="B12:B13"/>
    <mergeCell ref="C12:D12"/>
    <mergeCell ref="E12:F12"/>
    <mergeCell ref="G12:H12"/>
    <mergeCell ref="D39:E39"/>
    <mergeCell ref="F39:G39"/>
    <mergeCell ref="H39:I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A5A9-AD6C-2E40-9DC0-FE8D40A26FEF}">
  <dimension ref="A1:M81"/>
  <sheetViews>
    <sheetView topLeftCell="A7" zoomScale="120" zoomScaleNormal="120" workbookViewId="0">
      <selection activeCell="E41" sqref="E41:E45"/>
    </sheetView>
  </sheetViews>
  <sheetFormatPr baseColWidth="10" defaultColWidth="8.83203125" defaultRowHeight="15" x14ac:dyDescent="0.2"/>
  <cols>
    <col min="1" max="1" width="28.83203125" customWidth="1"/>
    <col min="2" max="2" width="21.33203125" customWidth="1"/>
    <col min="3" max="3" width="15.1640625" bestFit="1" customWidth="1"/>
    <col min="4" max="5" width="13.5" bestFit="1" customWidth="1"/>
    <col min="6" max="6" width="20" bestFit="1" customWidth="1"/>
    <col min="7" max="8" width="15.1640625" bestFit="1" customWidth="1"/>
    <col min="9" max="9" width="13.5" bestFit="1" customWidth="1"/>
    <col min="10" max="10" width="9" customWidth="1"/>
    <col min="11" max="11" width="13.6640625" customWidth="1"/>
    <col min="12" max="12" width="11.83203125" customWidth="1"/>
  </cols>
  <sheetData>
    <row r="1" spans="1:8" x14ac:dyDescent="0.2">
      <c r="A1" t="s">
        <v>226</v>
      </c>
      <c r="B1" t="s">
        <v>227</v>
      </c>
      <c r="C1" t="s">
        <v>178</v>
      </c>
      <c r="D1" t="s">
        <v>183</v>
      </c>
      <c r="E1" t="s">
        <v>179</v>
      </c>
      <c r="F1" t="s">
        <v>182</v>
      </c>
      <c r="G1" t="s">
        <v>180</v>
      </c>
    </row>
    <row r="2" spans="1:8" x14ac:dyDescent="0.2">
      <c r="A2" s="54">
        <f>C18</f>
        <v>-705.1</v>
      </c>
      <c r="B2" s="54">
        <f>C28</f>
        <v>-17719.163</v>
      </c>
      <c r="C2" s="35">
        <v>10</v>
      </c>
      <c r="D2" s="35">
        <v>10</v>
      </c>
      <c r="E2" s="35">
        <v>10</v>
      </c>
      <c r="F2" s="35">
        <v>10</v>
      </c>
      <c r="G2" s="35">
        <v>10</v>
      </c>
    </row>
    <row r="3" spans="1:8" x14ac:dyDescent="0.2">
      <c r="A3" s="54">
        <f t="shared" ref="A3:A7" si="0">C19</f>
        <v>-581.1</v>
      </c>
      <c r="B3" s="54">
        <f t="shared" ref="B3:B7" si="1">C29</f>
        <v>-14603.043000000001</v>
      </c>
      <c r="C3" s="35">
        <f>D$41+$B19*ABS(E$41-D$41)/5</f>
        <v>85051.982400000008</v>
      </c>
      <c r="D3" s="35">
        <f>D$42+$B19*ABS(E$42-D$42)/5</f>
        <v>85051.982400000008</v>
      </c>
      <c r="E3" s="35">
        <f>D$43+$B19*ABS(D$43-E$43)/5</f>
        <v>85051.982400000008</v>
      </c>
      <c r="F3" s="35">
        <f>D$44+$B19*ABS(E$44-D$44)/5</f>
        <v>85051.982400000008</v>
      </c>
      <c r="G3" s="35">
        <f>D$45+$B19*ABS(E$45-D$45)/5</f>
        <v>85051.982400000008</v>
      </c>
    </row>
    <row r="4" spans="1:8" x14ac:dyDescent="0.2">
      <c r="A4" s="54">
        <f t="shared" si="0"/>
        <v>-457.1</v>
      </c>
      <c r="B4" s="54">
        <f t="shared" si="1"/>
        <v>-11486.923000000001</v>
      </c>
      <c r="C4" s="35">
        <f t="shared" ref="C4:C7" si="2">D$41+$B20*ABS(E$41-D$41)/5</f>
        <v>170103.96480000002</v>
      </c>
      <c r="D4" s="35">
        <f t="shared" ref="D4:D7" si="3">D$42+$B20*ABS(E$42-D$42)/5</f>
        <v>170103.96480000002</v>
      </c>
      <c r="E4" s="35">
        <f t="shared" ref="E4:E7" si="4">D$43+$B20*ABS(D$43-E$43)/5</f>
        <v>170103.96480000002</v>
      </c>
      <c r="F4" s="35">
        <f t="shared" ref="F4:F7" si="5">D$44+$B20*ABS(E$44-D$44)/5</f>
        <v>170103.96480000002</v>
      </c>
      <c r="G4" s="35">
        <f t="shared" ref="G4:G7" si="6">D$45+$B20*ABS(E$45-D$45)/5</f>
        <v>170103.96480000002</v>
      </c>
    </row>
    <row r="5" spans="1:8" x14ac:dyDescent="0.2">
      <c r="A5" s="54">
        <f t="shared" si="0"/>
        <v>-333.1</v>
      </c>
      <c r="B5" s="54">
        <f t="shared" si="1"/>
        <v>-8370.8029999999999</v>
      </c>
      <c r="C5" s="35">
        <f t="shared" si="2"/>
        <v>255155.9472</v>
      </c>
      <c r="D5" s="35">
        <f t="shared" si="3"/>
        <v>255155.9472</v>
      </c>
      <c r="E5" s="35">
        <f t="shared" si="4"/>
        <v>255155.9472</v>
      </c>
      <c r="F5" s="35">
        <f t="shared" si="5"/>
        <v>255155.9472</v>
      </c>
      <c r="G5" s="35">
        <f t="shared" si="6"/>
        <v>255155.9472</v>
      </c>
    </row>
    <row r="6" spans="1:8" x14ac:dyDescent="0.2">
      <c r="A6" s="54">
        <f t="shared" si="0"/>
        <v>-209.10000000000002</v>
      </c>
      <c r="B6" s="54">
        <f t="shared" si="1"/>
        <v>-5254.6830000000009</v>
      </c>
      <c r="C6" s="35">
        <f t="shared" si="2"/>
        <v>340207.92960000003</v>
      </c>
      <c r="D6" s="35">
        <f t="shared" si="3"/>
        <v>340207.92960000003</v>
      </c>
      <c r="E6" s="35">
        <f t="shared" si="4"/>
        <v>340207.92960000003</v>
      </c>
      <c r="F6" s="35">
        <f t="shared" si="5"/>
        <v>340207.92960000003</v>
      </c>
      <c r="G6" s="35">
        <f t="shared" si="6"/>
        <v>340207.92960000003</v>
      </c>
    </row>
    <row r="7" spans="1:8" x14ac:dyDescent="0.2">
      <c r="A7" s="54">
        <f t="shared" si="0"/>
        <v>-85.100000000000023</v>
      </c>
      <c r="B7" s="54">
        <f t="shared" si="1"/>
        <v>-2138.5630000000001</v>
      </c>
      <c r="C7" s="35">
        <f t="shared" si="2"/>
        <v>425259.91200000001</v>
      </c>
      <c r="D7" s="35">
        <f t="shared" si="3"/>
        <v>425259.91200000001</v>
      </c>
      <c r="E7" s="35">
        <f t="shared" si="4"/>
        <v>425259.91200000001</v>
      </c>
      <c r="F7" s="35">
        <f t="shared" si="5"/>
        <v>425259.91200000001</v>
      </c>
      <c r="G7" s="35">
        <f t="shared" si="6"/>
        <v>425259.91200000001</v>
      </c>
    </row>
    <row r="8" spans="1:8" x14ac:dyDescent="0.2">
      <c r="A8" s="54"/>
      <c r="B8" s="54"/>
      <c r="C8" s="35"/>
      <c r="D8" s="35"/>
      <c r="E8" s="35"/>
      <c r="F8" s="35"/>
      <c r="G8" s="35"/>
    </row>
    <row r="9" spans="1:8" x14ac:dyDescent="0.2">
      <c r="A9" s="54"/>
      <c r="B9" s="54"/>
      <c r="C9" s="35"/>
      <c r="D9" s="35"/>
      <c r="E9" s="35"/>
      <c r="F9" s="35"/>
      <c r="G9" s="35"/>
    </row>
    <row r="10" spans="1:8" x14ac:dyDescent="0.2">
      <c r="B10" s="2"/>
    </row>
    <row r="11" spans="1:8" ht="16" thickBot="1" x14ac:dyDescent="0.25"/>
    <row r="12" spans="1:8" x14ac:dyDescent="0.2">
      <c r="A12" s="56" t="s">
        <v>185</v>
      </c>
      <c r="B12" s="58" t="s">
        <v>186</v>
      </c>
      <c r="C12" s="60" t="s">
        <v>187</v>
      </c>
      <c r="D12" s="60"/>
      <c r="E12" s="60" t="s">
        <v>188</v>
      </c>
      <c r="F12" s="61"/>
      <c r="G12" s="55"/>
      <c r="H12" s="55"/>
    </row>
    <row r="13" spans="1:8" x14ac:dyDescent="0.2">
      <c r="A13" s="57"/>
      <c r="B13" s="59"/>
      <c r="C13" t="s">
        <v>189</v>
      </c>
      <c r="D13" t="s">
        <v>190</v>
      </c>
      <c r="E13" t="s">
        <v>189</v>
      </c>
      <c r="F13" s="14" t="s">
        <v>190</v>
      </c>
    </row>
    <row r="14" spans="1:8" x14ac:dyDescent="0.2">
      <c r="A14" s="13" t="s">
        <v>195</v>
      </c>
      <c r="B14">
        <v>720</v>
      </c>
      <c r="C14">
        <f>MAX(-B14+Boundaries!$B$5, -1000+Boundaries!$B$5)</f>
        <v>-705.1</v>
      </c>
      <c r="D14">
        <f>-100+Boundaries!$B$5</f>
        <v>-85.1</v>
      </c>
      <c r="E14">
        <f>C14*25.13</f>
        <v>-17719.163</v>
      </c>
      <c r="F14" s="14">
        <f>D14*25.13</f>
        <v>-2138.5629999999996</v>
      </c>
    </row>
    <row r="17" spans="1:11" x14ac:dyDescent="0.2">
      <c r="A17" s="6" t="s">
        <v>193</v>
      </c>
      <c r="B17" s="6"/>
      <c r="C17" s="6"/>
    </row>
    <row r="18" spans="1:11" x14ac:dyDescent="0.2">
      <c r="A18" s="6" t="s">
        <v>185</v>
      </c>
      <c r="B18">
        <v>0</v>
      </c>
      <c r="C18">
        <f>C$14+$B18*ABS(C$14-D$14)/5</f>
        <v>-705.1</v>
      </c>
    </row>
    <row r="19" spans="1:11" x14ac:dyDescent="0.2">
      <c r="A19" t="str">
        <f>A14</f>
        <v>Ref</v>
      </c>
      <c r="B19">
        <v>1</v>
      </c>
      <c r="C19">
        <f t="shared" ref="C19:C23" si="7">C$14+$B19*ABS(C$14-D$14)/5</f>
        <v>-581.1</v>
      </c>
    </row>
    <row r="20" spans="1:11" x14ac:dyDescent="0.2">
      <c r="B20">
        <v>2</v>
      </c>
      <c r="C20">
        <f t="shared" si="7"/>
        <v>-457.1</v>
      </c>
    </row>
    <row r="21" spans="1:11" x14ac:dyDescent="0.2">
      <c r="B21">
        <v>3</v>
      </c>
      <c r="C21">
        <f t="shared" si="7"/>
        <v>-333.1</v>
      </c>
    </row>
    <row r="22" spans="1:11" x14ac:dyDescent="0.2">
      <c r="B22">
        <v>4</v>
      </c>
      <c r="C22">
        <f t="shared" si="7"/>
        <v>-209.10000000000002</v>
      </c>
    </row>
    <row r="23" spans="1:11" x14ac:dyDescent="0.2">
      <c r="B23">
        <v>5</v>
      </c>
      <c r="C23">
        <f t="shared" si="7"/>
        <v>-85.100000000000023</v>
      </c>
    </row>
    <row r="27" spans="1:11" x14ac:dyDescent="0.2">
      <c r="A27" s="6" t="s">
        <v>194</v>
      </c>
    </row>
    <row r="28" spans="1:11" x14ac:dyDescent="0.2">
      <c r="A28" s="45" t="s">
        <v>185</v>
      </c>
      <c r="B28">
        <v>0</v>
      </c>
      <c r="C28">
        <f>E$14+$B28*ABS(E$14-F$14)/5</f>
        <v>-17719.163</v>
      </c>
    </row>
    <row r="29" spans="1:11" x14ac:dyDescent="0.2">
      <c r="A29" s="13" t="str">
        <f>A14</f>
        <v>Ref</v>
      </c>
      <c r="B29">
        <v>1</v>
      </c>
      <c r="C29">
        <f t="shared" ref="C29:C33" si="8">E$14+$B29*ABS(E$14-F$14)/5</f>
        <v>-14603.043000000001</v>
      </c>
      <c r="K29" s="35"/>
    </row>
    <row r="30" spans="1:11" x14ac:dyDescent="0.2">
      <c r="B30">
        <v>2</v>
      </c>
      <c r="C30">
        <f t="shared" si="8"/>
        <v>-11486.923000000001</v>
      </c>
      <c r="K30" s="35"/>
    </row>
    <row r="31" spans="1:11" x14ac:dyDescent="0.2">
      <c r="B31">
        <v>3</v>
      </c>
      <c r="C31">
        <f t="shared" si="8"/>
        <v>-8370.8029999999999</v>
      </c>
      <c r="K31" s="35"/>
    </row>
    <row r="32" spans="1:11" x14ac:dyDescent="0.2">
      <c r="B32">
        <v>4</v>
      </c>
      <c r="C32">
        <f t="shared" si="8"/>
        <v>-5254.6830000000009</v>
      </c>
      <c r="K32" s="35"/>
    </row>
    <row r="33" spans="1:13" x14ac:dyDescent="0.2">
      <c r="B33">
        <v>5</v>
      </c>
      <c r="C33">
        <f t="shared" si="8"/>
        <v>-2138.5630000000001</v>
      </c>
      <c r="K33" s="35"/>
    </row>
    <row r="34" spans="1:13" x14ac:dyDescent="0.2">
      <c r="K34" s="35"/>
    </row>
    <row r="35" spans="1:13" x14ac:dyDescent="0.2">
      <c r="K35" s="35"/>
    </row>
    <row r="36" spans="1:13" x14ac:dyDescent="0.2">
      <c r="B36" s="35"/>
      <c r="C36" s="35"/>
      <c r="K36" s="35"/>
    </row>
    <row r="37" spans="1:13" x14ac:dyDescent="0.2">
      <c r="B37" s="35"/>
      <c r="C37" s="35"/>
      <c r="K37" s="35"/>
    </row>
    <row r="38" spans="1:13" ht="16" thickBot="1" x14ac:dyDescent="0.25"/>
    <row r="39" spans="1:13" ht="16" thickBot="1" x14ac:dyDescent="0.25">
      <c r="A39" s="47" t="s">
        <v>198</v>
      </c>
      <c r="B39" s="30"/>
      <c r="C39" s="30"/>
      <c r="D39" s="62" t="str">
        <f>A14</f>
        <v>Ref</v>
      </c>
      <c r="E39" s="60"/>
      <c r="F39" s="55"/>
      <c r="G39" s="55"/>
      <c r="H39" s="55"/>
      <c r="I39" s="55"/>
      <c r="J39" s="55"/>
      <c r="K39" s="55"/>
      <c r="L39" s="55"/>
      <c r="M39" s="55"/>
    </row>
    <row r="40" spans="1:13" ht="16" thickBot="1" x14ac:dyDescent="0.25">
      <c r="A40" s="15" t="s">
        <v>199</v>
      </c>
      <c r="B40" s="42" t="s">
        <v>191</v>
      </c>
      <c r="C40" s="42" t="s">
        <v>192</v>
      </c>
      <c r="D40" s="15" t="s">
        <v>189</v>
      </c>
      <c r="E40" s="24" t="s">
        <v>190</v>
      </c>
    </row>
    <row r="41" spans="1:13" x14ac:dyDescent="0.2">
      <c r="A41" s="13" t="s">
        <v>178</v>
      </c>
      <c r="B41" s="41">
        <f t="shared" ref="B41:B43" si="9">ROUNDUP(C41*$B$45/$C$45,0)</f>
        <v>2</v>
      </c>
      <c r="C41" s="41">
        <v>934</v>
      </c>
      <c r="D41">
        <v>0</v>
      </c>
      <c r="E41" s="35">
        <f>ABS($E$14)*24</f>
        <v>425259.91200000001</v>
      </c>
      <c r="F41" s="35"/>
      <c r="G41" s="35"/>
      <c r="H41" s="35"/>
      <c r="I41" s="35"/>
      <c r="J41" s="35"/>
      <c r="K41" s="35"/>
      <c r="M41" s="35"/>
    </row>
    <row r="42" spans="1:13" x14ac:dyDescent="0.2">
      <c r="A42" s="13" t="s">
        <v>183</v>
      </c>
      <c r="B42" s="41">
        <f t="shared" si="9"/>
        <v>7</v>
      </c>
      <c r="C42" s="41">
        <v>4231</v>
      </c>
      <c r="D42">
        <v>0</v>
      </c>
      <c r="E42" s="35">
        <f t="shared" ref="E42:E45" si="10">ABS($E$14)*24</f>
        <v>425259.91200000001</v>
      </c>
      <c r="F42" s="35"/>
      <c r="G42" s="35"/>
      <c r="H42" s="35"/>
      <c r="I42" s="35"/>
      <c r="J42" s="35"/>
      <c r="K42" s="35"/>
      <c r="M42" s="35"/>
    </row>
    <row r="43" spans="1:13" x14ac:dyDescent="0.2">
      <c r="A43" s="13" t="s">
        <v>179</v>
      </c>
      <c r="B43" s="41">
        <f t="shared" si="9"/>
        <v>2</v>
      </c>
      <c r="C43" s="41">
        <v>934</v>
      </c>
      <c r="D43">
        <v>0</v>
      </c>
      <c r="E43" s="35">
        <f t="shared" si="10"/>
        <v>425259.91200000001</v>
      </c>
      <c r="F43" s="35"/>
      <c r="G43" s="35"/>
      <c r="H43" s="35"/>
      <c r="I43" s="35"/>
      <c r="J43" s="35"/>
      <c r="K43" s="35"/>
      <c r="M43" s="35"/>
    </row>
    <row r="44" spans="1:13" x14ac:dyDescent="0.2">
      <c r="A44" s="13" t="s">
        <v>182</v>
      </c>
      <c r="B44" s="41">
        <f>ROUNDUP(C44*$B$45/$C$45,0)</f>
        <v>1</v>
      </c>
      <c r="C44" s="41">
        <v>97</v>
      </c>
      <c r="D44">
        <v>0</v>
      </c>
      <c r="E44" s="35">
        <f t="shared" si="10"/>
        <v>425259.91200000001</v>
      </c>
      <c r="F44" s="35"/>
      <c r="G44" s="35"/>
      <c r="H44" s="35"/>
      <c r="I44" s="35"/>
      <c r="J44" s="35"/>
      <c r="K44" s="35"/>
      <c r="M44" s="35"/>
    </row>
    <row r="45" spans="1:13" x14ac:dyDescent="0.2">
      <c r="A45" s="13" t="s">
        <v>180</v>
      </c>
      <c r="B45" s="41">
        <v>14</v>
      </c>
      <c r="C45" s="41">
        <v>8997</v>
      </c>
      <c r="D45">
        <v>0</v>
      </c>
      <c r="E45" s="35">
        <f t="shared" si="10"/>
        <v>425259.91200000001</v>
      </c>
      <c r="F45" s="35"/>
      <c r="G45" s="35"/>
      <c r="H45" s="35"/>
      <c r="I45" s="35"/>
      <c r="J45" s="35"/>
      <c r="K45" s="35"/>
      <c r="M45" s="35"/>
    </row>
    <row r="47" spans="1:13" x14ac:dyDescent="0.2">
      <c r="K47" s="41"/>
    </row>
    <row r="48" spans="1:13" x14ac:dyDescent="0.2">
      <c r="K48" s="35"/>
    </row>
    <row r="49" spans="1:11" x14ac:dyDescent="0.2">
      <c r="K49" s="35"/>
    </row>
    <row r="50" spans="1:11" x14ac:dyDescent="0.2">
      <c r="K50" s="35"/>
    </row>
    <row r="51" spans="1:11" x14ac:dyDescent="0.2">
      <c r="K51" s="35"/>
    </row>
    <row r="52" spans="1:11" x14ac:dyDescent="0.2">
      <c r="K52" s="35"/>
    </row>
    <row r="54" spans="1:11" x14ac:dyDescent="0.2">
      <c r="K54" s="41"/>
    </row>
    <row r="55" spans="1:11" x14ac:dyDescent="0.2">
      <c r="K55" s="35"/>
    </row>
    <row r="56" spans="1:11" ht="16" x14ac:dyDescent="0.2">
      <c r="B56" s="52"/>
      <c r="C56" s="35"/>
      <c r="D56" s="52"/>
      <c r="E56" s="35"/>
      <c r="F56" s="52"/>
      <c r="G56" s="35"/>
      <c r="H56" s="52"/>
      <c r="I56" s="35"/>
      <c r="J56" s="52"/>
      <c r="K56" s="35"/>
    </row>
    <row r="57" spans="1:11" ht="16" x14ac:dyDescent="0.2">
      <c r="B57" s="52"/>
      <c r="C57" s="35"/>
      <c r="D57" s="52"/>
      <c r="E57" s="35"/>
      <c r="F57" s="52"/>
      <c r="G57" s="35"/>
      <c r="H57" s="52"/>
      <c r="I57" s="35"/>
      <c r="J57" s="52"/>
      <c r="K57" s="35"/>
    </row>
    <row r="58" spans="1:11" ht="16" x14ac:dyDescent="0.2">
      <c r="B58" s="52"/>
      <c r="C58" s="35"/>
      <c r="D58" s="52"/>
      <c r="E58" s="35"/>
      <c r="F58" s="52"/>
      <c r="G58" s="35"/>
      <c r="H58" s="52"/>
      <c r="I58" s="35"/>
      <c r="J58" s="52"/>
      <c r="K58" s="35"/>
    </row>
    <row r="59" spans="1:11" ht="16" x14ac:dyDescent="0.2">
      <c r="B59" s="52"/>
      <c r="C59" s="35"/>
      <c r="D59" s="52"/>
      <c r="E59" s="35"/>
      <c r="F59" s="52"/>
      <c r="G59" s="35"/>
      <c r="H59" s="52"/>
      <c r="I59" s="35"/>
      <c r="J59" s="52"/>
      <c r="K59" s="35"/>
    </row>
    <row r="61" spans="1:11" x14ac:dyDescent="0.2">
      <c r="A61" s="6"/>
      <c r="C61" s="41"/>
      <c r="E61" s="41"/>
      <c r="G61" s="41"/>
      <c r="I61" s="41"/>
      <c r="K61" s="41"/>
    </row>
    <row r="62" spans="1:11" x14ac:dyDescent="0.2"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pans="1:11" x14ac:dyDescent="0.2"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pans="1:11" x14ac:dyDescent="0.2"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pans="1:11" x14ac:dyDescent="0.2"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pans="1:11" x14ac:dyDescent="0.2"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8" spans="1:11" x14ac:dyDescent="0.2">
      <c r="A68" s="6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pans="1:11" x14ac:dyDescent="0.2"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pans="1:11" x14ac:dyDescent="0.2"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pans="1:11" x14ac:dyDescent="0.2"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pans="1:11" x14ac:dyDescent="0.2"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x14ac:dyDescent="0.2"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5" spans="1:11" x14ac:dyDescent="0.2">
      <c r="A75" s="6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pans="1:11" ht="16" x14ac:dyDescent="0.2">
      <c r="B76" s="52"/>
      <c r="C76" s="35"/>
      <c r="D76" s="52"/>
      <c r="E76" s="35"/>
      <c r="F76" s="52"/>
      <c r="G76" s="35"/>
      <c r="H76" s="52"/>
      <c r="I76" s="35"/>
      <c r="J76" s="52"/>
      <c r="K76" s="35"/>
    </row>
    <row r="77" spans="1:11" ht="16" x14ac:dyDescent="0.2">
      <c r="B77" s="52"/>
      <c r="C77" s="35"/>
      <c r="D77" s="52"/>
      <c r="E77" s="35"/>
      <c r="F77" s="52"/>
      <c r="G77" s="35"/>
      <c r="H77" s="52"/>
      <c r="I77" s="35"/>
      <c r="J77" s="52"/>
      <c r="K77" s="35"/>
    </row>
    <row r="78" spans="1:11" ht="16" x14ac:dyDescent="0.2">
      <c r="B78" s="52"/>
      <c r="C78" s="35"/>
      <c r="D78" s="52"/>
      <c r="E78" s="35"/>
      <c r="F78" s="52"/>
      <c r="G78" s="35"/>
      <c r="H78" s="52"/>
      <c r="I78" s="35"/>
      <c r="J78" s="52"/>
      <c r="K78" s="35"/>
    </row>
    <row r="79" spans="1:11" ht="16" x14ac:dyDescent="0.2">
      <c r="B79" s="52"/>
      <c r="C79" s="35"/>
      <c r="D79" s="52"/>
      <c r="E79" s="35"/>
      <c r="F79" s="52"/>
      <c r="G79" s="35"/>
      <c r="H79" s="52"/>
      <c r="I79" s="35"/>
      <c r="J79" s="52"/>
      <c r="K79" s="35"/>
    </row>
    <row r="80" spans="1:11" ht="16" x14ac:dyDescent="0.2">
      <c r="B80" s="52"/>
      <c r="C80" s="35"/>
      <c r="D80" s="52"/>
      <c r="E80" s="35"/>
      <c r="F80" s="52"/>
      <c r="G80" s="35"/>
      <c r="H80" s="52"/>
      <c r="I80" s="35"/>
      <c r="J80" s="52"/>
      <c r="K80" s="35"/>
    </row>
    <row r="81" spans="4:4" ht="16" x14ac:dyDescent="0.2">
      <c r="D81" s="53"/>
    </row>
  </sheetData>
  <mergeCells count="10">
    <mergeCell ref="J39:K39"/>
    <mergeCell ref="L39:M39"/>
    <mergeCell ref="A12:A13"/>
    <mergeCell ref="B12:B13"/>
    <mergeCell ref="C12:D12"/>
    <mergeCell ref="E12:F12"/>
    <mergeCell ref="G12:H12"/>
    <mergeCell ref="D39:E39"/>
    <mergeCell ref="F39:G39"/>
    <mergeCell ref="H39:I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6FFA-A135-394F-A7D8-1F49878A264B}">
  <dimension ref="A1:M81"/>
  <sheetViews>
    <sheetView topLeftCell="A8" zoomScale="120" zoomScaleNormal="120" workbookViewId="0">
      <selection activeCell="F41" sqref="F41"/>
    </sheetView>
  </sheetViews>
  <sheetFormatPr baseColWidth="10" defaultColWidth="8.83203125" defaultRowHeight="15" x14ac:dyDescent="0.2"/>
  <cols>
    <col min="1" max="1" width="28.83203125" customWidth="1"/>
    <col min="2" max="2" width="21.33203125" customWidth="1"/>
    <col min="3" max="3" width="15.1640625" bestFit="1" customWidth="1"/>
    <col min="4" max="5" width="13.5" bestFit="1" customWidth="1"/>
    <col min="6" max="6" width="20" bestFit="1" customWidth="1"/>
    <col min="7" max="8" width="15.1640625" bestFit="1" customWidth="1"/>
    <col min="9" max="9" width="13.5" bestFit="1" customWidth="1"/>
    <col min="10" max="10" width="9" customWidth="1"/>
    <col min="11" max="11" width="13.6640625" customWidth="1"/>
    <col min="12" max="12" width="11.83203125" customWidth="1"/>
  </cols>
  <sheetData>
    <row r="1" spans="1:8" x14ac:dyDescent="0.2">
      <c r="A1" t="s">
        <v>226</v>
      </c>
      <c r="B1" t="s">
        <v>227</v>
      </c>
      <c r="C1" t="s">
        <v>178</v>
      </c>
      <c r="D1" t="s">
        <v>183</v>
      </c>
      <c r="E1" t="s">
        <v>179</v>
      </c>
      <c r="F1" t="s">
        <v>182</v>
      </c>
      <c r="G1" t="s">
        <v>180</v>
      </c>
    </row>
    <row r="2" spans="1:8" x14ac:dyDescent="0.2">
      <c r="A2" s="54">
        <f>C18</f>
        <v>-705.1</v>
      </c>
      <c r="B2" s="54">
        <f>C28</f>
        <v>-17719.163</v>
      </c>
      <c r="C2" s="35">
        <v>10</v>
      </c>
      <c r="D2" s="35">
        <v>10</v>
      </c>
      <c r="E2" s="35">
        <v>10</v>
      </c>
      <c r="F2" s="35">
        <v>10</v>
      </c>
      <c r="G2" s="35">
        <v>10</v>
      </c>
    </row>
    <row r="3" spans="1:8" x14ac:dyDescent="0.2">
      <c r="A3" s="54">
        <f t="shared" ref="A3:A8" si="0">C19</f>
        <v>-601.76666666666665</v>
      </c>
      <c r="B3" s="54">
        <f t="shared" ref="B3:B8" si="1">C29</f>
        <v>-15122.396333333334</v>
      </c>
      <c r="C3" s="35">
        <f>D$41+$B19*ABS(E$41-D$41)/6</f>
        <v>70876.652000000002</v>
      </c>
      <c r="D3" s="35">
        <f>D$42+$B19*ABS(E$42-D$42)/6</f>
        <v>70876.652000000002</v>
      </c>
      <c r="E3" s="35">
        <f>D$43+$B19*ABS(D$43-E$43)/6</f>
        <v>70876.652000000002</v>
      </c>
      <c r="F3" s="35">
        <f>D$44+$B19*ABS(E$44-D$44)/6</f>
        <v>70876.652000000002</v>
      </c>
      <c r="G3" s="35">
        <f>D$45+$B19*ABS(E$45-D$45)/6</f>
        <v>70876.652000000002</v>
      </c>
    </row>
    <row r="4" spans="1:8" x14ac:dyDescent="0.2">
      <c r="A4" s="54">
        <f t="shared" si="0"/>
        <v>-498.43333333333339</v>
      </c>
      <c r="B4" s="54">
        <f t="shared" si="1"/>
        <v>-12525.629666666668</v>
      </c>
      <c r="C4" s="35">
        <f>D$41+$B20*ABS(E$41-D$41)/6</f>
        <v>141753.304</v>
      </c>
      <c r="D4" s="35">
        <f t="shared" ref="D4:D8" si="2">D$42+$B20*ABS(E$42-D$42)/6</f>
        <v>141753.304</v>
      </c>
      <c r="E4" s="35">
        <f t="shared" ref="E4:E8" si="3">D$43+$B20*ABS(D$43-E$43)/6</f>
        <v>141753.304</v>
      </c>
      <c r="F4" s="35">
        <f t="shared" ref="F4:F8" si="4">D$44+$B20*ABS(E$44-D$44)/6</f>
        <v>141753.304</v>
      </c>
      <c r="G4" s="35">
        <f t="shared" ref="G4:G8" si="5">D$45+$B20*ABS(E$45-D$45)/6</f>
        <v>141753.304</v>
      </c>
    </row>
    <row r="5" spans="1:8" x14ac:dyDescent="0.2">
      <c r="A5" s="54">
        <f t="shared" si="0"/>
        <v>-395.1</v>
      </c>
      <c r="B5" s="54">
        <f t="shared" si="1"/>
        <v>-9928.8630000000012</v>
      </c>
      <c r="C5" s="35">
        <f t="shared" ref="C4:C8" si="6">D$41+$B21*ABS(E$41-D$41)/6</f>
        <v>212629.95600000001</v>
      </c>
      <c r="D5" s="35">
        <f t="shared" si="2"/>
        <v>212629.95600000001</v>
      </c>
      <c r="E5" s="35">
        <f t="shared" si="3"/>
        <v>212629.95600000001</v>
      </c>
      <c r="F5" s="35">
        <f t="shared" si="4"/>
        <v>212629.95600000001</v>
      </c>
      <c r="G5" s="35">
        <f t="shared" si="5"/>
        <v>212629.95600000001</v>
      </c>
    </row>
    <row r="6" spans="1:8" x14ac:dyDescent="0.2">
      <c r="A6" s="54">
        <f t="shared" si="0"/>
        <v>-291.76666666666671</v>
      </c>
      <c r="B6" s="54">
        <f t="shared" si="1"/>
        <v>-7332.096333333333</v>
      </c>
      <c r="C6" s="35">
        <f t="shared" si="6"/>
        <v>283506.60800000001</v>
      </c>
      <c r="D6" s="35">
        <f t="shared" si="2"/>
        <v>283506.60800000001</v>
      </c>
      <c r="E6" s="35">
        <f t="shared" si="3"/>
        <v>283506.60800000001</v>
      </c>
      <c r="F6" s="35">
        <f t="shared" si="4"/>
        <v>283506.60800000001</v>
      </c>
      <c r="G6" s="35">
        <f t="shared" si="5"/>
        <v>283506.60800000001</v>
      </c>
    </row>
    <row r="7" spans="1:8" x14ac:dyDescent="0.2">
      <c r="A7" s="54">
        <f t="shared" si="0"/>
        <v>-188.43333333333339</v>
      </c>
      <c r="B7" s="54">
        <f t="shared" si="1"/>
        <v>-4735.3296666666665</v>
      </c>
      <c r="C7" s="35">
        <f t="shared" si="6"/>
        <v>354383.26</v>
      </c>
      <c r="D7" s="35">
        <f t="shared" si="2"/>
        <v>354383.26</v>
      </c>
      <c r="E7" s="35">
        <f t="shared" si="3"/>
        <v>354383.26</v>
      </c>
      <c r="F7" s="35">
        <f t="shared" si="4"/>
        <v>354383.26</v>
      </c>
      <c r="G7" s="35">
        <f t="shared" si="5"/>
        <v>354383.26</v>
      </c>
    </row>
    <row r="8" spans="1:8" x14ac:dyDescent="0.2">
      <c r="A8" s="54">
        <f t="shared" si="0"/>
        <v>-85.100000000000023</v>
      </c>
      <c r="B8" s="54">
        <f t="shared" si="1"/>
        <v>-2138.5630000000001</v>
      </c>
      <c r="C8" s="35">
        <f t="shared" si="6"/>
        <v>425259.91200000001</v>
      </c>
      <c r="D8" s="35">
        <f t="shared" si="2"/>
        <v>425259.91200000001</v>
      </c>
      <c r="E8" s="35">
        <f t="shared" si="3"/>
        <v>425259.91200000001</v>
      </c>
      <c r="F8" s="35">
        <f t="shared" si="4"/>
        <v>425259.91200000001</v>
      </c>
      <c r="G8" s="35">
        <f t="shared" si="5"/>
        <v>425259.91200000001</v>
      </c>
    </row>
    <row r="9" spans="1:8" x14ac:dyDescent="0.2">
      <c r="A9" s="54"/>
      <c r="B9" s="54"/>
      <c r="C9" s="35"/>
      <c r="D9" s="35"/>
      <c r="E9" s="35"/>
      <c r="F9" s="35"/>
      <c r="G9" s="35"/>
    </row>
    <row r="10" spans="1:8" x14ac:dyDescent="0.2">
      <c r="B10" s="2"/>
    </row>
    <row r="11" spans="1:8" ht="16" thickBot="1" x14ac:dyDescent="0.25"/>
    <row r="12" spans="1:8" x14ac:dyDescent="0.2">
      <c r="A12" s="56" t="s">
        <v>185</v>
      </c>
      <c r="B12" s="58" t="s">
        <v>186</v>
      </c>
      <c r="C12" s="60" t="s">
        <v>187</v>
      </c>
      <c r="D12" s="60"/>
      <c r="E12" s="60" t="s">
        <v>188</v>
      </c>
      <c r="F12" s="61"/>
      <c r="G12" s="55"/>
      <c r="H12" s="55"/>
    </row>
    <row r="13" spans="1:8" x14ac:dyDescent="0.2">
      <c r="A13" s="57"/>
      <c r="B13" s="59"/>
      <c r="C13" t="s">
        <v>189</v>
      </c>
      <c r="D13" t="s">
        <v>190</v>
      </c>
      <c r="E13" t="s">
        <v>189</v>
      </c>
      <c r="F13" s="14" t="s">
        <v>190</v>
      </c>
    </row>
    <row r="14" spans="1:8" x14ac:dyDescent="0.2">
      <c r="A14" s="13" t="s">
        <v>195</v>
      </c>
      <c r="B14">
        <v>720</v>
      </c>
      <c r="C14">
        <f>MAX(-B14+Boundaries!$B$5, -1000+Boundaries!$B$5)</f>
        <v>-705.1</v>
      </c>
      <c r="D14">
        <f>-100+Boundaries!$B$5</f>
        <v>-85.1</v>
      </c>
      <c r="E14">
        <f>C14*25.13</f>
        <v>-17719.163</v>
      </c>
      <c r="F14" s="14">
        <f>D14*25.13</f>
        <v>-2138.5629999999996</v>
      </c>
    </row>
    <row r="17" spans="1:11" x14ac:dyDescent="0.2">
      <c r="A17" s="6" t="s">
        <v>193</v>
      </c>
      <c r="B17" s="6"/>
      <c r="C17" s="6"/>
    </row>
    <row r="18" spans="1:11" x14ac:dyDescent="0.2">
      <c r="A18" s="6" t="s">
        <v>185</v>
      </c>
      <c r="B18">
        <v>0</v>
      </c>
      <c r="C18">
        <f>C$14+$B18*ABS(C$14-D$14)/6</f>
        <v>-705.1</v>
      </c>
    </row>
    <row r="19" spans="1:11" x14ac:dyDescent="0.2">
      <c r="A19" t="str">
        <f>A14</f>
        <v>Ref</v>
      </c>
      <c r="B19">
        <v>1</v>
      </c>
      <c r="C19">
        <f t="shared" ref="C19:C24" si="7">C$14+$B19*ABS(C$14-D$14)/6</f>
        <v>-601.76666666666665</v>
      </c>
    </row>
    <row r="20" spans="1:11" x14ac:dyDescent="0.2">
      <c r="B20">
        <v>2</v>
      </c>
      <c r="C20">
        <f t="shared" si="7"/>
        <v>-498.43333333333339</v>
      </c>
    </row>
    <row r="21" spans="1:11" x14ac:dyDescent="0.2">
      <c r="B21">
        <v>3</v>
      </c>
      <c r="C21">
        <f t="shared" si="7"/>
        <v>-395.1</v>
      </c>
    </row>
    <row r="22" spans="1:11" x14ac:dyDescent="0.2">
      <c r="B22">
        <v>4</v>
      </c>
      <c r="C22">
        <f t="shared" si="7"/>
        <v>-291.76666666666671</v>
      </c>
    </row>
    <row r="23" spans="1:11" x14ac:dyDescent="0.2">
      <c r="B23">
        <v>5</v>
      </c>
      <c r="C23">
        <f t="shared" si="7"/>
        <v>-188.43333333333339</v>
      </c>
    </row>
    <row r="24" spans="1:11" x14ac:dyDescent="0.2">
      <c r="B24">
        <v>6</v>
      </c>
      <c r="C24">
        <f t="shared" si="7"/>
        <v>-85.100000000000023</v>
      </c>
    </row>
    <row r="27" spans="1:11" x14ac:dyDescent="0.2">
      <c r="A27" s="6" t="s">
        <v>194</v>
      </c>
    </row>
    <row r="28" spans="1:11" x14ac:dyDescent="0.2">
      <c r="A28" s="45" t="s">
        <v>185</v>
      </c>
      <c r="B28">
        <v>0</v>
      </c>
      <c r="C28">
        <f>E$14+$B28*ABS(E$14-F$14)/6</f>
        <v>-17719.163</v>
      </c>
    </row>
    <row r="29" spans="1:11" x14ac:dyDescent="0.2">
      <c r="A29" s="13" t="str">
        <f>A14</f>
        <v>Ref</v>
      </c>
      <c r="B29">
        <v>1</v>
      </c>
      <c r="C29">
        <f t="shared" ref="C29:C34" si="8">E$14+$B29*ABS(E$14-F$14)/6</f>
        <v>-15122.396333333334</v>
      </c>
      <c r="K29" s="35"/>
    </row>
    <row r="30" spans="1:11" x14ac:dyDescent="0.2">
      <c r="B30">
        <v>2</v>
      </c>
      <c r="C30">
        <f t="shared" si="8"/>
        <v>-12525.629666666668</v>
      </c>
      <c r="K30" s="35"/>
    </row>
    <row r="31" spans="1:11" x14ac:dyDescent="0.2">
      <c r="B31">
        <v>3</v>
      </c>
      <c r="C31">
        <f t="shared" si="8"/>
        <v>-9928.8630000000012</v>
      </c>
      <c r="K31" s="35"/>
    </row>
    <row r="32" spans="1:11" x14ac:dyDescent="0.2">
      <c r="B32">
        <v>4</v>
      </c>
      <c r="C32">
        <f t="shared" si="8"/>
        <v>-7332.096333333333</v>
      </c>
      <c r="K32" s="35"/>
    </row>
    <row r="33" spans="1:13" x14ac:dyDescent="0.2">
      <c r="B33">
        <v>5</v>
      </c>
      <c r="C33">
        <f t="shared" si="8"/>
        <v>-4735.3296666666665</v>
      </c>
      <c r="K33" s="35"/>
    </row>
    <row r="34" spans="1:13" x14ac:dyDescent="0.2">
      <c r="B34">
        <v>6</v>
      </c>
      <c r="C34">
        <f t="shared" si="8"/>
        <v>-2138.5630000000001</v>
      </c>
      <c r="K34" s="35"/>
    </row>
    <row r="35" spans="1:13" x14ac:dyDescent="0.2">
      <c r="K35" s="35"/>
    </row>
    <row r="36" spans="1:13" x14ac:dyDescent="0.2">
      <c r="B36" s="35"/>
      <c r="C36" s="35"/>
      <c r="K36" s="35"/>
    </row>
    <row r="37" spans="1:13" x14ac:dyDescent="0.2">
      <c r="B37" s="35"/>
      <c r="C37" s="35"/>
      <c r="K37" s="35"/>
    </row>
    <row r="38" spans="1:13" ht="16" thickBot="1" x14ac:dyDescent="0.25"/>
    <row r="39" spans="1:13" ht="16" thickBot="1" x14ac:dyDescent="0.25">
      <c r="A39" s="47" t="s">
        <v>198</v>
      </c>
      <c r="B39" s="30"/>
      <c r="C39" s="30"/>
      <c r="D39" s="62" t="str">
        <f>A14</f>
        <v>Ref</v>
      </c>
      <c r="E39" s="60"/>
      <c r="F39" s="55"/>
      <c r="G39" s="55"/>
      <c r="H39" s="55"/>
      <c r="I39" s="55"/>
      <c r="J39" s="55"/>
      <c r="K39" s="55"/>
      <c r="L39" s="55"/>
      <c r="M39" s="55"/>
    </row>
    <row r="40" spans="1:13" ht="16" thickBot="1" x14ac:dyDescent="0.25">
      <c r="A40" s="15" t="s">
        <v>199</v>
      </c>
      <c r="B40" s="42" t="s">
        <v>191</v>
      </c>
      <c r="C40" s="42" t="s">
        <v>192</v>
      </c>
      <c r="D40" s="15" t="s">
        <v>189</v>
      </c>
      <c r="E40" s="24" t="s">
        <v>190</v>
      </c>
    </row>
    <row r="41" spans="1:13" x14ac:dyDescent="0.2">
      <c r="A41" s="13" t="s">
        <v>178</v>
      </c>
      <c r="B41" s="41">
        <f t="shared" ref="B41:B43" si="9">ROUNDUP(C41*$B$45/$C$45,0)</f>
        <v>2</v>
      </c>
      <c r="C41" s="41">
        <v>934</v>
      </c>
      <c r="D41">
        <v>0</v>
      </c>
      <c r="E41" s="35">
        <f>ABS($E$14)*24</f>
        <v>425259.91200000001</v>
      </c>
      <c r="F41" s="35"/>
      <c r="G41" s="35"/>
      <c r="H41" s="35"/>
      <c r="I41" s="35"/>
      <c r="J41" s="35"/>
      <c r="K41" s="35"/>
      <c r="M41" s="35"/>
    </row>
    <row r="42" spans="1:13" x14ac:dyDescent="0.2">
      <c r="A42" s="13" t="s">
        <v>183</v>
      </c>
      <c r="B42" s="41">
        <f t="shared" si="9"/>
        <v>7</v>
      </c>
      <c r="C42" s="41">
        <v>4231</v>
      </c>
      <c r="D42">
        <v>0</v>
      </c>
      <c r="E42" s="35">
        <f t="shared" ref="E42:E45" si="10">ABS($E$14)*24</f>
        <v>425259.91200000001</v>
      </c>
      <c r="F42" s="35"/>
      <c r="G42" s="35"/>
      <c r="H42" s="35"/>
      <c r="I42" s="35"/>
      <c r="J42" s="35"/>
      <c r="K42" s="35"/>
      <c r="M42" s="35"/>
    </row>
    <row r="43" spans="1:13" x14ac:dyDescent="0.2">
      <c r="A43" s="13" t="s">
        <v>179</v>
      </c>
      <c r="B43" s="41">
        <f t="shared" si="9"/>
        <v>2</v>
      </c>
      <c r="C43" s="41">
        <v>934</v>
      </c>
      <c r="D43">
        <v>0</v>
      </c>
      <c r="E43" s="35">
        <f t="shared" si="10"/>
        <v>425259.91200000001</v>
      </c>
      <c r="F43" s="35"/>
      <c r="G43" s="35"/>
      <c r="H43" s="35"/>
      <c r="I43" s="35"/>
      <c r="J43" s="35"/>
      <c r="K43" s="35"/>
      <c r="M43" s="35"/>
    </row>
    <row r="44" spans="1:13" x14ac:dyDescent="0.2">
      <c r="A44" s="13" t="s">
        <v>182</v>
      </c>
      <c r="B44" s="41">
        <f>ROUNDUP(C44*$B$45/$C$45,0)</f>
        <v>1</v>
      </c>
      <c r="C44" s="41">
        <v>97</v>
      </c>
      <c r="D44">
        <v>0</v>
      </c>
      <c r="E44" s="35">
        <f t="shared" si="10"/>
        <v>425259.91200000001</v>
      </c>
      <c r="F44" s="35"/>
      <c r="G44" s="35"/>
      <c r="H44" s="35"/>
      <c r="I44" s="35"/>
      <c r="J44" s="35"/>
      <c r="K44" s="35"/>
      <c r="M44" s="35"/>
    </row>
    <row r="45" spans="1:13" x14ac:dyDescent="0.2">
      <c r="A45" s="13" t="s">
        <v>180</v>
      </c>
      <c r="B45" s="41">
        <v>14</v>
      </c>
      <c r="C45" s="41">
        <v>8997</v>
      </c>
      <c r="D45">
        <v>0</v>
      </c>
      <c r="E45" s="35">
        <f t="shared" si="10"/>
        <v>425259.91200000001</v>
      </c>
      <c r="F45" s="35"/>
      <c r="G45" s="35"/>
      <c r="H45" s="35"/>
      <c r="I45" s="35"/>
      <c r="J45" s="35"/>
      <c r="K45" s="35"/>
      <c r="M45" s="35"/>
    </row>
    <row r="47" spans="1:13" x14ac:dyDescent="0.2">
      <c r="K47" s="41"/>
    </row>
    <row r="48" spans="1:13" x14ac:dyDescent="0.2">
      <c r="K48" s="35"/>
    </row>
    <row r="49" spans="1:11" x14ac:dyDescent="0.2">
      <c r="K49" s="35"/>
    </row>
    <row r="50" spans="1:11" x14ac:dyDescent="0.2">
      <c r="K50" s="35"/>
    </row>
    <row r="51" spans="1:11" x14ac:dyDescent="0.2">
      <c r="K51" s="35"/>
    </row>
    <row r="52" spans="1:11" x14ac:dyDescent="0.2">
      <c r="K52" s="35"/>
    </row>
    <row r="54" spans="1:11" x14ac:dyDescent="0.2">
      <c r="K54" s="41"/>
    </row>
    <row r="55" spans="1:11" x14ac:dyDescent="0.2">
      <c r="K55" s="35"/>
    </row>
    <row r="56" spans="1:11" ht="16" x14ac:dyDescent="0.2">
      <c r="B56" s="52"/>
      <c r="C56" s="35"/>
      <c r="D56" s="52"/>
      <c r="E56" s="35"/>
      <c r="F56" s="52"/>
      <c r="G56" s="35"/>
      <c r="H56" s="52"/>
      <c r="I56" s="35"/>
      <c r="J56" s="52"/>
      <c r="K56" s="35"/>
    </row>
    <row r="57" spans="1:11" ht="16" x14ac:dyDescent="0.2">
      <c r="B57" s="52"/>
      <c r="C57" s="35"/>
      <c r="D57" s="52"/>
      <c r="E57" s="35"/>
      <c r="F57" s="52"/>
      <c r="G57" s="35"/>
      <c r="H57" s="52"/>
      <c r="I57" s="35"/>
      <c r="J57" s="52"/>
      <c r="K57" s="35"/>
    </row>
    <row r="58" spans="1:11" ht="16" x14ac:dyDescent="0.2">
      <c r="B58" s="52"/>
      <c r="C58" s="35"/>
      <c r="D58" s="52"/>
      <c r="E58" s="35"/>
      <c r="F58" s="52"/>
      <c r="G58" s="35"/>
      <c r="H58" s="52"/>
      <c r="I58" s="35"/>
      <c r="J58" s="52"/>
      <c r="K58" s="35"/>
    </row>
    <row r="59" spans="1:11" ht="16" x14ac:dyDescent="0.2">
      <c r="B59" s="52"/>
      <c r="C59" s="35"/>
      <c r="D59" s="52"/>
      <c r="E59" s="35"/>
      <c r="F59" s="52"/>
      <c r="G59" s="35"/>
      <c r="H59" s="52"/>
      <c r="I59" s="35"/>
      <c r="J59" s="52"/>
      <c r="K59" s="35"/>
    </row>
    <row r="61" spans="1:11" x14ac:dyDescent="0.2">
      <c r="A61" s="6"/>
      <c r="C61" s="41"/>
      <c r="E61" s="41"/>
      <c r="G61" s="41"/>
      <c r="I61" s="41"/>
      <c r="K61" s="41"/>
    </row>
    <row r="62" spans="1:11" x14ac:dyDescent="0.2"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pans="1:11" x14ac:dyDescent="0.2"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pans="1:11" x14ac:dyDescent="0.2"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pans="1:11" x14ac:dyDescent="0.2"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pans="1:11" x14ac:dyDescent="0.2"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8" spans="1:11" x14ac:dyDescent="0.2">
      <c r="A68" s="6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pans="1:11" x14ac:dyDescent="0.2"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pans="1:11" x14ac:dyDescent="0.2"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pans="1:11" x14ac:dyDescent="0.2"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pans="1:11" x14ac:dyDescent="0.2"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x14ac:dyDescent="0.2"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5" spans="1:11" x14ac:dyDescent="0.2">
      <c r="A75" s="6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pans="1:11" ht="16" x14ac:dyDescent="0.2">
      <c r="B76" s="52"/>
      <c r="C76" s="35"/>
      <c r="D76" s="52"/>
      <c r="E76" s="35"/>
      <c r="F76" s="52"/>
      <c r="G76" s="35"/>
      <c r="H76" s="52"/>
      <c r="I76" s="35"/>
      <c r="J76" s="52"/>
      <c r="K76" s="35"/>
    </row>
    <row r="77" spans="1:11" ht="16" x14ac:dyDescent="0.2">
      <c r="B77" s="52"/>
      <c r="C77" s="35"/>
      <c r="D77" s="52"/>
      <c r="E77" s="35"/>
      <c r="F77" s="52"/>
      <c r="G77" s="35"/>
      <c r="H77" s="52"/>
      <c r="I77" s="35"/>
      <c r="J77" s="52"/>
      <c r="K77" s="35"/>
    </row>
    <row r="78" spans="1:11" ht="16" x14ac:dyDescent="0.2">
      <c r="B78" s="52"/>
      <c r="C78" s="35"/>
      <c r="D78" s="52"/>
      <c r="E78" s="35"/>
      <c r="F78" s="52"/>
      <c r="G78" s="35"/>
      <c r="H78" s="52"/>
      <c r="I78" s="35"/>
      <c r="J78" s="52"/>
      <c r="K78" s="35"/>
    </row>
    <row r="79" spans="1:11" ht="16" x14ac:dyDescent="0.2">
      <c r="B79" s="52"/>
      <c r="C79" s="35"/>
      <c r="D79" s="52"/>
      <c r="E79" s="35"/>
      <c r="F79" s="52"/>
      <c r="G79" s="35"/>
      <c r="H79" s="52"/>
      <c r="I79" s="35"/>
      <c r="J79" s="52"/>
      <c r="K79" s="35"/>
    </row>
    <row r="80" spans="1:11" ht="16" x14ac:dyDescent="0.2">
      <c r="B80" s="52"/>
      <c r="C80" s="35"/>
      <c r="D80" s="52"/>
      <c r="E80" s="35"/>
      <c r="F80" s="52"/>
      <c r="G80" s="35"/>
      <c r="H80" s="52"/>
      <c r="I80" s="35"/>
      <c r="J80" s="52"/>
      <c r="K80" s="35"/>
    </row>
    <row r="81" spans="4:4" ht="16" x14ac:dyDescent="0.2">
      <c r="D81" s="53"/>
    </row>
  </sheetData>
  <mergeCells count="10">
    <mergeCell ref="J39:K39"/>
    <mergeCell ref="L39:M39"/>
    <mergeCell ref="A12:A13"/>
    <mergeCell ref="B12:B13"/>
    <mergeCell ref="C12:D12"/>
    <mergeCell ref="E12:F12"/>
    <mergeCell ref="G12:H12"/>
    <mergeCell ref="D39:E39"/>
    <mergeCell ref="F39:G39"/>
    <mergeCell ref="H39:I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9FAF-7CEF-3A49-BF72-05164FFAB52C}">
  <dimension ref="A1:M81"/>
  <sheetViews>
    <sheetView tabSelected="1" zoomScale="120" zoomScaleNormal="120" workbookViewId="0">
      <selection activeCell="I22" sqref="I22"/>
    </sheetView>
  </sheetViews>
  <sheetFormatPr baseColWidth="10" defaultColWidth="8.83203125" defaultRowHeight="15" x14ac:dyDescent="0.2"/>
  <cols>
    <col min="1" max="1" width="28.83203125" customWidth="1"/>
    <col min="2" max="2" width="21.33203125" customWidth="1"/>
    <col min="3" max="3" width="15.1640625" bestFit="1" customWidth="1"/>
    <col min="4" max="5" width="13.5" bestFit="1" customWidth="1"/>
    <col min="6" max="6" width="20" bestFit="1" customWidth="1"/>
    <col min="7" max="8" width="15.1640625" bestFit="1" customWidth="1"/>
    <col min="9" max="9" width="13.5" bestFit="1" customWidth="1"/>
    <col min="10" max="10" width="9" customWidth="1"/>
    <col min="11" max="11" width="13.6640625" customWidth="1"/>
    <col min="12" max="12" width="11.83203125" customWidth="1"/>
  </cols>
  <sheetData>
    <row r="1" spans="1:8" x14ac:dyDescent="0.2">
      <c r="A1" t="s">
        <v>226</v>
      </c>
      <c r="B1" t="s">
        <v>227</v>
      </c>
      <c r="C1" t="s">
        <v>178</v>
      </c>
      <c r="D1" t="s">
        <v>183</v>
      </c>
      <c r="E1" t="s">
        <v>179</v>
      </c>
      <c r="F1" t="s">
        <v>182</v>
      </c>
      <c r="G1" t="s">
        <v>180</v>
      </c>
    </row>
    <row r="2" spans="1:8" x14ac:dyDescent="0.2">
      <c r="A2" s="54">
        <f>C18</f>
        <v>-705.1</v>
      </c>
      <c r="B2" s="54">
        <f>C28</f>
        <v>-17719.163</v>
      </c>
      <c r="C2" s="35">
        <v>10</v>
      </c>
      <c r="D2" s="35">
        <v>10</v>
      </c>
      <c r="E2" s="35">
        <v>10</v>
      </c>
      <c r="F2" s="35">
        <v>10</v>
      </c>
      <c r="G2" s="35">
        <v>10</v>
      </c>
    </row>
    <row r="3" spans="1:8" x14ac:dyDescent="0.2">
      <c r="A3" s="54">
        <f t="shared" ref="A3:A9" si="0">C19</f>
        <v>-616.52857142857147</v>
      </c>
      <c r="B3" s="54">
        <f t="shared" ref="B3:B9" si="1">C29</f>
        <v>-15493.363000000001</v>
      </c>
      <c r="C3" s="35">
        <f>D$41+$B19*ABS(E$41-D$41)/7</f>
        <v>60751.416000000005</v>
      </c>
      <c r="D3" s="35">
        <f>$D42+C$47*ABS($E42-$D42)/7</f>
        <v>60751.416000000005</v>
      </c>
      <c r="E3" s="35">
        <f>$D43+C$47*ABS($E43-$D43)/7</f>
        <v>60751.416000000005</v>
      </c>
      <c r="F3" s="35">
        <f>$D44+C$47*ABS($E44-$D44)/7</f>
        <v>60751.416000000005</v>
      </c>
      <c r="G3" s="35">
        <f>$D45+C$47*ABS($E45-$D45)/7</f>
        <v>60751.416000000005</v>
      </c>
    </row>
    <row r="4" spans="1:8" x14ac:dyDescent="0.2">
      <c r="A4" s="54">
        <f t="shared" si="0"/>
        <v>-527.95714285714291</v>
      </c>
      <c r="B4" s="54">
        <f t="shared" si="1"/>
        <v>-13267.563</v>
      </c>
      <c r="C4" s="35">
        <f t="shared" ref="C4:C9" si="2">D$41+$B20*ABS(E$41-D$41)/7</f>
        <v>121502.83200000001</v>
      </c>
      <c r="D4" s="35">
        <f>$D42+D$47*ABS($E42-$D42)/7</f>
        <v>121502.83200000001</v>
      </c>
      <c r="E4" s="35">
        <f>$D43+D$47*ABS($E43-$D43)/7</f>
        <v>121502.83200000001</v>
      </c>
      <c r="F4" s="35">
        <f>$D44+D$47*ABS($E44-$D44)/7</f>
        <v>121502.83200000001</v>
      </c>
      <c r="G4" s="35">
        <f>$D45+D$47*ABS($E45-$D45)/7</f>
        <v>121502.83200000001</v>
      </c>
    </row>
    <row r="5" spans="1:8" x14ac:dyDescent="0.2">
      <c r="A5" s="54">
        <f t="shared" si="0"/>
        <v>-439.3857142857143</v>
      </c>
      <c r="B5" s="54">
        <f t="shared" si="1"/>
        <v>-11041.762999999999</v>
      </c>
      <c r="C5" s="35">
        <f t="shared" si="2"/>
        <v>182254.24799999999</v>
      </c>
      <c r="D5" s="35">
        <f>$D42+E$47*ABS($E42-$D42)/7</f>
        <v>182254.24799999999</v>
      </c>
      <c r="E5" s="35">
        <f>$D43+E$47*ABS($E43-$D43)/7</f>
        <v>182254.24799999999</v>
      </c>
      <c r="F5" s="35">
        <f>$D44+E$47*ABS($E44-$D44)/7</f>
        <v>182254.24799999999</v>
      </c>
      <c r="G5" s="35">
        <f>$D45+E$47*ABS($E45-$D45)/7</f>
        <v>182254.24799999999</v>
      </c>
    </row>
    <row r="6" spans="1:8" x14ac:dyDescent="0.2">
      <c r="A6" s="54">
        <f t="shared" si="0"/>
        <v>-350.81428571428575</v>
      </c>
      <c r="B6" s="54">
        <f t="shared" si="1"/>
        <v>-8815.9629999999997</v>
      </c>
      <c r="C6" s="35">
        <f t="shared" si="2"/>
        <v>243005.66400000002</v>
      </c>
      <c r="D6" s="35">
        <f>$D42+F$47*ABS($E42-$D42)/7</f>
        <v>243005.66400000002</v>
      </c>
      <c r="E6" s="35">
        <f>$D43+F$47*ABS($E43-$D43)/7</f>
        <v>243005.66400000002</v>
      </c>
      <c r="F6" s="35">
        <f>$D44+F$47*ABS($E44-$D44)/7</f>
        <v>243005.66400000002</v>
      </c>
      <c r="G6" s="35">
        <f>$D45+F$47*ABS($E45-$D45)/7</f>
        <v>243005.66400000002</v>
      </c>
    </row>
    <row r="7" spans="1:8" x14ac:dyDescent="0.2">
      <c r="A7" s="54">
        <f t="shared" si="0"/>
        <v>-262.24285714285719</v>
      </c>
      <c r="B7" s="54">
        <f t="shared" si="1"/>
        <v>-6590.1630000000005</v>
      </c>
      <c r="C7" s="35">
        <f t="shared" si="2"/>
        <v>303757.08</v>
      </c>
      <c r="D7" s="35">
        <f>$D42+G$47*ABS($E42-$D42)/7</f>
        <v>303757.08</v>
      </c>
      <c r="E7" s="35">
        <f>$D43+G$47*ABS($E43-$D43)/7</f>
        <v>303757.08</v>
      </c>
      <c r="F7" s="35">
        <f>$D44+G$47*ABS($E44-$D44)/7</f>
        <v>303757.08</v>
      </c>
      <c r="G7" s="35">
        <f>$D45+G$47*ABS($E45-$D45)/7</f>
        <v>303757.08</v>
      </c>
    </row>
    <row r="8" spans="1:8" x14ac:dyDescent="0.2">
      <c r="A8" s="54">
        <f t="shared" si="0"/>
        <v>-173.67142857142858</v>
      </c>
      <c r="B8" s="54">
        <f t="shared" si="1"/>
        <v>-4364.3629999999994</v>
      </c>
      <c r="C8" s="35">
        <f t="shared" si="2"/>
        <v>364508.49599999998</v>
      </c>
      <c r="D8" s="35">
        <f>$D42+H$47*ABS($E42-$D42)/7</f>
        <v>364508.49599999998</v>
      </c>
      <c r="E8" s="35">
        <f>$D43+H$47*ABS($E43-$D43)/7</f>
        <v>364508.49599999998</v>
      </c>
      <c r="F8" s="35">
        <f>$D44+H$47*ABS($E44-$D44)/7</f>
        <v>364508.49599999998</v>
      </c>
      <c r="G8" s="35">
        <f>$D45+H$47*ABS($E45-$D45)/7</f>
        <v>364508.49599999998</v>
      </c>
    </row>
    <row r="9" spans="1:8" x14ac:dyDescent="0.2">
      <c r="A9" s="54">
        <f t="shared" si="0"/>
        <v>-85.100000000000023</v>
      </c>
      <c r="B9" s="54">
        <f t="shared" si="1"/>
        <v>-2138.5630000000001</v>
      </c>
      <c r="C9" s="35">
        <f t="shared" si="2"/>
        <v>425259.91200000001</v>
      </c>
      <c r="D9" s="35">
        <f>$D42+I$47*ABS($E42-$D42)/7</f>
        <v>425259.91200000001</v>
      </c>
      <c r="E9" s="35">
        <f>$D43+I$47*ABS($E43-$D43)/7</f>
        <v>425259.91200000001</v>
      </c>
      <c r="F9" s="35">
        <f>$D44+I$47*ABS($E44-$D44)/7</f>
        <v>425259.91200000001</v>
      </c>
      <c r="G9" s="35">
        <f>$D45+I$47*ABS($E45-$D45)/7</f>
        <v>425259.91200000001</v>
      </c>
    </row>
    <row r="10" spans="1:8" x14ac:dyDescent="0.2">
      <c r="B10" s="2"/>
    </row>
    <row r="11" spans="1:8" ht="16" thickBot="1" x14ac:dyDescent="0.25"/>
    <row r="12" spans="1:8" x14ac:dyDescent="0.2">
      <c r="A12" s="56" t="s">
        <v>185</v>
      </c>
      <c r="B12" s="58" t="s">
        <v>186</v>
      </c>
      <c r="C12" s="60" t="s">
        <v>187</v>
      </c>
      <c r="D12" s="60"/>
      <c r="E12" s="60" t="s">
        <v>188</v>
      </c>
      <c r="F12" s="61"/>
      <c r="G12" s="55"/>
      <c r="H12" s="55"/>
    </row>
    <row r="13" spans="1:8" x14ac:dyDescent="0.2">
      <c r="A13" s="57"/>
      <c r="B13" s="59"/>
      <c r="C13" t="s">
        <v>189</v>
      </c>
      <c r="D13" t="s">
        <v>190</v>
      </c>
      <c r="E13" t="s">
        <v>189</v>
      </c>
      <c r="F13" s="14" t="s">
        <v>190</v>
      </c>
    </row>
    <row r="14" spans="1:8" x14ac:dyDescent="0.2">
      <c r="A14" s="13" t="s">
        <v>195</v>
      </c>
      <c r="B14">
        <v>720</v>
      </c>
      <c r="C14">
        <f>MAX(-B14+Boundaries!$B$5, -1000+Boundaries!$B$5)</f>
        <v>-705.1</v>
      </c>
      <c r="D14">
        <f>-100+Boundaries!$B$5</f>
        <v>-85.1</v>
      </c>
      <c r="E14">
        <f>C14*25.13</f>
        <v>-17719.163</v>
      </c>
      <c r="F14" s="14">
        <f>D14*25.13</f>
        <v>-2138.5629999999996</v>
      </c>
    </row>
    <row r="17" spans="1:11" x14ac:dyDescent="0.2">
      <c r="A17" s="6" t="s">
        <v>193</v>
      </c>
      <c r="B17" s="6"/>
      <c r="C17" s="6"/>
    </row>
    <row r="18" spans="1:11" x14ac:dyDescent="0.2">
      <c r="A18" s="6" t="s">
        <v>185</v>
      </c>
      <c r="B18">
        <v>0</v>
      </c>
      <c r="C18">
        <f>C$14+$B18*ABS(C$14-D$14)/7</f>
        <v>-705.1</v>
      </c>
    </row>
    <row r="19" spans="1:11" x14ac:dyDescent="0.2">
      <c r="A19" t="str">
        <f>A14</f>
        <v>Ref</v>
      </c>
      <c r="B19">
        <v>1</v>
      </c>
      <c r="C19">
        <f t="shared" ref="C19:C25" si="3">C$14+$B19*ABS(C$14-D$14)/7</f>
        <v>-616.52857142857147</v>
      </c>
    </row>
    <row r="20" spans="1:11" x14ac:dyDescent="0.2">
      <c r="B20">
        <v>2</v>
      </c>
      <c r="C20">
        <f t="shared" si="3"/>
        <v>-527.95714285714291</v>
      </c>
    </row>
    <row r="21" spans="1:11" x14ac:dyDescent="0.2">
      <c r="B21">
        <v>3</v>
      </c>
      <c r="C21">
        <f t="shared" si="3"/>
        <v>-439.3857142857143</v>
      </c>
    </row>
    <row r="22" spans="1:11" x14ac:dyDescent="0.2">
      <c r="B22">
        <v>4</v>
      </c>
      <c r="C22">
        <f t="shared" si="3"/>
        <v>-350.81428571428575</v>
      </c>
    </row>
    <row r="23" spans="1:11" x14ac:dyDescent="0.2">
      <c r="B23">
        <v>5</v>
      </c>
      <c r="C23">
        <f t="shared" si="3"/>
        <v>-262.24285714285719</v>
      </c>
    </row>
    <row r="24" spans="1:11" x14ac:dyDescent="0.2">
      <c r="B24">
        <v>6</v>
      </c>
      <c r="C24">
        <f t="shared" si="3"/>
        <v>-173.67142857142858</v>
      </c>
    </row>
    <row r="25" spans="1:11" x14ac:dyDescent="0.2">
      <c r="B25">
        <v>7</v>
      </c>
      <c r="C25">
        <f t="shared" si="3"/>
        <v>-85.100000000000023</v>
      </c>
    </row>
    <row r="27" spans="1:11" x14ac:dyDescent="0.2">
      <c r="A27" s="6" t="s">
        <v>194</v>
      </c>
    </row>
    <row r="28" spans="1:11" x14ac:dyDescent="0.2">
      <c r="A28" s="45" t="s">
        <v>185</v>
      </c>
      <c r="B28">
        <v>0</v>
      </c>
      <c r="C28">
        <f>E$14+$B28*ABS(E$14-F$14)/7</f>
        <v>-17719.163</v>
      </c>
    </row>
    <row r="29" spans="1:11" x14ac:dyDescent="0.2">
      <c r="A29" s="13" t="str">
        <f>A14</f>
        <v>Ref</v>
      </c>
      <c r="B29">
        <v>1</v>
      </c>
      <c r="C29">
        <f t="shared" ref="C29:C35" si="4">E$14+$B29*ABS(E$14-F$14)/7</f>
        <v>-15493.363000000001</v>
      </c>
      <c r="K29" s="35"/>
    </row>
    <row r="30" spans="1:11" x14ac:dyDescent="0.2">
      <c r="B30">
        <v>2</v>
      </c>
      <c r="C30">
        <f t="shared" si="4"/>
        <v>-13267.563</v>
      </c>
      <c r="K30" s="35"/>
    </row>
    <row r="31" spans="1:11" x14ac:dyDescent="0.2">
      <c r="B31">
        <v>3</v>
      </c>
      <c r="C31">
        <f t="shared" si="4"/>
        <v>-11041.762999999999</v>
      </c>
      <c r="K31" s="35"/>
    </row>
    <row r="32" spans="1:11" x14ac:dyDescent="0.2">
      <c r="B32">
        <v>4</v>
      </c>
      <c r="C32">
        <f t="shared" si="4"/>
        <v>-8815.9629999999997</v>
      </c>
      <c r="K32" s="35"/>
    </row>
    <row r="33" spans="1:13" x14ac:dyDescent="0.2">
      <c r="B33">
        <v>5</v>
      </c>
      <c r="C33">
        <f t="shared" si="4"/>
        <v>-6590.1630000000005</v>
      </c>
      <c r="K33" s="35"/>
    </row>
    <row r="34" spans="1:13" x14ac:dyDescent="0.2">
      <c r="B34">
        <v>6</v>
      </c>
      <c r="C34">
        <f t="shared" si="4"/>
        <v>-4364.3629999999994</v>
      </c>
      <c r="K34" s="35"/>
    </row>
    <row r="35" spans="1:13" x14ac:dyDescent="0.2">
      <c r="B35">
        <v>7</v>
      </c>
      <c r="C35">
        <f t="shared" si="4"/>
        <v>-2138.5630000000001</v>
      </c>
      <c r="K35" s="35"/>
    </row>
    <row r="36" spans="1:13" x14ac:dyDescent="0.2">
      <c r="B36" s="35"/>
      <c r="C36" s="35"/>
      <c r="K36" s="35"/>
    </row>
    <row r="37" spans="1:13" x14ac:dyDescent="0.2">
      <c r="B37" s="35"/>
      <c r="C37" s="35"/>
      <c r="K37" s="35"/>
    </row>
    <row r="38" spans="1:13" ht="16" thickBot="1" x14ac:dyDescent="0.25"/>
    <row r="39" spans="1:13" ht="16" thickBot="1" x14ac:dyDescent="0.25">
      <c r="A39" s="47" t="s">
        <v>198</v>
      </c>
      <c r="B39" s="30"/>
      <c r="C39" s="30"/>
      <c r="D39" s="62" t="str">
        <f>A14</f>
        <v>Ref</v>
      </c>
      <c r="E39" s="60"/>
      <c r="F39" s="55"/>
      <c r="G39" s="55"/>
      <c r="H39" s="55"/>
      <c r="I39" s="55"/>
      <c r="J39" s="55"/>
      <c r="K39" s="55"/>
      <c r="L39" s="55"/>
      <c r="M39" s="55"/>
    </row>
    <row r="40" spans="1:13" ht="16" thickBot="1" x14ac:dyDescent="0.25">
      <c r="A40" s="15" t="s">
        <v>199</v>
      </c>
      <c r="B40" s="42" t="s">
        <v>191</v>
      </c>
      <c r="C40" s="42" t="s">
        <v>192</v>
      </c>
      <c r="D40" s="15" t="s">
        <v>189</v>
      </c>
      <c r="E40" s="24" t="s">
        <v>190</v>
      </c>
    </row>
    <row r="41" spans="1:13" x14ac:dyDescent="0.2">
      <c r="A41" s="13" t="s">
        <v>178</v>
      </c>
      <c r="B41" s="41">
        <f t="shared" ref="B41:B43" si="5">ROUNDUP(C41*$B$45/$C$45,0)</f>
        <v>2</v>
      </c>
      <c r="C41" s="41">
        <v>934</v>
      </c>
      <c r="D41">
        <v>0</v>
      </c>
      <c r="E41" s="35">
        <f>ABS($E$14)*24</f>
        <v>425259.91200000001</v>
      </c>
      <c r="F41" s="35"/>
      <c r="G41" s="35"/>
      <c r="H41" s="35"/>
      <c r="I41" s="35"/>
      <c r="J41" s="35"/>
      <c r="K41" s="35"/>
      <c r="M41" s="35"/>
    </row>
    <row r="42" spans="1:13" x14ac:dyDescent="0.2">
      <c r="A42" s="13" t="s">
        <v>183</v>
      </c>
      <c r="B42" s="41">
        <f t="shared" si="5"/>
        <v>7</v>
      </c>
      <c r="C42" s="41">
        <v>4231</v>
      </c>
      <c r="D42">
        <v>0</v>
      </c>
      <c r="E42" s="35">
        <f t="shared" ref="E42:E45" si="6">ABS($E$14)*24</f>
        <v>425259.91200000001</v>
      </c>
      <c r="F42" s="35"/>
      <c r="G42" s="35"/>
      <c r="H42" s="35"/>
      <c r="I42" s="35"/>
      <c r="J42" s="35"/>
      <c r="K42" s="35"/>
      <c r="M42" s="35"/>
    </row>
    <row r="43" spans="1:13" x14ac:dyDescent="0.2">
      <c r="A43" s="13" t="s">
        <v>179</v>
      </c>
      <c r="B43" s="41">
        <f t="shared" si="5"/>
        <v>2</v>
      </c>
      <c r="C43" s="41">
        <v>934</v>
      </c>
      <c r="D43">
        <v>0</v>
      </c>
      <c r="E43" s="35">
        <f t="shared" si="6"/>
        <v>425259.91200000001</v>
      </c>
      <c r="F43" s="35"/>
      <c r="G43" s="35"/>
      <c r="H43" s="35"/>
      <c r="I43" s="35"/>
      <c r="J43" s="35"/>
      <c r="K43" s="35"/>
      <c r="M43" s="35"/>
    </row>
    <row r="44" spans="1:13" x14ac:dyDescent="0.2">
      <c r="A44" s="13" t="s">
        <v>182</v>
      </c>
      <c r="B44" s="41">
        <f>ROUNDUP(C44*$B$45/$C$45,0)</f>
        <v>1</v>
      </c>
      <c r="C44" s="41">
        <v>97</v>
      </c>
      <c r="D44">
        <v>0</v>
      </c>
      <c r="E44" s="35">
        <f t="shared" si="6"/>
        <v>425259.91200000001</v>
      </c>
      <c r="F44" s="35"/>
      <c r="G44" s="35"/>
      <c r="H44" s="35"/>
      <c r="I44" s="35"/>
      <c r="J44" s="35"/>
      <c r="K44" s="35"/>
      <c r="M44" s="35"/>
    </row>
    <row r="45" spans="1:13" ht="16" thickBot="1" x14ac:dyDescent="0.25">
      <c r="A45" s="15" t="s">
        <v>180</v>
      </c>
      <c r="B45" s="42">
        <v>14</v>
      </c>
      <c r="C45" s="42">
        <v>8997</v>
      </c>
      <c r="D45" s="24">
        <v>0</v>
      </c>
      <c r="E45" s="35">
        <f t="shared" si="6"/>
        <v>425259.91200000001</v>
      </c>
      <c r="F45" s="35"/>
      <c r="G45" s="35"/>
      <c r="H45" s="35"/>
      <c r="I45" s="35"/>
      <c r="J45" s="35"/>
      <c r="K45" s="35"/>
      <c r="M45" s="35"/>
    </row>
    <row r="46" spans="1:13" ht="16" thickBot="1" x14ac:dyDescent="0.25"/>
    <row r="47" spans="1:13" x14ac:dyDescent="0.2">
      <c r="A47" s="46" t="s">
        <v>213</v>
      </c>
      <c r="B47" s="30">
        <v>0</v>
      </c>
      <c r="C47" s="36">
        <v>1</v>
      </c>
      <c r="D47" s="30">
        <v>2</v>
      </c>
      <c r="E47" s="36">
        <v>3</v>
      </c>
      <c r="F47" s="30">
        <v>4</v>
      </c>
      <c r="G47" s="36">
        <v>5</v>
      </c>
      <c r="H47" s="30">
        <v>6</v>
      </c>
      <c r="I47" s="37">
        <v>7</v>
      </c>
      <c r="J47" s="30"/>
      <c r="K47" s="41"/>
    </row>
    <row r="48" spans="1:13" x14ac:dyDescent="0.2">
      <c r="A48" s="13" t="str">
        <f>A41</f>
        <v>illinois</v>
      </c>
      <c r="B48" s="35">
        <v>10</v>
      </c>
      <c r="C48" s="35">
        <f>$D41+C$47*ABS($E41-$D41)/7</f>
        <v>60751.416000000005</v>
      </c>
      <c r="D48" s="35">
        <f t="shared" ref="D48:I48" si="7">$D41+D$47*ABS($E41-$D41)/7</f>
        <v>121502.83200000001</v>
      </c>
      <c r="E48" s="35">
        <f t="shared" si="7"/>
        <v>182254.24799999999</v>
      </c>
      <c r="F48" s="35">
        <f t="shared" si="7"/>
        <v>243005.66400000002</v>
      </c>
      <c r="G48" s="35">
        <f t="shared" si="7"/>
        <v>303757.08</v>
      </c>
      <c r="H48" s="35">
        <f t="shared" si="7"/>
        <v>364508.49599999998</v>
      </c>
      <c r="I48" s="38">
        <f t="shared" si="7"/>
        <v>425259.91200000001</v>
      </c>
      <c r="J48" s="35"/>
      <c r="K48" s="35"/>
    </row>
    <row r="49" spans="1:11" x14ac:dyDescent="0.2">
      <c r="A49" s="13" t="str">
        <f t="shared" ref="A49:A52" si="8">A42</f>
        <v>nebraska</v>
      </c>
      <c r="B49" s="35">
        <v>10</v>
      </c>
      <c r="C49" s="35">
        <f t="shared" ref="C49:I49" si="9">$D42+C$47*ABS($E42-$D42)/7</f>
        <v>60751.416000000005</v>
      </c>
      <c r="D49" s="35">
        <f t="shared" si="9"/>
        <v>121502.83200000001</v>
      </c>
      <c r="E49" s="35">
        <f t="shared" si="9"/>
        <v>182254.24799999999</v>
      </c>
      <c r="F49" s="35">
        <f t="shared" si="9"/>
        <v>243005.66400000002</v>
      </c>
      <c r="G49" s="35">
        <f t="shared" si="9"/>
        <v>303757.08</v>
      </c>
      <c r="H49" s="35">
        <f t="shared" si="9"/>
        <v>364508.49599999998</v>
      </c>
      <c r="I49" s="38">
        <f t="shared" si="9"/>
        <v>425259.91200000001</v>
      </c>
      <c r="J49" s="35"/>
      <c r="K49" s="35"/>
    </row>
    <row r="50" spans="1:11" x14ac:dyDescent="0.2">
      <c r="A50" s="13" t="str">
        <f t="shared" si="8"/>
        <v>ohio</v>
      </c>
      <c r="B50" s="35">
        <v>10</v>
      </c>
      <c r="C50" s="35">
        <f t="shared" ref="C50:I50" si="10">$D43+C$47*ABS($E43-$D43)/7</f>
        <v>60751.416000000005</v>
      </c>
      <c r="D50" s="35">
        <f t="shared" si="10"/>
        <v>121502.83200000001</v>
      </c>
      <c r="E50" s="35">
        <f t="shared" si="10"/>
        <v>182254.24799999999</v>
      </c>
      <c r="F50" s="35">
        <f t="shared" si="10"/>
        <v>243005.66400000002</v>
      </c>
      <c r="G50" s="35">
        <f t="shared" si="10"/>
        <v>303757.08</v>
      </c>
      <c r="H50" s="35">
        <f t="shared" si="10"/>
        <v>364508.49599999998</v>
      </c>
      <c r="I50" s="38">
        <f t="shared" si="10"/>
        <v>425259.91200000001</v>
      </c>
      <c r="J50" s="35"/>
      <c r="K50" s="35"/>
    </row>
    <row r="51" spans="1:11" x14ac:dyDescent="0.2">
      <c r="A51" s="13" t="str">
        <f t="shared" si="8"/>
        <v>minnesota</v>
      </c>
      <c r="B51" s="35">
        <v>10</v>
      </c>
      <c r="C51" s="35">
        <f t="shared" ref="C51:I51" si="11">$D44+C$47*ABS($E44-$D44)/7</f>
        <v>60751.416000000005</v>
      </c>
      <c r="D51" s="35">
        <f t="shared" si="11"/>
        <v>121502.83200000001</v>
      </c>
      <c r="E51" s="35">
        <f t="shared" si="11"/>
        <v>182254.24799999999</v>
      </c>
      <c r="F51" s="35">
        <f t="shared" si="11"/>
        <v>243005.66400000002</v>
      </c>
      <c r="G51" s="35">
        <f t="shared" si="11"/>
        <v>303757.08</v>
      </c>
      <c r="H51" s="35">
        <f t="shared" si="11"/>
        <v>364508.49599999998</v>
      </c>
      <c r="I51" s="38">
        <f t="shared" si="11"/>
        <v>425259.91200000001</v>
      </c>
      <c r="J51" s="35"/>
      <c r="K51" s="35"/>
    </row>
    <row r="52" spans="1:11" ht="16" thickBot="1" x14ac:dyDescent="0.25">
      <c r="A52" s="15" t="str">
        <f t="shared" si="8"/>
        <v>texas</v>
      </c>
      <c r="B52" s="35">
        <v>10</v>
      </c>
      <c r="C52" s="39">
        <f t="shared" ref="C52:I52" si="12">$D45+C$47*ABS($E45-$D45)/7</f>
        <v>60751.416000000005</v>
      </c>
      <c r="D52" s="39">
        <f t="shared" si="12"/>
        <v>121502.83200000001</v>
      </c>
      <c r="E52" s="39">
        <f t="shared" si="12"/>
        <v>182254.24799999999</v>
      </c>
      <c r="F52" s="39">
        <f t="shared" si="12"/>
        <v>243005.66400000002</v>
      </c>
      <c r="G52" s="39">
        <f t="shared" si="12"/>
        <v>303757.08</v>
      </c>
      <c r="H52" s="39">
        <f t="shared" si="12"/>
        <v>364508.49599999998</v>
      </c>
      <c r="I52" s="40">
        <f t="shared" si="12"/>
        <v>425259.91200000001</v>
      </c>
      <c r="J52" s="39"/>
      <c r="K52" s="35"/>
    </row>
    <row r="54" spans="1:11" x14ac:dyDescent="0.2">
      <c r="A54" s="6"/>
      <c r="C54" s="41"/>
      <c r="E54" s="41"/>
      <c r="G54" s="41"/>
      <c r="I54" s="41"/>
      <c r="K54" s="41"/>
    </row>
    <row r="55" spans="1:11" ht="16" x14ac:dyDescent="0.2">
      <c r="B55" s="52"/>
      <c r="C55" s="35"/>
      <c r="D55" s="52"/>
      <c r="E55" s="35"/>
      <c r="F55" s="52"/>
      <c r="G55" s="35"/>
      <c r="H55" s="52"/>
      <c r="I55" s="35"/>
      <c r="J55" s="52"/>
      <c r="K55" s="35"/>
    </row>
    <row r="56" spans="1:11" ht="16" x14ac:dyDescent="0.2">
      <c r="B56" s="52"/>
      <c r="C56" s="35"/>
      <c r="D56" s="52"/>
      <c r="E56" s="35"/>
      <c r="F56" s="52"/>
      <c r="G56" s="35"/>
      <c r="H56" s="52"/>
      <c r="I56" s="35"/>
      <c r="J56" s="52"/>
      <c r="K56" s="35"/>
    </row>
    <row r="57" spans="1:11" ht="16" x14ac:dyDescent="0.2">
      <c r="B57" s="52"/>
      <c r="C57" s="35"/>
      <c r="D57" s="52"/>
      <c r="E57" s="35"/>
      <c r="F57" s="52"/>
      <c r="G57" s="35"/>
      <c r="H57" s="52"/>
      <c r="I57" s="35"/>
      <c r="J57" s="52"/>
      <c r="K57" s="35"/>
    </row>
    <row r="58" spans="1:11" ht="16" x14ac:dyDescent="0.2">
      <c r="B58" s="52"/>
      <c r="C58" s="35"/>
      <c r="D58" s="52"/>
      <c r="E58" s="35"/>
      <c r="F58" s="52"/>
      <c r="G58" s="35"/>
      <c r="H58" s="52"/>
      <c r="I58" s="35"/>
      <c r="J58" s="52"/>
      <c r="K58" s="35"/>
    </row>
    <row r="59" spans="1:11" ht="16" x14ac:dyDescent="0.2">
      <c r="B59" s="52"/>
      <c r="C59" s="35"/>
      <c r="D59" s="52"/>
      <c r="E59" s="35"/>
      <c r="F59" s="52"/>
      <c r="G59" s="35"/>
      <c r="H59" s="52"/>
      <c r="I59" s="35"/>
      <c r="J59" s="52"/>
      <c r="K59" s="35"/>
    </row>
    <row r="61" spans="1:11" x14ac:dyDescent="0.2">
      <c r="A61" s="6"/>
      <c r="C61" s="41"/>
      <c r="E61" s="41"/>
      <c r="G61" s="41"/>
      <c r="I61" s="41"/>
      <c r="K61" s="41"/>
    </row>
    <row r="62" spans="1:11" x14ac:dyDescent="0.2"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pans="1:11" x14ac:dyDescent="0.2"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pans="1:11" x14ac:dyDescent="0.2"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pans="1:11" x14ac:dyDescent="0.2"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pans="1:11" x14ac:dyDescent="0.2"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8" spans="1:11" x14ac:dyDescent="0.2">
      <c r="A68" s="6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pans="1:11" x14ac:dyDescent="0.2"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pans="1:11" x14ac:dyDescent="0.2"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pans="1:11" x14ac:dyDescent="0.2"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pans="1:11" x14ac:dyDescent="0.2"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x14ac:dyDescent="0.2"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5" spans="1:11" x14ac:dyDescent="0.2">
      <c r="A75" s="6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pans="1:11" ht="16" x14ac:dyDescent="0.2">
      <c r="B76" s="52"/>
      <c r="C76" s="35"/>
      <c r="D76" s="52"/>
      <c r="E76" s="35"/>
      <c r="F76" s="52"/>
      <c r="G76" s="35"/>
      <c r="H76" s="52"/>
      <c r="I76" s="35"/>
      <c r="J76" s="52"/>
      <c r="K76" s="35"/>
    </row>
    <row r="77" spans="1:11" ht="16" x14ac:dyDescent="0.2">
      <c r="B77" s="52"/>
      <c r="C77" s="35"/>
      <c r="D77" s="52"/>
      <c r="E77" s="35"/>
      <c r="F77" s="52"/>
      <c r="G77" s="35"/>
      <c r="H77" s="52"/>
      <c r="I77" s="35"/>
      <c r="J77" s="52"/>
      <c r="K77" s="35"/>
    </row>
    <row r="78" spans="1:11" ht="16" x14ac:dyDescent="0.2">
      <c r="B78" s="52"/>
      <c r="C78" s="35"/>
      <c r="D78" s="52"/>
      <c r="E78" s="35"/>
      <c r="F78" s="52"/>
      <c r="G78" s="35"/>
      <c r="H78" s="52"/>
      <c r="I78" s="35"/>
      <c r="J78" s="52"/>
      <c r="K78" s="35"/>
    </row>
    <row r="79" spans="1:11" ht="16" x14ac:dyDescent="0.2">
      <c r="B79" s="52"/>
      <c r="C79" s="35"/>
      <c r="D79" s="52"/>
      <c r="E79" s="35"/>
      <c r="F79" s="52"/>
      <c r="G79" s="35"/>
      <c r="H79" s="52"/>
      <c r="I79" s="35"/>
      <c r="J79" s="52"/>
      <c r="K79" s="35"/>
    </row>
    <row r="80" spans="1:11" ht="16" x14ac:dyDescent="0.2">
      <c r="B80" s="52"/>
      <c r="C80" s="35"/>
      <c r="D80" s="52"/>
      <c r="E80" s="35"/>
      <c r="F80" s="52"/>
      <c r="G80" s="35"/>
      <c r="H80" s="52"/>
      <c r="I80" s="35"/>
      <c r="J80" s="52"/>
      <c r="K80" s="35"/>
    </row>
    <row r="81" spans="4:4" ht="16" x14ac:dyDescent="0.2">
      <c r="D81" s="53"/>
    </row>
  </sheetData>
  <mergeCells count="10">
    <mergeCell ref="L39:M39"/>
    <mergeCell ref="A12:A13"/>
    <mergeCell ref="B12:B13"/>
    <mergeCell ref="C12:D12"/>
    <mergeCell ref="E12:F12"/>
    <mergeCell ref="G12:H12"/>
    <mergeCell ref="D39:E39"/>
    <mergeCell ref="F39:G39"/>
    <mergeCell ref="H39:I39"/>
    <mergeCell ref="J39:K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209A-BEA9-AB4B-86E6-9CDE887F0EBC}">
  <dimension ref="A1:L10"/>
  <sheetViews>
    <sheetView workbookViewId="0">
      <selection activeCell="L15" sqref="L15"/>
    </sheetView>
  </sheetViews>
  <sheetFormatPr baseColWidth="10" defaultRowHeight="15" x14ac:dyDescent="0.2"/>
  <sheetData>
    <row r="1" spans="1:12" x14ac:dyDescent="0.2">
      <c r="A1" t="s">
        <v>228</v>
      </c>
      <c r="B1" t="s">
        <v>230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2">
      <c r="A2" t="s">
        <v>226</v>
      </c>
      <c r="B2">
        <v>60</v>
      </c>
      <c r="C2" s="35">
        <f>Boundaries!B24</f>
        <v>-705.1</v>
      </c>
      <c r="D2" s="35">
        <f>Boundaries!C24</f>
        <v>-636.21111111111111</v>
      </c>
      <c r="E2" s="35">
        <f>Boundaries!D24</f>
        <v>-567.32222222222231</v>
      </c>
      <c r="F2" s="35">
        <f>Boundaries!E24</f>
        <v>-498.43333333333339</v>
      </c>
      <c r="G2" s="35">
        <f>Boundaries!F24</f>
        <v>-429.54444444444448</v>
      </c>
      <c r="H2" s="35">
        <f>Boundaries!G24</f>
        <v>-360.65555555555557</v>
      </c>
      <c r="I2" s="35">
        <f>Boundaries!H24</f>
        <v>-291.76666666666671</v>
      </c>
      <c r="J2" s="35">
        <f>Boundaries!I24</f>
        <v>-222.87777777777779</v>
      </c>
      <c r="K2" s="35">
        <f>Boundaries!J24</f>
        <v>-153.98888888888894</v>
      </c>
      <c r="L2" s="35">
        <f>Boundaries!K24</f>
        <v>-85.100000000000023</v>
      </c>
    </row>
    <row r="3" spans="1:12" x14ac:dyDescent="0.2">
      <c r="A3" t="s">
        <v>227</v>
      </c>
      <c r="B3">
        <v>60</v>
      </c>
      <c r="C3" s="35">
        <f>Boundaries!B32</f>
        <v>-17719.163</v>
      </c>
      <c r="D3" s="35">
        <f>Boundaries!C32</f>
        <v>-15987.985222222222</v>
      </c>
      <c r="E3" s="35">
        <f>Boundaries!D32</f>
        <v>-14256.807444444445</v>
      </c>
      <c r="F3" s="35">
        <f>Boundaries!E32</f>
        <v>-12525.629666666668</v>
      </c>
      <c r="G3" s="35">
        <f>Boundaries!F32</f>
        <v>-10794.451888888889</v>
      </c>
      <c r="H3" s="35">
        <f>Boundaries!G32</f>
        <v>-9063.2741111111118</v>
      </c>
      <c r="I3" s="35">
        <f>Boundaries!H32</f>
        <v>-7332.096333333333</v>
      </c>
      <c r="J3" s="35">
        <f>Boundaries!I32</f>
        <v>-5600.9185555555559</v>
      </c>
      <c r="K3" s="35">
        <f>Boundaries!J32</f>
        <v>-3869.7407777777771</v>
      </c>
      <c r="L3" s="35">
        <f>Boundaries!K32</f>
        <v>-2138.5630000000019</v>
      </c>
    </row>
    <row r="4" spans="1:12" x14ac:dyDescent="0.2">
      <c r="A4" t="s">
        <v>229</v>
      </c>
      <c r="B4">
        <v>60</v>
      </c>
      <c r="C4" s="35">
        <v>10</v>
      </c>
      <c r="D4" s="35">
        <f>Boundaries!C48</f>
        <v>47251.101333333332</v>
      </c>
      <c r="E4" s="35">
        <f>Boundaries!D48</f>
        <v>94502.202666666664</v>
      </c>
      <c r="F4" s="35">
        <f>Boundaries!E48</f>
        <v>141753.304</v>
      </c>
      <c r="G4" s="35">
        <f>Boundaries!F48</f>
        <v>189004.40533333333</v>
      </c>
      <c r="H4" s="35">
        <f>Boundaries!G48</f>
        <v>236255.50666666668</v>
      </c>
      <c r="I4" s="35">
        <f>Boundaries!H48</f>
        <v>283506.60800000001</v>
      </c>
      <c r="J4" s="35">
        <f>Boundaries!I48</f>
        <v>330757.70933333336</v>
      </c>
      <c r="K4" s="35">
        <f>Boundaries!J48</f>
        <v>378008.81066666666</v>
      </c>
      <c r="L4" s="35">
        <f>Boundaries!K48</f>
        <v>425259.91200000001</v>
      </c>
    </row>
    <row r="5" spans="1:12" x14ac:dyDescent="0.2">
      <c r="A5" t="s">
        <v>226</v>
      </c>
      <c r="B5">
        <v>20</v>
      </c>
      <c r="C5" s="35">
        <f>Boundaries!B25</f>
        <v>-225.1</v>
      </c>
      <c r="D5" s="35">
        <f>Boundaries!C25</f>
        <v>-209.54444444444445</v>
      </c>
      <c r="E5" s="35">
        <f>Boundaries!D25</f>
        <v>-193.98888888888888</v>
      </c>
      <c r="F5" s="35">
        <f>Boundaries!E25</f>
        <v>-178.43333333333334</v>
      </c>
      <c r="G5" s="35">
        <f>Boundaries!F25</f>
        <v>-162.87777777777777</v>
      </c>
      <c r="H5" s="35">
        <f>Boundaries!G25</f>
        <v>-147.32222222222222</v>
      </c>
      <c r="I5" s="35">
        <f>Boundaries!H25</f>
        <v>-131.76666666666665</v>
      </c>
      <c r="J5" s="35">
        <f>Boundaries!I25</f>
        <v>-116.21111111111111</v>
      </c>
      <c r="K5" s="35">
        <f>Boundaries!J25</f>
        <v>-100.65555555555555</v>
      </c>
      <c r="L5" s="35">
        <f>Boundaries!K25</f>
        <v>-85.1</v>
      </c>
    </row>
    <row r="6" spans="1:12" x14ac:dyDescent="0.2">
      <c r="A6" t="s">
        <v>227</v>
      </c>
      <c r="B6">
        <v>20</v>
      </c>
      <c r="C6" s="35">
        <f>Boundaries!B33</f>
        <v>-5656.7629999999999</v>
      </c>
      <c r="D6" s="35">
        <f>Boundaries!C33</f>
        <v>-5265.8518888888884</v>
      </c>
      <c r="E6" s="35">
        <f>Boundaries!D33</f>
        <v>-4874.9407777777778</v>
      </c>
      <c r="F6" s="35">
        <f>Boundaries!E33</f>
        <v>-4484.0296666666663</v>
      </c>
      <c r="G6" s="35">
        <f>Boundaries!F33</f>
        <v>-4093.1185555555553</v>
      </c>
      <c r="H6" s="35">
        <f>Boundaries!G33</f>
        <v>-3702.2074444444443</v>
      </c>
      <c r="I6" s="35">
        <f>Boundaries!H33</f>
        <v>-3311.2963333333332</v>
      </c>
      <c r="J6" s="35">
        <f>Boundaries!I33</f>
        <v>-2920.3852222222222</v>
      </c>
      <c r="K6" s="35">
        <f>Boundaries!J33</f>
        <v>-2529.4741111111107</v>
      </c>
      <c r="L6" s="35">
        <f>Boundaries!K33</f>
        <v>-2138.5629999999996</v>
      </c>
    </row>
    <row r="7" spans="1:12" x14ac:dyDescent="0.2">
      <c r="A7" t="s">
        <v>229</v>
      </c>
      <c r="B7">
        <v>20</v>
      </c>
      <c r="C7" s="35">
        <v>10</v>
      </c>
      <c r="D7" s="35">
        <f>Boundaries!C55</f>
        <v>15084.701333333334</v>
      </c>
      <c r="E7" s="35">
        <f>Boundaries!D55</f>
        <v>30169.402666666669</v>
      </c>
      <c r="F7" s="35">
        <f>Boundaries!E55</f>
        <v>45254.103999999999</v>
      </c>
      <c r="G7" s="35">
        <f>Boundaries!F55</f>
        <v>60338.805333333337</v>
      </c>
      <c r="H7" s="35">
        <f>Boundaries!G55</f>
        <v>75423.506666666668</v>
      </c>
      <c r="I7" s="35">
        <f>Boundaries!H55</f>
        <v>90508.207999999999</v>
      </c>
      <c r="J7" s="35">
        <f>Boundaries!I55</f>
        <v>105592.90933333333</v>
      </c>
      <c r="K7" s="35">
        <f>Boundaries!J55</f>
        <v>120677.61066666667</v>
      </c>
      <c r="L7" s="35">
        <f>Boundaries!K55</f>
        <v>135762.31200000001</v>
      </c>
    </row>
    <row r="8" spans="1:12" x14ac:dyDescent="0.2">
      <c r="A8" t="s">
        <v>226</v>
      </c>
      <c r="B8">
        <v>100</v>
      </c>
      <c r="C8" s="35">
        <f>Boundaries!B28</f>
        <v>-985.1</v>
      </c>
      <c r="D8" s="35">
        <f>Boundaries!C28</f>
        <v>-885.1</v>
      </c>
      <c r="E8" s="35">
        <f>Boundaries!D28</f>
        <v>-785.1</v>
      </c>
      <c r="F8" s="35">
        <f>Boundaries!E28</f>
        <v>-685.1</v>
      </c>
      <c r="G8" s="35">
        <f>Boundaries!F28</f>
        <v>-585.1</v>
      </c>
      <c r="H8" s="35">
        <f>Boundaries!G28</f>
        <v>-485.1</v>
      </c>
      <c r="I8" s="35">
        <f>Boundaries!H28</f>
        <v>-385.1</v>
      </c>
      <c r="J8" s="35">
        <f>Boundaries!I28</f>
        <v>-285.10000000000002</v>
      </c>
      <c r="K8" s="35">
        <f>Boundaries!J28</f>
        <v>-185.10000000000002</v>
      </c>
      <c r="L8" s="35">
        <f>Boundaries!K28</f>
        <v>-85.100000000000023</v>
      </c>
    </row>
    <row r="9" spans="1:12" x14ac:dyDescent="0.2">
      <c r="A9" t="s">
        <v>227</v>
      </c>
      <c r="B9">
        <v>100</v>
      </c>
      <c r="C9" s="35">
        <f>Boundaries!B36</f>
        <v>-24755.562999999998</v>
      </c>
      <c r="D9" s="35">
        <f>Boundaries!C36</f>
        <v>-22242.562999999998</v>
      </c>
      <c r="E9" s="35">
        <f>Boundaries!D36</f>
        <v>-19729.562999999998</v>
      </c>
      <c r="F9" s="35">
        <f>Boundaries!E36</f>
        <v>-17216.562999999998</v>
      </c>
      <c r="G9" s="35">
        <f>Boundaries!F36</f>
        <v>-14703.562999999998</v>
      </c>
      <c r="H9" s="35">
        <f>Boundaries!G36</f>
        <v>-12190.562999999998</v>
      </c>
      <c r="I9" s="35">
        <f>Boundaries!H36</f>
        <v>-9677.5629999999983</v>
      </c>
      <c r="J9" s="35">
        <f>Boundaries!I36</f>
        <v>-7164.5629999999983</v>
      </c>
      <c r="K9" s="35">
        <f>Boundaries!J36</f>
        <v>-4651.5629999999983</v>
      </c>
      <c r="L9" s="35">
        <f>Boundaries!K36</f>
        <v>-2138.5629999999983</v>
      </c>
    </row>
    <row r="10" spans="1:12" x14ac:dyDescent="0.2">
      <c r="A10" t="s">
        <v>229</v>
      </c>
      <c r="B10">
        <v>100</v>
      </c>
      <c r="C10" s="35">
        <f>Boundaries!B76</f>
        <v>0</v>
      </c>
      <c r="D10" s="35">
        <f>Boundaries!C76</f>
        <v>66014.834666666662</v>
      </c>
      <c r="E10" s="35">
        <f>Boundaries!D76</f>
        <v>132029.66933333332</v>
      </c>
      <c r="F10" s="35">
        <f>Boundaries!E76</f>
        <v>198044.50399999999</v>
      </c>
      <c r="G10" s="35">
        <f>Boundaries!F76</f>
        <v>264059.33866666665</v>
      </c>
      <c r="H10" s="35">
        <f>Boundaries!G76</f>
        <v>330074.17333333334</v>
      </c>
      <c r="I10" s="35">
        <f>Boundaries!H76</f>
        <v>396089.00799999997</v>
      </c>
      <c r="J10" s="35">
        <f>Boundaries!I76</f>
        <v>462103.84266666666</v>
      </c>
      <c r="K10" s="35">
        <f>Boundaries!J76</f>
        <v>528118.6773333333</v>
      </c>
      <c r="L10" s="35">
        <f>Boundaries!K76</f>
        <v>594133.51199999999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F20-95C4-42A2-B03A-23B9DD4DBFA3}">
  <dimension ref="A1:M81"/>
  <sheetViews>
    <sheetView topLeftCell="A39" zoomScale="120" zoomScaleNormal="120" workbookViewId="0">
      <selection activeCell="I17" sqref="I17"/>
    </sheetView>
  </sheetViews>
  <sheetFormatPr baseColWidth="10" defaultColWidth="8.83203125" defaultRowHeight="15" x14ac:dyDescent="0.2"/>
  <cols>
    <col min="1" max="1" width="28.83203125" customWidth="1"/>
    <col min="2" max="2" width="21.33203125" customWidth="1"/>
    <col min="3" max="3" width="15.1640625" bestFit="1" customWidth="1"/>
    <col min="4" max="5" width="13.5" bestFit="1" customWidth="1"/>
    <col min="6" max="6" width="20" bestFit="1" customWidth="1"/>
    <col min="7" max="8" width="15.1640625" bestFit="1" customWidth="1"/>
    <col min="9" max="9" width="13.5" bestFit="1" customWidth="1"/>
    <col min="10" max="10" width="9" customWidth="1"/>
    <col min="11" max="11" width="13.6640625" customWidth="1"/>
    <col min="12" max="12" width="11.83203125" customWidth="1"/>
  </cols>
  <sheetData>
    <row r="1" spans="1:8" x14ac:dyDescent="0.2">
      <c r="A1" t="s">
        <v>96</v>
      </c>
      <c r="B1" t="s">
        <v>94</v>
      </c>
    </row>
    <row r="2" spans="1:8" x14ac:dyDescent="0.2">
      <c r="A2" t="s">
        <v>87</v>
      </c>
      <c r="B2" t="s">
        <v>97</v>
      </c>
    </row>
    <row r="3" spans="1:8" x14ac:dyDescent="0.2">
      <c r="A3" t="s">
        <v>95</v>
      </c>
    </row>
    <row r="4" spans="1:8" x14ac:dyDescent="0.2">
      <c r="A4" t="s">
        <v>84</v>
      </c>
      <c r="B4" t="s">
        <v>98</v>
      </c>
      <c r="C4" t="s">
        <v>28</v>
      </c>
    </row>
    <row r="5" spans="1:8" x14ac:dyDescent="0.2">
      <c r="A5" t="s">
        <v>99</v>
      </c>
      <c r="B5">
        <v>14.9</v>
      </c>
      <c r="C5" t="s">
        <v>66</v>
      </c>
    </row>
    <row r="6" spans="1:8" x14ac:dyDescent="0.2">
      <c r="A6" t="s">
        <v>132</v>
      </c>
      <c r="B6" s="2">
        <v>-9.9999999999999997E+199</v>
      </c>
      <c r="C6" t="s">
        <v>66</v>
      </c>
    </row>
    <row r="7" spans="1:8" x14ac:dyDescent="0.2">
      <c r="A7" t="s">
        <v>100</v>
      </c>
      <c r="B7" s="2">
        <v>-9.9999999999999997E+199</v>
      </c>
      <c r="C7" t="s">
        <v>66</v>
      </c>
    </row>
    <row r="8" spans="1:8" x14ac:dyDescent="0.2">
      <c r="A8" t="s">
        <v>101</v>
      </c>
      <c r="B8" s="2">
        <v>-9.9999999999999997E+199</v>
      </c>
      <c r="C8" t="s">
        <v>66</v>
      </c>
    </row>
    <row r="9" spans="1:8" x14ac:dyDescent="0.2">
      <c r="A9" t="s">
        <v>102</v>
      </c>
      <c r="B9" s="2">
        <v>-9.9999999999999997E+199</v>
      </c>
      <c r="C9" t="s">
        <v>66</v>
      </c>
    </row>
    <row r="10" spans="1:8" x14ac:dyDescent="0.2">
      <c r="B10" s="2"/>
    </row>
    <row r="11" spans="1:8" ht="16" thickBot="1" x14ac:dyDescent="0.25"/>
    <row r="12" spans="1:8" x14ac:dyDescent="0.2">
      <c r="A12" s="56" t="s">
        <v>185</v>
      </c>
      <c r="B12" s="58" t="s">
        <v>186</v>
      </c>
      <c r="C12" s="60" t="s">
        <v>187</v>
      </c>
      <c r="D12" s="60"/>
      <c r="E12" s="60" t="s">
        <v>188</v>
      </c>
      <c r="F12" s="61"/>
      <c r="G12" s="55"/>
      <c r="H12" s="55"/>
    </row>
    <row r="13" spans="1:8" x14ac:dyDescent="0.2">
      <c r="A13" s="57"/>
      <c r="B13" s="59"/>
      <c r="C13" t="s">
        <v>189</v>
      </c>
      <c r="D13" t="s">
        <v>190</v>
      </c>
      <c r="E13" t="s">
        <v>189</v>
      </c>
      <c r="F13" s="14" t="s">
        <v>190</v>
      </c>
    </row>
    <row r="14" spans="1:8" x14ac:dyDescent="0.2">
      <c r="A14" s="13" t="s">
        <v>195</v>
      </c>
      <c r="B14">
        <v>720</v>
      </c>
      <c r="C14">
        <f>MAX(-B14+$B$5, -1000+$B$5)</f>
        <v>-705.1</v>
      </c>
      <c r="D14">
        <f>-100+$B$5</f>
        <v>-85.1</v>
      </c>
      <c r="E14">
        <f>C14*25.13</f>
        <v>-17719.163</v>
      </c>
      <c r="F14" s="14">
        <f>D14*25.13</f>
        <v>-2138.5629999999996</v>
      </c>
    </row>
    <row r="15" spans="1:8" x14ac:dyDescent="0.2">
      <c r="A15" s="13" t="s">
        <v>209</v>
      </c>
      <c r="B15">
        <v>240</v>
      </c>
      <c r="C15">
        <f t="shared" ref="C15:C18" si="0">MAX(-B15+$B$5, -1000+$B$5)</f>
        <v>-225.1</v>
      </c>
      <c r="D15">
        <f t="shared" ref="D15:D18" si="1">-100+$B$5</f>
        <v>-85.1</v>
      </c>
      <c r="E15">
        <f t="shared" ref="E15:F15" si="2">C15*25.13</f>
        <v>-5656.7629999999999</v>
      </c>
      <c r="F15" s="14">
        <f t="shared" si="2"/>
        <v>-2138.5629999999996</v>
      </c>
    </row>
    <row r="16" spans="1:8" x14ac:dyDescent="0.2">
      <c r="A16" s="13" t="s">
        <v>210</v>
      </c>
      <c r="B16">
        <v>480</v>
      </c>
      <c r="C16">
        <f t="shared" si="0"/>
        <v>-465.1</v>
      </c>
      <c r="D16">
        <f t="shared" si="1"/>
        <v>-85.1</v>
      </c>
      <c r="E16">
        <f>C16*25.13</f>
        <v>-11687.963</v>
      </c>
      <c r="F16" s="14">
        <f>D16*25.13</f>
        <v>-2138.5629999999996</v>
      </c>
    </row>
    <row r="17" spans="1:11" x14ac:dyDescent="0.2">
      <c r="A17" s="13" t="s">
        <v>211</v>
      </c>
      <c r="B17">
        <v>960</v>
      </c>
      <c r="C17">
        <f t="shared" si="0"/>
        <v>-945.1</v>
      </c>
      <c r="D17">
        <f t="shared" si="1"/>
        <v>-85.1</v>
      </c>
      <c r="E17">
        <f t="shared" ref="E17:E18" si="3">C17*25.13</f>
        <v>-23750.363000000001</v>
      </c>
      <c r="F17" s="14">
        <f t="shared" ref="F17:F18" si="4">D17*25.13</f>
        <v>-2138.5629999999996</v>
      </c>
    </row>
    <row r="18" spans="1:11" ht="16" thickBot="1" x14ac:dyDescent="0.25">
      <c r="A18" s="15" t="s">
        <v>212</v>
      </c>
      <c r="B18" s="24">
        <v>1200</v>
      </c>
      <c r="C18" s="24">
        <f t="shared" si="0"/>
        <v>-985.1</v>
      </c>
      <c r="D18" s="24">
        <f t="shared" si="1"/>
        <v>-85.1</v>
      </c>
      <c r="E18" s="24">
        <f t="shared" si="3"/>
        <v>-24755.562999999998</v>
      </c>
      <c r="F18" s="17">
        <f t="shared" si="4"/>
        <v>-2138.5629999999996</v>
      </c>
    </row>
    <row r="20" spans="1:11" ht="16" x14ac:dyDescent="0.2">
      <c r="A20" s="49" t="s">
        <v>214</v>
      </c>
    </row>
    <row r="21" spans="1:11" ht="16" thickBot="1" x14ac:dyDescent="0.25"/>
    <row r="22" spans="1:11" ht="16" thickBot="1" x14ac:dyDescent="0.25">
      <c r="A22" s="63" t="s">
        <v>193</v>
      </c>
      <c r="B22" s="64"/>
      <c r="C22" s="64"/>
      <c r="D22" s="64"/>
      <c r="E22" s="64"/>
      <c r="F22" s="64"/>
      <c r="G22" s="64"/>
      <c r="H22" s="64"/>
      <c r="I22" s="64"/>
      <c r="J22" s="64"/>
      <c r="K22" s="65"/>
    </row>
    <row r="23" spans="1:11" x14ac:dyDescent="0.2">
      <c r="A23" s="45" t="s">
        <v>185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 s="14">
        <v>9</v>
      </c>
    </row>
    <row r="24" spans="1:11" ht="16" x14ac:dyDescent="0.2">
      <c r="A24" s="13" t="str">
        <f>A14</f>
        <v>Ref</v>
      </c>
      <c r="B24" s="48">
        <f>$C14+B$23*ABS($C14-$D14)/9</f>
        <v>-705.1</v>
      </c>
      <c r="C24" s="35">
        <f t="shared" ref="C24:K24" si="5">$C14+C$23*ABS($C14-$D14)/9</f>
        <v>-636.21111111111111</v>
      </c>
      <c r="D24" s="48">
        <f t="shared" si="5"/>
        <v>-567.32222222222231</v>
      </c>
      <c r="E24" s="35">
        <f t="shared" si="5"/>
        <v>-498.43333333333339</v>
      </c>
      <c r="F24" s="48">
        <f t="shared" si="5"/>
        <v>-429.54444444444448</v>
      </c>
      <c r="G24" s="35">
        <f t="shared" si="5"/>
        <v>-360.65555555555557</v>
      </c>
      <c r="H24" s="48">
        <f t="shared" si="5"/>
        <v>-291.76666666666671</v>
      </c>
      <c r="I24" s="35">
        <f t="shared" si="5"/>
        <v>-222.87777777777779</v>
      </c>
      <c r="J24" s="48">
        <f t="shared" si="5"/>
        <v>-153.98888888888894</v>
      </c>
      <c r="K24" s="38">
        <f t="shared" si="5"/>
        <v>-85.100000000000023</v>
      </c>
    </row>
    <row r="25" spans="1:11" ht="16" x14ac:dyDescent="0.2">
      <c r="A25" s="13" t="str">
        <f>A15</f>
        <v>20MWe</v>
      </c>
      <c r="B25" s="48">
        <f>$C15+B$23*ABS($C15-$D15)/9</f>
        <v>-225.1</v>
      </c>
      <c r="C25" s="35">
        <f t="shared" ref="C25:K25" si="6">$C15+C$23*ABS($C15-$D15)/9</f>
        <v>-209.54444444444445</v>
      </c>
      <c r="D25" s="48">
        <f t="shared" si="6"/>
        <v>-193.98888888888888</v>
      </c>
      <c r="E25" s="35">
        <f t="shared" si="6"/>
        <v>-178.43333333333334</v>
      </c>
      <c r="F25" s="48">
        <f t="shared" si="6"/>
        <v>-162.87777777777777</v>
      </c>
      <c r="G25" s="35">
        <f t="shared" si="6"/>
        <v>-147.32222222222222</v>
      </c>
      <c r="H25" s="48">
        <f t="shared" si="6"/>
        <v>-131.76666666666665</v>
      </c>
      <c r="I25" s="35">
        <f t="shared" si="6"/>
        <v>-116.21111111111111</v>
      </c>
      <c r="J25" s="48">
        <f t="shared" si="6"/>
        <v>-100.65555555555555</v>
      </c>
      <c r="K25" s="38">
        <f t="shared" si="6"/>
        <v>-85.1</v>
      </c>
    </row>
    <row r="26" spans="1:11" ht="16" x14ac:dyDescent="0.2">
      <c r="A26" s="13" t="str">
        <f>A16</f>
        <v>40MWe</v>
      </c>
      <c r="B26" s="48">
        <f>$C16+B$23*ABS($C16-$D16)/9</f>
        <v>-465.1</v>
      </c>
      <c r="C26" s="35">
        <f t="shared" ref="C26:K26" si="7">$C16+C$23*ABS($C16-$D16)/9</f>
        <v>-422.87777777777779</v>
      </c>
      <c r="D26" s="48">
        <f t="shared" si="7"/>
        <v>-380.65555555555557</v>
      </c>
      <c r="E26" s="35">
        <f t="shared" si="7"/>
        <v>-338.43333333333334</v>
      </c>
      <c r="F26" s="48">
        <f t="shared" si="7"/>
        <v>-296.21111111111111</v>
      </c>
      <c r="G26" s="35">
        <f t="shared" si="7"/>
        <v>-253.98888888888891</v>
      </c>
      <c r="H26" s="48">
        <f t="shared" si="7"/>
        <v>-211.76666666666668</v>
      </c>
      <c r="I26" s="35">
        <f t="shared" si="7"/>
        <v>-169.54444444444448</v>
      </c>
      <c r="J26" s="48">
        <f t="shared" si="7"/>
        <v>-127.32222222222225</v>
      </c>
      <c r="K26" s="38">
        <f t="shared" si="7"/>
        <v>-85.100000000000023</v>
      </c>
    </row>
    <row r="27" spans="1:11" ht="16" x14ac:dyDescent="0.2">
      <c r="A27" s="13" t="str">
        <f t="shared" ref="A27:A28" si="8">A17</f>
        <v>80MWe</v>
      </c>
      <c r="B27" s="48">
        <f>$C17+B$23*ABS($C17-$D17)/9</f>
        <v>-945.1</v>
      </c>
      <c r="C27" s="35">
        <f t="shared" ref="C27:K27" si="9">$C17+C$23*ABS($C17-$D17)/9</f>
        <v>-849.54444444444448</v>
      </c>
      <c r="D27" s="48">
        <f t="shared" si="9"/>
        <v>-753.98888888888894</v>
      </c>
      <c r="E27" s="35">
        <f t="shared" si="9"/>
        <v>-658.43333333333339</v>
      </c>
      <c r="F27" s="48">
        <f t="shared" si="9"/>
        <v>-562.87777777777774</v>
      </c>
      <c r="G27" s="35">
        <f t="shared" si="9"/>
        <v>-467.32222222222225</v>
      </c>
      <c r="H27" s="48">
        <f t="shared" si="9"/>
        <v>-371.76666666666665</v>
      </c>
      <c r="I27" s="35">
        <f t="shared" si="9"/>
        <v>-276.21111111111111</v>
      </c>
      <c r="J27" s="48">
        <f t="shared" si="9"/>
        <v>-180.65555555555557</v>
      </c>
      <c r="K27" s="38">
        <f t="shared" si="9"/>
        <v>-85.100000000000023</v>
      </c>
    </row>
    <row r="28" spans="1:11" ht="17" thickBot="1" x14ac:dyDescent="0.25">
      <c r="A28" s="15" t="str">
        <f t="shared" si="8"/>
        <v>100MWe</v>
      </c>
      <c r="B28" s="48">
        <f t="shared" ref="B28:K28" si="10">$C18+B$23*ABS($C18-$D18)/9</f>
        <v>-985.1</v>
      </c>
      <c r="C28" s="39">
        <f t="shared" si="10"/>
        <v>-885.1</v>
      </c>
      <c r="D28" s="48">
        <f t="shared" si="10"/>
        <v>-785.1</v>
      </c>
      <c r="E28" s="39">
        <f t="shared" si="10"/>
        <v>-685.1</v>
      </c>
      <c r="F28" s="48">
        <f t="shared" si="10"/>
        <v>-585.1</v>
      </c>
      <c r="G28" s="39">
        <f t="shared" si="10"/>
        <v>-485.1</v>
      </c>
      <c r="H28" s="48">
        <f t="shared" si="10"/>
        <v>-385.1</v>
      </c>
      <c r="I28" s="39">
        <f t="shared" si="10"/>
        <v>-285.10000000000002</v>
      </c>
      <c r="J28" s="48">
        <f t="shared" si="10"/>
        <v>-185.10000000000002</v>
      </c>
      <c r="K28" s="40">
        <f t="shared" si="10"/>
        <v>-85.100000000000023</v>
      </c>
    </row>
    <row r="29" spans="1:11" ht="16" thickBot="1" x14ac:dyDescent="0.25"/>
    <row r="30" spans="1:11" ht="16" thickBot="1" x14ac:dyDescent="0.25">
      <c r="A30" s="63" t="s">
        <v>194</v>
      </c>
      <c r="B30" s="64"/>
      <c r="C30" s="64"/>
      <c r="D30" s="64"/>
      <c r="E30" s="64"/>
      <c r="F30" s="64"/>
      <c r="G30" s="64"/>
      <c r="H30" s="64"/>
      <c r="I30" s="64"/>
      <c r="J30" s="64"/>
      <c r="K30" s="65"/>
    </row>
    <row r="31" spans="1:11" x14ac:dyDescent="0.2">
      <c r="A31" s="45" t="s">
        <v>185</v>
      </c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 s="14">
        <v>9</v>
      </c>
    </row>
    <row r="32" spans="1:11" ht="16" x14ac:dyDescent="0.2">
      <c r="A32" s="13" t="str">
        <f>A14</f>
        <v>Ref</v>
      </c>
      <c r="B32" s="48">
        <f t="shared" ref="B32:K32" si="11">$E14+B$31*ABS($E14-$F14)/9</f>
        <v>-17719.163</v>
      </c>
      <c r="C32" s="35">
        <f t="shared" si="11"/>
        <v>-15987.985222222222</v>
      </c>
      <c r="D32" s="48">
        <f t="shared" si="11"/>
        <v>-14256.807444444445</v>
      </c>
      <c r="E32" s="35">
        <f t="shared" si="11"/>
        <v>-12525.629666666668</v>
      </c>
      <c r="F32" s="48">
        <f t="shared" si="11"/>
        <v>-10794.451888888889</v>
      </c>
      <c r="G32" s="35">
        <f t="shared" si="11"/>
        <v>-9063.2741111111118</v>
      </c>
      <c r="H32" s="48">
        <f t="shared" si="11"/>
        <v>-7332.096333333333</v>
      </c>
      <c r="I32" s="35">
        <f t="shared" si="11"/>
        <v>-5600.9185555555559</v>
      </c>
      <c r="J32" s="48">
        <f t="shared" si="11"/>
        <v>-3869.7407777777771</v>
      </c>
      <c r="K32" s="38">
        <f t="shared" si="11"/>
        <v>-2138.5630000000019</v>
      </c>
    </row>
    <row r="33" spans="1:13" ht="16" x14ac:dyDescent="0.2">
      <c r="A33" s="13" t="str">
        <f>A15</f>
        <v>20MWe</v>
      </c>
      <c r="B33" s="48">
        <f t="shared" ref="B33:K33" si="12">$E15+B$31*ABS($E15-$F15)/9</f>
        <v>-5656.7629999999999</v>
      </c>
      <c r="C33" s="35">
        <f t="shared" si="12"/>
        <v>-5265.8518888888884</v>
      </c>
      <c r="D33" s="48">
        <f t="shared" si="12"/>
        <v>-4874.9407777777778</v>
      </c>
      <c r="E33" s="35">
        <f t="shared" si="12"/>
        <v>-4484.0296666666663</v>
      </c>
      <c r="F33" s="48">
        <f t="shared" si="12"/>
        <v>-4093.1185555555553</v>
      </c>
      <c r="G33" s="35">
        <f t="shared" si="12"/>
        <v>-3702.2074444444443</v>
      </c>
      <c r="H33" s="48">
        <f t="shared" si="12"/>
        <v>-3311.2963333333332</v>
      </c>
      <c r="I33" s="35">
        <f t="shared" si="12"/>
        <v>-2920.3852222222222</v>
      </c>
      <c r="J33" s="48">
        <f t="shared" si="12"/>
        <v>-2529.4741111111107</v>
      </c>
      <c r="K33" s="38">
        <f t="shared" si="12"/>
        <v>-2138.5629999999996</v>
      </c>
      <c r="L33" s="35"/>
    </row>
    <row r="34" spans="1:13" ht="16" x14ac:dyDescent="0.2">
      <c r="A34" s="13" t="str">
        <f>A16</f>
        <v>40MWe</v>
      </c>
      <c r="B34" s="48">
        <f t="shared" ref="B34:K34" si="13">$E16+B$31*ABS($E16-$F16)/9</f>
        <v>-11687.963</v>
      </c>
      <c r="C34" s="35">
        <f t="shared" si="13"/>
        <v>-10626.918555555556</v>
      </c>
      <c r="D34" s="48">
        <f t="shared" si="13"/>
        <v>-9565.8741111111103</v>
      </c>
      <c r="E34" s="35">
        <f t="shared" si="13"/>
        <v>-8504.8296666666665</v>
      </c>
      <c r="F34" s="48">
        <f t="shared" si="13"/>
        <v>-7443.7852222222218</v>
      </c>
      <c r="G34" s="35">
        <f t="shared" si="13"/>
        <v>-6382.7407777777771</v>
      </c>
      <c r="H34" s="48">
        <f t="shared" si="13"/>
        <v>-5321.6963333333333</v>
      </c>
      <c r="I34" s="35">
        <f t="shared" si="13"/>
        <v>-4260.6518888888886</v>
      </c>
      <c r="J34" s="48">
        <f t="shared" si="13"/>
        <v>-3199.6074444444439</v>
      </c>
      <c r="K34" s="38">
        <f t="shared" si="13"/>
        <v>-2138.5630000000001</v>
      </c>
    </row>
    <row r="35" spans="1:13" ht="16" x14ac:dyDescent="0.2">
      <c r="A35" s="13" t="str">
        <f t="shared" ref="A35:A36" si="14">A17</f>
        <v>80MWe</v>
      </c>
      <c r="B35" s="48">
        <f t="shared" ref="B35:K35" si="15">$E17+B$31*ABS($E17-$F17)/9</f>
        <v>-23750.363000000001</v>
      </c>
      <c r="C35" s="35">
        <f t="shared" si="15"/>
        <v>-21349.051888888891</v>
      </c>
      <c r="D35" s="48">
        <f t="shared" si="15"/>
        <v>-18947.740777777777</v>
      </c>
      <c r="E35" s="35">
        <f t="shared" si="15"/>
        <v>-16546.429666666667</v>
      </c>
      <c r="F35" s="48">
        <f t="shared" si="15"/>
        <v>-14145.118555555555</v>
      </c>
      <c r="G35" s="35">
        <f t="shared" si="15"/>
        <v>-11743.807444444445</v>
      </c>
      <c r="H35" s="48">
        <f t="shared" si="15"/>
        <v>-9342.4963333333326</v>
      </c>
      <c r="I35" s="35">
        <f t="shared" si="15"/>
        <v>-6941.1852222222187</v>
      </c>
      <c r="J35" s="48">
        <f t="shared" si="15"/>
        <v>-4539.8741111111085</v>
      </c>
      <c r="K35" s="38">
        <f t="shared" si="15"/>
        <v>-2138.5629999999983</v>
      </c>
    </row>
    <row r="36" spans="1:13" ht="17" thickBot="1" x14ac:dyDescent="0.25">
      <c r="A36" s="15" t="str">
        <f t="shared" si="14"/>
        <v>100MWe</v>
      </c>
      <c r="B36" s="48">
        <f t="shared" ref="B36:K36" si="16">$E18+B$31*ABS($E18-$F18)/9</f>
        <v>-24755.562999999998</v>
      </c>
      <c r="C36" s="39">
        <f t="shared" si="16"/>
        <v>-22242.562999999998</v>
      </c>
      <c r="D36" s="48">
        <f t="shared" si="16"/>
        <v>-19729.562999999998</v>
      </c>
      <c r="E36" s="39">
        <f t="shared" si="16"/>
        <v>-17216.562999999998</v>
      </c>
      <c r="F36" s="48">
        <f t="shared" si="16"/>
        <v>-14703.562999999998</v>
      </c>
      <c r="G36" s="39">
        <f t="shared" si="16"/>
        <v>-12190.562999999998</v>
      </c>
      <c r="H36" s="48">
        <f t="shared" si="16"/>
        <v>-9677.5629999999983</v>
      </c>
      <c r="I36" s="39">
        <f t="shared" si="16"/>
        <v>-7164.5629999999983</v>
      </c>
      <c r="J36" s="48">
        <f t="shared" si="16"/>
        <v>-4651.5629999999983</v>
      </c>
      <c r="K36" s="40">
        <f t="shared" si="16"/>
        <v>-2138.5629999999983</v>
      </c>
    </row>
    <row r="37" spans="1:13" x14ac:dyDescent="0.2"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1:13" ht="16" thickBot="1" x14ac:dyDescent="0.25"/>
    <row r="39" spans="1:13" ht="16" thickBot="1" x14ac:dyDescent="0.25">
      <c r="A39" s="47" t="s">
        <v>198</v>
      </c>
      <c r="B39" s="30"/>
      <c r="C39" s="30"/>
      <c r="D39" s="62" t="str">
        <f>A14</f>
        <v>Ref</v>
      </c>
      <c r="E39" s="61"/>
      <c r="F39" s="62" t="str">
        <f>A15</f>
        <v>20MWe</v>
      </c>
      <c r="G39" s="61"/>
      <c r="H39" s="62" t="str">
        <f>A16</f>
        <v>40MWe</v>
      </c>
      <c r="I39" s="61"/>
      <c r="J39" s="62" t="str">
        <f>A35</f>
        <v>80MWe</v>
      </c>
      <c r="K39" s="61"/>
      <c r="L39" s="60" t="str">
        <f>A36</f>
        <v>100MWe</v>
      </c>
      <c r="M39" s="61"/>
    </row>
    <row r="40" spans="1:13" ht="16" thickBot="1" x14ac:dyDescent="0.25">
      <c r="A40" s="15" t="s">
        <v>199</v>
      </c>
      <c r="B40" s="42" t="s">
        <v>191</v>
      </c>
      <c r="C40" s="42" t="s">
        <v>192</v>
      </c>
      <c r="D40" s="15" t="s">
        <v>189</v>
      </c>
      <c r="E40" s="17" t="s">
        <v>190</v>
      </c>
      <c r="F40" s="15" t="s">
        <v>189</v>
      </c>
      <c r="G40" s="17" t="s">
        <v>190</v>
      </c>
      <c r="H40" s="15" t="s">
        <v>189</v>
      </c>
      <c r="I40" s="17" t="s">
        <v>190</v>
      </c>
      <c r="J40" s="15" t="s">
        <v>189</v>
      </c>
      <c r="K40" s="17" t="s">
        <v>190</v>
      </c>
      <c r="L40" s="24" t="s">
        <v>189</v>
      </c>
      <c r="M40" s="17" t="s">
        <v>190</v>
      </c>
    </row>
    <row r="41" spans="1:13" x14ac:dyDescent="0.2">
      <c r="A41" s="13" t="s">
        <v>178</v>
      </c>
      <c r="B41" s="41">
        <v>1</v>
      </c>
      <c r="C41" s="41">
        <v>934</v>
      </c>
      <c r="D41">
        <v>0</v>
      </c>
      <c r="E41" s="35">
        <f>ABS($E$14)*24</f>
        <v>425259.91200000001</v>
      </c>
      <c r="F41" s="35">
        <v>0</v>
      </c>
      <c r="G41" s="35">
        <f>ABS($E$15)*24*$B41</f>
        <v>135762.31200000001</v>
      </c>
      <c r="H41" s="35">
        <v>0</v>
      </c>
      <c r="I41" s="35">
        <f>ABS($E$16)*24*$B41</f>
        <v>280511.11199999996</v>
      </c>
      <c r="J41" s="35">
        <v>0</v>
      </c>
      <c r="K41" s="35">
        <f>ABS($E$17)*24*$B41</f>
        <v>570008.71200000006</v>
      </c>
      <c r="L41">
        <v>0</v>
      </c>
      <c r="M41" s="38">
        <f>ABS($E$18*24*$B41)</f>
        <v>594133.51199999999</v>
      </c>
    </row>
    <row r="42" spans="1:13" x14ac:dyDescent="0.2">
      <c r="A42" s="13" t="s">
        <v>183</v>
      </c>
      <c r="B42" s="41">
        <v>1</v>
      </c>
      <c r="C42" s="41">
        <v>4231</v>
      </c>
      <c r="D42">
        <v>0</v>
      </c>
      <c r="E42" s="35">
        <f t="shared" ref="E42:E45" si="17">ABS($E$14)*24</f>
        <v>425259.91200000001</v>
      </c>
      <c r="F42" s="35">
        <v>0</v>
      </c>
      <c r="G42" s="35">
        <f t="shared" ref="G42:G45" si="18">ABS($E$15)*24*$B42</f>
        <v>135762.31200000001</v>
      </c>
      <c r="H42" s="35">
        <v>0</v>
      </c>
      <c r="I42" s="35">
        <f t="shared" ref="I42:I45" si="19">ABS($E$16)*24*$B42</f>
        <v>280511.11199999996</v>
      </c>
      <c r="J42" s="35">
        <v>0</v>
      </c>
      <c r="K42" s="35">
        <f t="shared" ref="K42:K45" si="20">ABS($E$17)*24*$B42</f>
        <v>570008.71200000006</v>
      </c>
      <c r="L42">
        <v>0</v>
      </c>
      <c r="M42" s="38">
        <f t="shared" ref="M42:M45" si="21">ABS($E$18*24*$B42)</f>
        <v>594133.51199999999</v>
      </c>
    </row>
    <row r="43" spans="1:13" x14ac:dyDescent="0.2">
      <c r="A43" s="13" t="s">
        <v>179</v>
      </c>
      <c r="B43" s="41">
        <v>1</v>
      </c>
      <c r="C43" s="41">
        <v>934</v>
      </c>
      <c r="D43">
        <v>0</v>
      </c>
      <c r="E43" s="35">
        <f t="shared" si="17"/>
        <v>425259.91200000001</v>
      </c>
      <c r="F43" s="35">
        <v>0</v>
      </c>
      <c r="G43" s="35">
        <f t="shared" si="18"/>
        <v>135762.31200000001</v>
      </c>
      <c r="H43" s="35">
        <v>0</v>
      </c>
      <c r="I43" s="35">
        <f t="shared" si="19"/>
        <v>280511.11199999996</v>
      </c>
      <c r="J43" s="35">
        <v>0</v>
      </c>
      <c r="K43" s="35">
        <f t="shared" si="20"/>
        <v>570008.71200000006</v>
      </c>
      <c r="L43">
        <v>0</v>
      </c>
      <c r="M43" s="38">
        <f t="shared" si="21"/>
        <v>594133.51199999999</v>
      </c>
    </row>
    <row r="44" spans="1:13" x14ac:dyDescent="0.2">
      <c r="A44" s="13" t="s">
        <v>182</v>
      </c>
      <c r="B44" s="41">
        <v>1</v>
      </c>
      <c r="C44" s="41">
        <v>97</v>
      </c>
      <c r="D44">
        <v>0</v>
      </c>
      <c r="E44" s="35">
        <f t="shared" si="17"/>
        <v>425259.91200000001</v>
      </c>
      <c r="F44" s="35">
        <v>0</v>
      </c>
      <c r="G44" s="35">
        <f t="shared" si="18"/>
        <v>135762.31200000001</v>
      </c>
      <c r="H44" s="35">
        <v>0</v>
      </c>
      <c r="I44" s="35">
        <f t="shared" si="19"/>
        <v>280511.11199999996</v>
      </c>
      <c r="J44" s="35">
        <v>0</v>
      </c>
      <c r="K44" s="35">
        <f t="shared" si="20"/>
        <v>570008.71200000006</v>
      </c>
      <c r="L44">
        <v>0</v>
      </c>
      <c r="M44" s="38">
        <f t="shared" si="21"/>
        <v>594133.51199999999</v>
      </c>
    </row>
    <row r="45" spans="1:13" ht="16" thickBot="1" x14ac:dyDescent="0.25">
      <c r="A45" s="15" t="s">
        <v>180</v>
      </c>
      <c r="B45" s="42">
        <v>1</v>
      </c>
      <c r="C45" s="42">
        <v>8997</v>
      </c>
      <c r="D45" s="24">
        <v>0</v>
      </c>
      <c r="E45" s="35">
        <f t="shared" si="17"/>
        <v>425259.91200000001</v>
      </c>
      <c r="F45" s="39">
        <v>0</v>
      </c>
      <c r="G45" s="39">
        <f t="shared" si="18"/>
        <v>135762.31200000001</v>
      </c>
      <c r="H45" s="39">
        <v>0</v>
      </c>
      <c r="I45" s="39">
        <f t="shared" si="19"/>
        <v>280511.11199999996</v>
      </c>
      <c r="J45" s="39">
        <v>0</v>
      </c>
      <c r="K45" s="39">
        <f t="shared" si="20"/>
        <v>570008.71200000006</v>
      </c>
      <c r="L45" s="24">
        <v>0</v>
      </c>
      <c r="M45" s="40">
        <f t="shared" si="21"/>
        <v>594133.51199999999</v>
      </c>
    </row>
    <row r="46" spans="1:13" ht="16" thickBot="1" x14ac:dyDescent="0.25"/>
    <row r="47" spans="1:13" x14ac:dyDescent="0.2">
      <c r="A47" s="46" t="s">
        <v>213</v>
      </c>
      <c r="B47" s="30">
        <v>0</v>
      </c>
      <c r="C47" s="36">
        <v>1</v>
      </c>
      <c r="D47" s="30">
        <v>2</v>
      </c>
      <c r="E47" s="36">
        <v>3</v>
      </c>
      <c r="F47" s="30">
        <v>4</v>
      </c>
      <c r="G47" s="36">
        <v>5</v>
      </c>
      <c r="H47" s="30">
        <v>6</v>
      </c>
      <c r="I47" s="36">
        <v>7</v>
      </c>
      <c r="J47" s="30">
        <v>8</v>
      </c>
      <c r="K47" s="37">
        <v>9</v>
      </c>
    </row>
    <row r="48" spans="1:13" x14ac:dyDescent="0.2">
      <c r="A48" s="13" t="str">
        <f>A41</f>
        <v>illinois</v>
      </c>
      <c r="B48" s="35">
        <f>$D41+B$47*ABS($E41-$D41)/9</f>
        <v>0</v>
      </c>
      <c r="C48" s="35">
        <f>$D41+C$47*ABS($E41-$D41)/9</f>
        <v>47251.101333333332</v>
      </c>
      <c r="D48" s="35">
        <f t="shared" ref="D48:K48" si="22">$D41+D$47*ABS($E41-$D41)/9</f>
        <v>94502.202666666664</v>
      </c>
      <c r="E48" s="35">
        <f t="shared" si="22"/>
        <v>141753.304</v>
      </c>
      <c r="F48" s="35">
        <f t="shared" si="22"/>
        <v>189004.40533333333</v>
      </c>
      <c r="G48" s="35">
        <f t="shared" si="22"/>
        <v>236255.50666666668</v>
      </c>
      <c r="H48" s="35">
        <f t="shared" si="22"/>
        <v>283506.60800000001</v>
      </c>
      <c r="I48" s="35">
        <f t="shared" si="22"/>
        <v>330757.70933333336</v>
      </c>
      <c r="J48" s="35">
        <f t="shared" si="22"/>
        <v>378008.81066666666</v>
      </c>
      <c r="K48" s="38">
        <f t="shared" si="22"/>
        <v>425259.91200000001</v>
      </c>
    </row>
    <row r="49" spans="1:11" x14ac:dyDescent="0.2">
      <c r="A49" s="13" t="str">
        <f t="shared" ref="A49:A52" si="23">A42</f>
        <v>nebraska</v>
      </c>
      <c r="B49" s="35">
        <f t="shared" ref="B49:K52" si="24">$D42+B$47*ABS($E42-$D42)/9</f>
        <v>0</v>
      </c>
      <c r="C49" s="35">
        <f t="shared" si="24"/>
        <v>47251.101333333332</v>
      </c>
      <c r="D49" s="35">
        <f t="shared" si="24"/>
        <v>94502.202666666664</v>
      </c>
      <c r="E49" s="35">
        <f t="shared" si="24"/>
        <v>141753.304</v>
      </c>
      <c r="F49" s="35">
        <f t="shared" si="24"/>
        <v>189004.40533333333</v>
      </c>
      <c r="G49" s="35">
        <f t="shared" si="24"/>
        <v>236255.50666666668</v>
      </c>
      <c r="H49" s="35">
        <f t="shared" si="24"/>
        <v>283506.60800000001</v>
      </c>
      <c r="I49" s="35">
        <f t="shared" si="24"/>
        <v>330757.70933333336</v>
      </c>
      <c r="J49" s="35">
        <f t="shared" si="24"/>
        <v>378008.81066666666</v>
      </c>
      <c r="K49" s="38">
        <f t="shared" si="24"/>
        <v>425259.91200000001</v>
      </c>
    </row>
    <row r="50" spans="1:11" x14ac:dyDescent="0.2">
      <c r="A50" s="13" t="str">
        <f t="shared" si="23"/>
        <v>ohio</v>
      </c>
      <c r="B50" s="35">
        <f t="shared" si="24"/>
        <v>0</v>
      </c>
      <c r="C50" s="35">
        <f t="shared" si="24"/>
        <v>47251.101333333332</v>
      </c>
      <c r="D50" s="35">
        <f t="shared" si="24"/>
        <v>94502.202666666664</v>
      </c>
      <c r="E50" s="35">
        <f t="shared" si="24"/>
        <v>141753.304</v>
      </c>
      <c r="F50" s="35">
        <f t="shared" si="24"/>
        <v>189004.40533333333</v>
      </c>
      <c r="G50" s="35">
        <f t="shared" si="24"/>
        <v>236255.50666666668</v>
      </c>
      <c r="H50" s="35">
        <f t="shared" si="24"/>
        <v>283506.60800000001</v>
      </c>
      <c r="I50" s="35">
        <f t="shared" si="24"/>
        <v>330757.70933333336</v>
      </c>
      <c r="J50" s="35">
        <f t="shared" si="24"/>
        <v>378008.81066666666</v>
      </c>
      <c r="K50" s="38">
        <f t="shared" si="24"/>
        <v>425259.91200000001</v>
      </c>
    </row>
    <row r="51" spans="1:11" x14ac:dyDescent="0.2">
      <c r="A51" s="13" t="str">
        <f t="shared" si="23"/>
        <v>minnesota</v>
      </c>
      <c r="B51" s="35">
        <f>$D44+B$47*ABS($E44-$D44)/9</f>
        <v>0</v>
      </c>
      <c r="C51" s="35">
        <f t="shared" si="24"/>
        <v>47251.101333333332</v>
      </c>
      <c r="D51" s="35">
        <f t="shared" si="24"/>
        <v>94502.202666666664</v>
      </c>
      <c r="E51" s="35">
        <f t="shared" si="24"/>
        <v>141753.304</v>
      </c>
      <c r="F51" s="35">
        <f t="shared" si="24"/>
        <v>189004.40533333333</v>
      </c>
      <c r="G51" s="35">
        <f t="shared" si="24"/>
        <v>236255.50666666668</v>
      </c>
      <c r="H51" s="35">
        <f t="shared" si="24"/>
        <v>283506.60800000001</v>
      </c>
      <c r="I51" s="35">
        <f t="shared" si="24"/>
        <v>330757.70933333336</v>
      </c>
      <c r="J51" s="35">
        <f t="shared" si="24"/>
        <v>378008.81066666666</v>
      </c>
      <c r="K51" s="38">
        <f t="shared" si="24"/>
        <v>425259.91200000001</v>
      </c>
    </row>
    <row r="52" spans="1:11" ht="16" thickBot="1" x14ac:dyDescent="0.25">
      <c r="A52" s="15" t="str">
        <f t="shared" si="23"/>
        <v>texas</v>
      </c>
      <c r="B52" s="39">
        <f t="shared" si="24"/>
        <v>0</v>
      </c>
      <c r="C52" s="39">
        <f>$D45+C$47*ABS($E45-$D45)/9</f>
        <v>47251.101333333332</v>
      </c>
      <c r="D52" s="39">
        <f t="shared" si="24"/>
        <v>94502.202666666664</v>
      </c>
      <c r="E52" s="39">
        <f t="shared" si="24"/>
        <v>141753.304</v>
      </c>
      <c r="F52" s="39">
        <f t="shared" si="24"/>
        <v>189004.40533333333</v>
      </c>
      <c r="G52" s="39">
        <f t="shared" si="24"/>
        <v>236255.50666666668</v>
      </c>
      <c r="H52" s="39">
        <f t="shared" si="24"/>
        <v>283506.60800000001</v>
      </c>
      <c r="I52" s="39">
        <f t="shared" si="24"/>
        <v>330757.70933333336</v>
      </c>
      <c r="J52" s="39">
        <f t="shared" si="24"/>
        <v>378008.81066666666</v>
      </c>
      <c r="K52" s="40">
        <f t="shared" si="24"/>
        <v>425259.91200000001</v>
      </c>
    </row>
    <row r="53" spans="1:11" ht="16" thickBot="1" x14ac:dyDescent="0.25"/>
    <row r="54" spans="1:11" x14ac:dyDescent="0.2">
      <c r="A54" s="46" t="str">
        <f>F39</f>
        <v>20MWe</v>
      </c>
      <c r="B54" s="30">
        <v>0</v>
      </c>
      <c r="C54" s="36">
        <v>1</v>
      </c>
      <c r="D54" s="30">
        <v>2</v>
      </c>
      <c r="E54" s="36">
        <v>3</v>
      </c>
      <c r="F54" s="30">
        <v>4</v>
      </c>
      <c r="G54" s="36">
        <v>5</v>
      </c>
      <c r="H54" s="30">
        <v>6</v>
      </c>
      <c r="I54" s="36">
        <v>7</v>
      </c>
      <c r="J54" s="30">
        <v>8</v>
      </c>
      <c r="K54" s="37">
        <v>9</v>
      </c>
    </row>
    <row r="55" spans="1:11" ht="16" x14ac:dyDescent="0.2">
      <c r="A55" s="13" t="str">
        <f>A48</f>
        <v>illinois</v>
      </c>
      <c r="B55" s="48">
        <f>$F41+B$47*ABS($G41-$F41)/9</f>
        <v>0</v>
      </c>
      <c r="C55" s="35">
        <f>$F41+C$47*ABS($G41-$F41)/9</f>
        <v>15084.701333333334</v>
      </c>
      <c r="D55" s="48">
        <f t="shared" ref="D55:K55" si="25">$F41+D$47*ABS($G41-$F41)/9</f>
        <v>30169.402666666669</v>
      </c>
      <c r="E55" s="35">
        <f t="shared" si="25"/>
        <v>45254.103999999999</v>
      </c>
      <c r="F55" s="48">
        <f t="shared" si="25"/>
        <v>60338.805333333337</v>
      </c>
      <c r="G55" s="35">
        <f t="shared" si="25"/>
        <v>75423.506666666668</v>
      </c>
      <c r="H55" s="48">
        <f t="shared" si="25"/>
        <v>90508.207999999999</v>
      </c>
      <c r="I55" s="35">
        <f t="shared" si="25"/>
        <v>105592.90933333333</v>
      </c>
      <c r="J55" s="48">
        <f t="shared" si="25"/>
        <v>120677.61066666667</v>
      </c>
      <c r="K55" s="38">
        <f t="shared" si="25"/>
        <v>135762.31200000001</v>
      </c>
    </row>
    <row r="56" spans="1:11" ht="16" x14ac:dyDescent="0.2">
      <c r="A56" s="13" t="str">
        <f t="shared" ref="A56:A59" si="26">A49</f>
        <v>nebraska</v>
      </c>
      <c r="B56" s="48">
        <f t="shared" ref="B56:K59" si="27">$F42+B$47*ABS($G42-$F42)/9</f>
        <v>0</v>
      </c>
      <c r="C56" s="35">
        <f t="shared" si="27"/>
        <v>15084.701333333334</v>
      </c>
      <c r="D56" s="48">
        <f t="shared" si="27"/>
        <v>30169.402666666669</v>
      </c>
      <c r="E56" s="35">
        <f t="shared" si="27"/>
        <v>45254.103999999999</v>
      </c>
      <c r="F56" s="48">
        <f t="shared" si="27"/>
        <v>60338.805333333337</v>
      </c>
      <c r="G56" s="35">
        <f t="shared" si="27"/>
        <v>75423.506666666668</v>
      </c>
      <c r="H56" s="48">
        <f t="shared" si="27"/>
        <v>90508.207999999999</v>
      </c>
      <c r="I56" s="35">
        <f t="shared" si="27"/>
        <v>105592.90933333333</v>
      </c>
      <c r="J56" s="48">
        <f t="shared" si="27"/>
        <v>120677.61066666667</v>
      </c>
      <c r="K56" s="38">
        <f t="shared" si="27"/>
        <v>135762.31200000001</v>
      </c>
    </row>
    <row r="57" spans="1:11" ht="16" x14ac:dyDescent="0.2">
      <c r="A57" s="13" t="str">
        <f t="shared" si="26"/>
        <v>ohio</v>
      </c>
      <c r="B57" s="48">
        <f t="shared" si="27"/>
        <v>0</v>
      </c>
      <c r="C57" s="35">
        <f t="shared" si="27"/>
        <v>15084.701333333334</v>
      </c>
      <c r="D57" s="48">
        <f t="shared" si="27"/>
        <v>30169.402666666669</v>
      </c>
      <c r="E57" s="35">
        <f t="shared" si="27"/>
        <v>45254.103999999999</v>
      </c>
      <c r="F57" s="48">
        <f t="shared" si="27"/>
        <v>60338.805333333337</v>
      </c>
      <c r="G57" s="35">
        <f t="shared" si="27"/>
        <v>75423.506666666668</v>
      </c>
      <c r="H57" s="48">
        <f t="shared" si="27"/>
        <v>90508.207999999999</v>
      </c>
      <c r="I57" s="35">
        <f t="shared" si="27"/>
        <v>105592.90933333333</v>
      </c>
      <c r="J57" s="48">
        <f t="shared" si="27"/>
        <v>120677.61066666667</v>
      </c>
      <c r="K57" s="38">
        <f t="shared" si="27"/>
        <v>135762.31200000001</v>
      </c>
    </row>
    <row r="58" spans="1:11" ht="16" x14ac:dyDescent="0.2">
      <c r="A58" s="13" t="str">
        <f t="shared" si="26"/>
        <v>minnesota</v>
      </c>
      <c r="B58" s="48">
        <f t="shared" si="27"/>
        <v>0</v>
      </c>
      <c r="C58" s="35">
        <f>$F44+C$47*ABS($G44-$F44)/9</f>
        <v>15084.701333333334</v>
      </c>
      <c r="D58" s="48">
        <f t="shared" si="27"/>
        <v>30169.402666666669</v>
      </c>
      <c r="E58" s="35">
        <f t="shared" si="27"/>
        <v>45254.103999999999</v>
      </c>
      <c r="F58" s="48">
        <f t="shared" si="27"/>
        <v>60338.805333333337</v>
      </c>
      <c r="G58" s="35">
        <f t="shared" si="27"/>
        <v>75423.506666666668</v>
      </c>
      <c r="H58" s="48">
        <f t="shared" si="27"/>
        <v>90508.207999999999</v>
      </c>
      <c r="I58" s="35">
        <f t="shared" si="27"/>
        <v>105592.90933333333</v>
      </c>
      <c r="J58" s="48">
        <f t="shared" si="27"/>
        <v>120677.61066666667</v>
      </c>
      <c r="K58" s="38">
        <f t="shared" si="27"/>
        <v>135762.31200000001</v>
      </c>
    </row>
    <row r="59" spans="1:11" ht="17" thickBot="1" x14ac:dyDescent="0.25">
      <c r="A59" s="15" t="str">
        <f t="shared" si="26"/>
        <v>texas</v>
      </c>
      <c r="B59" s="48">
        <f t="shared" si="27"/>
        <v>0</v>
      </c>
      <c r="C59" s="39">
        <f t="shared" si="27"/>
        <v>15084.701333333334</v>
      </c>
      <c r="D59" s="48">
        <f t="shared" si="27"/>
        <v>30169.402666666669</v>
      </c>
      <c r="E59" s="39">
        <f t="shared" si="27"/>
        <v>45254.103999999999</v>
      </c>
      <c r="F59" s="48">
        <f t="shared" si="27"/>
        <v>60338.805333333337</v>
      </c>
      <c r="G59" s="39">
        <f t="shared" si="27"/>
        <v>75423.506666666668</v>
      </c>
      <c r="H59" s="48">
        <f t="shared" si="27"/>
        <v>90508.207999999999</v>
      </c>
      <c r="I59" s="39">
        <f t="shared" si="27"/>
        <v>105592.90933333333</v>
      </c>
      <c r="J59" s="48">
        <f t="shared" si="27"/>
        <v>120677.61066666667</v>
      </c>
      <c r="K59" s="40">
        <f t="shared" si="27"/>
        <v>135762.31200000001</v>
      </c>
    </row>
    <row r="60" spans="1:11" ht="16" thickBot="1" x14ac:dyDescent="0.25"/>
    <row r="61" spans="1:11" x14ac:dyDescent="0.2">
      <c r="A61" s="46" t="str">
        <f>H39</f>
        <v>40MWe</v>
      </c>
      <c r="B61" s="30">
        <v>0</v>
      </c>
      <c r="C61" s="36">
        <v>1</v>
      </c>
      <c r="D61" s="30">
        <v>2</v>
      </c>
      <c r="E61" s="36">
        <v>3</v>
      </c>
      <c r="F61" s="30">
        <v>4</v>
      </c>
      <c r="G61" s="36">
        <v>5</v>
      </c>
      <c r="H61" s="30">
        <v>6</v>
      </c>
      <c r="I61" s="36">
        <v>7</v>
      </c>
      <c r="J61" s="30">
        <v>8</v>
      </c>
      <c r="K61" s="37">
        <v>9</v>
      </c>
    </row>
    <row r="62" spans="1:11" x14ac:dyDescent="0.2">
      <c r="A62" s="13" t="str">
        <f>A55</f>
        <v>illinois</v>
      </c>
      <c r="B62" s="35">
        <f>$H41+B$47*ABS($I41-$H41)/9</f>
        <v>0</v>
      </c>
      <c r="C62" s="35">
        <f t="shared" ref="C62:K62" si="28">$H41+C$47*ABS($I41-$H41)/9</f>
        <v>31167.901333333328</v>
      </c>
      <c r="D62" s="35">
        <f t="shared" si="28"/>
        <v>62335.802666666656</v>
      </c>
      <c r="E62" s="35">
        <f t="shared" si="28"/>
        <v>93503.703999999983</v>
      </c>
      <c r="F62" s="35">
        <f t="shared" si="28"/>
        <v>124671.60533333331</v>
      </c>
      <c r="G62" s="35">
        <f t="shared" si="28"/>
        <v>155839.50666666665</v>
      </c>
      <c r="H62" s="35">
        <f t="shared" si="28"/>
        <v>187007.40799999997</v>
      </c>
      <c r="I62" s="35">
        <f t="shared" si="28"/>
        <v>218175.30933333331</v>
      </c>
      <c r="J62" s="35">
        <f t="shared" si="28"/>
        <v>249343.21066666662</v>
      </c>
      <c r="K62" s="38">
        <f t="shared" si="28"/>
        <v>280511.11199999996</v>
      </c>
    </row>
    <row r="63" spans="1:11" x14ac:dyDescent="0.2">
      <c r="A63" s="13" t="str">
        <f t="shared" ref="A63:A66" si="29">A56</f>
        <v>nebraska</v>
      </c>
      <c r="B63" s="35">
        <f t="shared" ref="B63:K66" si="30">$H42+B$47*ABS($I42-$H42)/9</f>
        <v>0</v>
      </c>
      <c r="C63" s="35">
        <f t="shared" si="30"/>
        <v>31167.901333333328</v>
      </c>
      <c r="D63" s="35">
        <f t="shared" si="30"/>
        <v>62335.802666666656</v>
      </c>
      <c r="E63" s="35">
        <f t="shared" si="30"/>
        <v>93503.703999999983</v>
      </c>
      <c r="F63" s="35">
        <f t="shared" si="30"/>
        <v>124671.60533333331</v>
      </c>
      <c r="G63" s="35">
        <f t="shared" si="30"/>
        <v>155839.50666666665</v>
      </c>
      <c r="H63" s="35">
        <f t="shared" si="30"/>
        <v>187007.40799999997</v>
      </c>
      <c r="I63" s="35">
        <f t="shared" si="30"/>
        <v>218175.30933333331</v>
      </c>
      <c r="J63" s="35">
        <f t="shared" si="30"/>
        <v>249343.21066666662</v>
      </c>
      <c r="K63" s="38">
        <f t="shared" si="30"/>
        <v>280511.11199999996</v>
      </c>
    </row>
    <row r="64" spans="1:11" x14ac:dyDescent="0.2">
      <c r="A64" s="13" t="str">
        <f t="shared" si="29"/>
        <v>ohio</v>
      </c>
      <c r="B64" s="35">
        <f t="shared" si="30"/>
        <v>0</v>
      </c>
      <c r="C64" s="35">
        <f>$H43+C$47*ABS($I43-$H43)/9</f>
        <v>31167.901333333328</v>
      </c>
      <c r="D64" s="35">
        <f t="shared" si="30"/>
        <v>62335.802666666656</v>
      </c>
      <c r="E64" s="35">
        <f t="shared" si="30"/>
        <v>93503.703999999983</v>
      </c>
      <c r="F64" s="35">
        <f t="shared" si="30"/>
        <v>124671.60533333331</v>
      </c>
      <c r="G64" s="35">
        <f t="shared" si="30"/>
        <v>155839.50666666665</v>
      </c>
      <c r="H64" s="35">
        <f t="shared" si="30"/>
        <v>187007.40799999997</v>
      </c>
      <c r="I64" s="35">
        <f t="shared" si="30"/>
        <v>218175.30933333331</v>
      </c>
      <c r="J64" s="35">
        <f t="shared" si="30"/>
        <v>249343.21066666662</v>
      </c>
      <c r="K64" s="38">
        <f t="shared" si="30"/>
        <v>280511.11199999996</v>
      </c>
    </row>
    <row r="65" spans="1:11" x14ac:dyDescent="0.2">
      <c r="A65" s="13" t="str">
        <f t="shared" si="29"/>
        <v>minnesota</v>
      </c>
      <c r="B65" s="35">
        <f t="shared" si="30"/>
        <v>0</v>
      </c>
      <c r="C65" s="35">
        <f t="shared" si="30"/>
        <v>31167.901333333328</v>
      </c>
      <c r="D65" s="35">
        <f t="shared" si="30"/>
        <v>62335.802666666656</v>
      </c>
      <c r="E65" s="35">
        <f t="shared" si="30"/>
        <v>93503.703999999983</v>
      </c>
      <c r="F65" s="35">
        <f t="shared" si="30"/>
        <v>124671.60533333331</v>
      </c>
      <c r="G65" s="35">
        <f t="shared" si="30"/>
        <v>155839.50666666665</v>
      </c>
      <c r="H65" s="35">
        <f t="shared" si="30"/>
        <v>187007.40799999997</v>
      </c>
      <c r="I65" s="35">
        <f t="shared" si="30"/>
        <v>218175.30933333331</v>
      </c>
      <c r="J65" s="35">
        <f t="shared" si="30"/>
        <v>249343.21066666662</v>
      </c>
      <c r="K65" s="38">
        <f t="shared" si="30"/>
        <v>280511.11199999996</v>
      </c>
    </row>
    <row r="66" spans="1:11" ht="16" thickBot="1" x14ac:dyDescent="0.25">
      <c r="A66" s="15" t="str">
        <f t="shared" si="29"/>
        <v>texas</v>
      </c>
      <c r="B66" s="39">
        <f t="shared" si="30"/>
        <v>0</v>
      </c>
      <c r="C66" s="39">
        <f t="shared" si="30"/>
        <v>31167.901333333328</v>
      </c>
      <c r="D66" s="39">
        <f t="shared" si="30"/>
        <v>62335.802666666656</v>
      </c>
      <c r="E66" s="39">
        <f t="shared" si="30"/>
        <v>93503.703999999983</v>
      </c>
      <c r="F66" s="39">
        <f t="shared" si="30"/>
        <v>124671.60533333331</v>
      </c>
      <c r="G66" s="39">
        <f t="shared" si="30"/>
        <v>155839.50666666665</v>
      </c>
      <c r="H66" s="39">
        <f t="shared" si="30"/>
        <v>187007.40799999997</v>
      </c>
      <c r="I66" s="39">
        <f t="shared" si="30"/>
        <v>218175.30933333331</v>
      </c>
      <c r="J66" s="39">
        <f t="shared" si="30"/>
        <v>249343.21066666662</v>
      </c>
      <c r="K66" s="40">
        <f t="shared" si="30"/>
        <v>280511.11199999996</v>
      </c>
    </row>
    <row r="67" spans="1:11" ht="16" thickBot="1" x14ac:dyDescent="0.25"/>
    <row r="68" spans="1:11" x14ac:dyDescent="0.2">
      <c r="A68" s="46" t="str">
        <f>J39</f>
        <v>80MWe</v>
      </c>
      <c r="B68" s="43">
        <f>B47</f>
        <v>0</v>
      </c>
      <c r="C68" s="43">
        <f t="shared" ref="C68:K68" si="31">C47</f>
        <v>1</v>
      </c>
      <c r="D68" s="43">
        <f t="shared" si="31"/>
        <v>2</v>
      </c>
      <c r="E68" s="43">
        <f t="shared" si="31"/>
        <v>3</v>
      </c>
      <c r="F68" s="43">
        <f t="shared" si="31"/>
        <v>4</v>
      </c>
      <c r="G68" s="43">
        <f t="shared" si="31"/>
        <v>5</v>
      </c>
      <c r="H68" s="43">
        <f t="shared" si="31"/>
        <v>6</v>
      </c>
      <c r="I68" s="43">
        <f t="shared" si="31"/>
        <v>7</v>
      </c>
      <c r="J68" s="43">
        <f t="shared" si="31"/>
        <v>8</v>
      </c>
      <c r="K68" s="44">
        <f t="shared" si="31"/>
        <v>9</v>
      </c>
    </row>
    <row r="69" spans="1:11" x14ac:dyDescent="0.2">
      <c r="A69" s="13" t="str">
        <f>A41</f>
        <v>illinois</v>
      </c>
      <c r="B69" s="35">
        <f>$J41+B$47*ABS($K41-$J41)/9</f>
        <v>0</v>
      </c>
      <c r="C69" s="35">
        <f t="shared" ref="C69:K69" si="32">$J41+C$47*ABS($K41-$J41)/9</f>
        <v>63334.301333333337</v>
      </c>
      <c r="D69" s="35">
        <f t="shared" si="32"/>
        <v>126668.60266666667</v>
      </c>
      <c r="E69" s="35">
        <f t="shared" si="32"/>
        <v>190002.90400000001</v>
      </c>
      <c r="F69" s="35">
        <f t="shared" si="32"/>
        <v>253337.20533333335</v>
      </c>
      <c r="G69" s="35">
        <f t="shared" si="32"/>
        <v>316671.50666666671</v>
      </c>
      <c r="H69" s="35">
        <f t="shared" si="32"/>
        <v>380005.80800000002</v>
      </c>
      <c r="I69" s="35">
        <f t="shared" si="32"/>
        <v>443340.10933333333</v>
      </c>
      <c r="J69" s="35">
        <f t="shared" si="32"/>
        <v>506674.41066666669</v>
      </c>
      <c r="K69" s="38">
        <f t="shared" si="32"/>
        <v>570008.71200000006</v>
      </c>
    </row>
    <row r="70" spans="1:11" x14ac:dyDescent="0.2">
      <c r="A70" s="13" t="str">
        <f t="shared" ref="A70:A73" si="33">A42</f>
        <v>nebraska</v>
      </c>
      <c r="B70" s="35">
        <f t="shared" ref="B70:K70" si="34">$J42+B$47*ABS($K42-$J42)/9</f>
        <v>0</v>
      </c>
      <c r="C70" s="35">
        <f>$J42+C$47*ABS($K42-$J42)/9</f>
        <v>63334.301333333337</v>
      </c>
      <c r="D70" s="35">
        <f t="shared" si="34"/>
        <v>126668.60266666667</v>
      </c>
      <c r="E70" s="35">
        <f t="shared" si="34"/>
        <v>190002.90400000001</v>
      </c>
      <c r="F70" s="35">
        <f t="shared" si="34"/>
        <v>253337.20533333335</v>
      </c>
      <c r="G70" s="35">
        <f t="shared" si="34"/>
        <v>316671.50666666671</v>
      </c>
      <c r="H70" s="35">
        <f t="shared" si="34"/>
        <v>380005.80800000002</v>
      </c>
      <c r="I70" s="35">
        <f t="shared" si="34"/>
        <v>443340.10933333333</v>
      </c>
      <c r="J70" s="35">
        <f t="shared" si="34"/>
        <v>506674.41066666669</v>
      </c>
      <c r="K70" s="38">
        <f t="shared" si="34"/>
        <v>570008.71200000006</v>
      </c>
    </row>
    <row r="71" spans="1:11" x14ac:dyDescent="0.2">
      <c r="A71" s="13" t="str">
        <f t="shared" si="33"/>
        <v>ohio</v>
      </c>
      <c r="B71" s="35">
        <f t="shared" ref="B71:K71" si="35">$J43+B$47*ABS($K43-$J43)/9</f>
        <v>0</v>
      </c>
      <c r="C71" s="35">
        <f t="shared" si="35"/>
        <v>63334.301333333337</v>
      </c>
      <c r="D71" s="35">
        <f t="shared" si="35"/>
        <v>126668.60266666667</v>
      </c>
      <c r="E71" s="35">
        <f t="shared" si="35"/>
        <v>190002.90400000001</v>
      </c>
      <c r="F71" s="35">
        <f t="shared" si="35"/>
        <v>253337.20533333335</v>
      </c>
      <c r="G71" s="35">
        <f t="shared" si="35"/>
        <v>316671.50666666671</v>
      </c>
      <c r="H71" s="35">
        <f t="shared" si="35"/>
        <v>380005.80800000002</v>
      </c>
      <c r="I71" s="35">
        <f t="shared" si="35"/>
        <v>443340.10933333333</v>
      </c>
      <c r="J71" s="35">
        <f t="shared" si="35"/>
        <v>506674.41066666669</v>
      </c>
      <c r="K71" s="38">
        <f t="shared" si="35"/>
        <v>570008.71200000006</v>
      </c>
    </row>
    <row r="72" spans="1:11" x14ac:dyDescent="0.2">
      <c r="A72" s="13" t="str">
        <f t="shared" si="33"/>
        <v>minnesota</v>
      </c>
      <c r="B72" s="35">
        <f t="shared" ref="B72:K72" si="36">$J44+B$47*ABS($K44-$J44)/9</f>
        <v>0</v>
      </c>
      <c r="C72" s="35">
        <f t="shared" si="36"/>
        <v>63334.301333333337</v>
      </c>
      <c r="D72" s="35">
        <f t="shared" si="36"/>
        <v>126668.60266666667</v>
      </c>
      <c r="E72" s="35">
        <f t="shared" si="36"/>
        <v>190002.90400000001</v>
      </c>
      <c r="F72" s="35">
        <f>$J44+F$47*ABS($K44-$J44)/9</f>
        <v>253337.20533333335</v>
      </c>
      <c r="G72" s="35">
        <f t="shared" si="36"/>
        <v>316671.50666666671</v>
      </c>
      <c r="H72" s="35">
        <f t="shared" si="36"/>
        <v>380005.80800000002</v>
      </c>
      <c r="I72" s="35">
        <f t="shared" si="36"/>
        <v>443340.10933333333</v>
      </c>
      <c r="J72" s="35">
        <f t="shared" si="36"/>
        <v>506674.41066666669</v>
      </c>
      <c r="K72" s="38">
        <f t="shared" si="36"/>
        <v>570008.71200000006</v>
      </c>
    </row>
    <row r="73" spans="1:11" ht="16" thickBot="1" x14ac:dyDescent="0.25">
      <c r="A73" s="15" t="str">
        <f t="shared" si="33"/>
        <v>texas</v>
      </c>
      <c r="B73" s="39">
        <f t="shared" ref="B73:K73" si="37">$J45+B$47*ABS($K45-$J45)/9</f>
        <v>0</v>
      </c>
      <c r="C73" s="39">
        <f t="shared" si="37"/>
        <v>63334.301333333337</v>
      </c>
      <c r="D73" s="39">
        <f t="shared" si="37"/>
        <v>126668.60266666667</v>
      </c>
      <c r="E73" s="39">
        <f t="shared" si="37"/>
        <v>190002.90400000001</v>
      </c>
      <c r="F73" s="39">
        <f t="shared" si="37"/>
        <v>253337.20533333335</v>
      </c>
      <c r="G73" s="39">
        <f t="shared" si="37"/>
        <v>316671.50666666671</v>
      </c>
      <c r="H73" s="39">
        <f t="shared" si="37"/>
        <v>380005.80800000002</v>
      </c>
      <c r="I73" s="39">
        <f t="shared" si="37"/>
        <v>443340.10933333333</v>
      </c>
      <c r="J73" s="39">
        <f t="shared" si="37"/>
        <v>506674.41066666669</v>
      </c>
      <c r="K73" s="40">
        <f t="shared" si="37"/>
        <v>570008.71200000006</v>
      </c>
    </row>
    <row r="74" spans="1:11" ht="16" thickBot="1" x14ac:dyDescent="0.25"/>
    <row r="75" spans="1:11" x14ac:dyDescent="0.2">
      <c r="A75" s="46" t="str">
        <f>L39</f>
        <v>100MWe</v>
      </c>
      <c r="B75" s="43">
        <f>B47</f>
        <v>0</v>
      </c>
      <c r="C75" s="43">
        <f t="shared" ref="C75:K75" si="38">C47</f>
        <v>1</v>
      </c>
      <c r="D75" s="43">
        <f t="shared" si="38"/>
        <v>2</v>
      </c>
      <c r="E75" s="43">
        <f t="shared" si="38"/>
        <v>3</v>
      </c>
      <c r="F75" s="43">
        <f t="shared" si="38"/>
        <v>4</v>
      </c>
      <c r="G75" s="43">
        <f t="shared" si="38"/>
        <v>5</v>
      </c>
      <c r="H75" s="43">
        <f t="shared" si="38"/>
        <v>6</v>
      </c>
      <c r="I75" s="43">
        <f t="shared" si="38"/>
        <v>7</v>
      </c>
      <c r="J75" s="43">
        <f t="shared" si="38"/>
        <v>8</v>
      </c>
      <c r="K75" s="44">
        <f t="shared" si="38"/>
        <v>9</v>
      </c>
    </row>
    <row r="76" spans="1:11" ht="16" x14ac:dyDescent="0.2">
      <c r="A76" s="13" t="str">
        <f>A41</f>
        <v>illinois</v>
      </c>
      <c r="B76" s="48">
        <f>$L41+B$47*ABS($M41-$L41)/9</f>
        <v>0</v>
      </c>
      <c r="C76" s="35">
        <f t="shared" ref="C76:K76" si="39">$L41+C$47*ABS($M41-$L41)/9</f>
        <v>66014.834666666662</v>
      </c>
      <c r="D76" s="48">
        <f t="shared" si="39"/>
        <v>132029.66933333332</v>
      </c>
      <c r="E76" s="35">
        <f t="shared" si="39"/>
        <v>198044.50399999999</v>
      </c>
      <c r="F76" s="48">
        <f t="shared" si="39"/>
        <v>264059.33866666665</v>
      </c>
      <c r="G76" s="35">
        <f t="shared" si="39"/>
        <v>330074.17333333334</v>
      </c>
      <c r="H76" s="48">
        <f t="shared" si="39"/>
        <v>396089.00799999997</v>
      </c>
      <c r="I76" s="35">
        <f t="shared" si="39"/>
        <v>462103.84266666666</v>
      </c>
      <c r="J76" s="48">
        <f t="shared" si="39"/>
        <v>528118.6773333333</v>
      </c>
      <c r="K76" s="38">
        <f t="shared" si="39"/>
        <v>594133.51199999999</v>
      </c>
    </row>
    <row r="77" spans="1:11" ht="16" x14ac:dyDescent="0.2">
      <c r="A77" s="13" t="str">
        <f t="shared" ref="A77:A80" si="40">A42</f>
        <v>nebraska</v>
      </c>
      <c r="B77" s="48">
        <f t="shared" ref="B77:K77" si="41">$L42+B$47*ABS($M42-$L42)/9</f>
        <v>0</v>
      </c>
      <c r="C77" s="35">
        <f t="shared" si="41"/>
        <v>66014.834666666662</v>
      </c>
      <c r="D77" s="48">
        <f t="shared" si="41"/>
        <v>132029.66933333332</v>
      </c>
      <c r="E77" s="35">
        <f t="shared" si="41"/>
        <v>198044.50399999999</v>
      </c>
      <c r="F77" s="48">
        <f t="shared" si="41"/>
        <v>264059.33866666665</v>
      </c>
      <c r="G77" s="35">
        <f t="shared" si="41"/>
        <v>330074.17333333334</v>
      </c>
      <c r="H77" s="48">
        <f t="shared" si="41"/>
        <v>396089.00799999997</v>
      </c>
      <c r="I77" s="35">
        <f t="shared" si="41"/>
        <v>462103.84266666666</v>
      </c>
      <c r="J77" s="48">
        <f t="shared" si="41"/>
        <v>528118.6773333333</v>
      </c>
      <c r="K77" s="38">
        <f t="shared" si="41"/>
        <v>594133.51199999999</v>
      </c>
    </row>
    <row r="78" spans="1:11" ht="16" x14ac:dyDescent="0.2">
      <c r="A78" s="13" t="str">
        <f t="shared" si="40"/>
        <v>ohio</v>
      </c>
      <c r="B78" s="48">
        <f t="shared" ref="B78:K78" si="42">$L43+B$47*ABS($M43-$L43)/9</f>
        <v>0</v>
      </c>
      <c r="C78" s="35">
        <f t="shared" si="42"/>
        <v>66014.834666666662</v>
      </c>
      <c r="D78" s="48">
        <f t="shared" si="42"/>
        <v>132029.66933333332</v>
      </c>
      <c r="E78" s="35">
        <f t="shared" si="42"/>
        <v>198044.50399999999</v>
      </c>
      <c r="F78" s="48">
        <f t="shared" si="42"/>
        <v>264059.33866666665</v>
      </c>
      <c r="G78" s="35">
        <f t="shared" si="42"/>
        <v>330074.17333333334</v>
      </c>
      <c r="H78" s="48">
        <f t="shared" si="42"/>
        <v>396089.00799999997</v>
      </c>
      <c r="I78" s="35">
        <f t="shared" si="42"/>
        <v>462103.84266666666</v>
      </c>
      <c r="J78" s="48">
        <f t="shared" si="42"/>
        <v>528118.6773333333</v>
      </c>
      <c r="K78" s="38">
        <f t="shared" si="42"/>
        <v>594133.51199999999</v>
      </c>
    </row>
    <row r="79" spans="1:11" ht="16" x14ac:dyDescent="0.2">
      <c r="A79" s="13" t="str">
        <f t="shared" si="40"/>
        <v>minnesota</v>
      </c>
      <c r="B79" s="48">
        <f t="shared" ref="B79:K79" si="43">$L44+B$47*ABS($M44-$L44)/9</f>
        <v>0</v>
      </c>
      <c r="C79" s="35">
        <f t="shared" si="43"/>
        <v>66014.834666666662</v>
      </c>
      <c r="D79" s="48">
        <f t="shared" si="43"/>
        <v>132029.66933333332</v>
      </c>
      <c r="E79" s="35">
        <f t="shared" si="43"/>
        <v>198044.50399999999</v>
      </c>
      <c r="F79" s="48">
        <f t="shared" si="43"/>
        <v>264059.33866666665</v>
      </c>
      <c r="G79" s="35">
        <f t="shared" si="43"/>
        <v>330074.17333333334</v>
      </c>
      <c r="H79" s="48">
        <f t="shared" si="43"/>
        <v>396089.00799999997</v>
      </c>
      <c r="I79" s="35">
        <f t="shared" si="43"/>
        <v>462103.84266666666</v>
      </c>
      <c r="J79" s="48">
        <f t="shared" si="43"/>
        <v>528118.6773333333</v>
      </c>
      <c r="K79" s="38">
        <f t="shared" si="43"/>
        <v>594133.51199999999</v>
      </c>
    </row>
    <row r="80" spans="1:11" ht="17" thickBot="1" x14ac:dyDescent="0.25">
      <c r="A80" s="15" t="str">
        <f t="shared" si="40"/>
        <v>texas</v>
      </c>
      <c r="B80" s="48">
        <f t="shared" ref="B80:K80" si="44">$L45+B$47*ABS($M45-$L45)/9</f>
        <v>0</v>
      </c>
      <c r="C80" s="39">
        <f t="shared" si="44"/>
        <v>66014.834666666662</v>
      </c>
      <c r="D80" s="48">
        <f t="shared" si="44"/>
        <v>132029.66933333332</v>
      </c>
      <c r="E80" s="39">
        <f t="shared" si="44"/>
        <v>198044.50399999999</v>
      </c>
      <c r="F80" s="48">
        <f t="shared" si="44"/>
        <v>264059.33866666665</v>
      </c>
      <c r="G80" s="39">
        <f t="shared" si="44"/>
        <v>330074.17333333334</v>
      </c>
      <c r="H80" s="48">
        <f t="shared" si="44"/>
        <v>396089.00799999997</v>
      </c>
      <c r="I80" s="39">
        <f t="shared" si="44"/>
        <v>462103.84266666666</v>
      </c>
      <c r="J80" s="48">
        <f t="shared" si="44"/>
        <v>528118.6773333333</v>
      </c>
      <c r="K80" s="40">
        <f t="shared" si="44"/>
        <v>594133.51199999999</v>
      </c>
    </row>
    <row r="81" spans="4:4" ht="16" x14ac:dyDescent="0.2">
      <c r="D81" s="49"/>
    </row>
  </sheetData>
  <mergeCells count="12">
    <mergeCell ref="L39:M39"/>
    <mergeCell ref="A12:A13"/>
    <mergeCell ref="B12:B13"/>
    <mergeCell ref="C12:D12"/>
    <mergeCell ref="E12:F12"/>
    <mergeCell ref="G12:H12"/>
    <mergeCell ref="A22:K22"/>
    <mergeCell ref="A30:K30"/>
    <mergeCell ref="D39:E39"/>
    <mergeCell ref="F39:G39"/>
    <mergeCell ref="H39:I39"/>
    <mergeCell ref="J39:K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D785-0BD3-214B-94B7-2A4B796A3A87}">
  <dimension ref="A1:D10"/>
  <sheetViews>
    <sheetView zoomScale="120" zoomScaleNormal="120" workbookViewId="0">
      <selection activeCell="G12" sqref="G12"/>
    </sheetView>
  </sheetViews>
  <sheetFormatPr baseColWidth="10" defaultRowHeight="15" x14ac:dyDescent="0.2"/>
  <cols>
    <col min="1" max="1" width="16.83203125" bestFit="1" customWidth="1"/>
    <col min="2" max="2" width="16.83203125" customWidth="1"/>
    <col min="3" max="3" width="17.6640625" bestFit="1" customWidth="1"/>
    <col min="4" max="4" width="17.33203125" bestFit="1" customWidth="1"/>
  </cols>
  <sheetData>
    <row r="1" spans="1:4" x14ac:dyDescent="0.2">
      <c r="A1" t="s">
        <v>215</v>
      </c>
      <c r="C1">
        <v>720</v>
      </c>
    </row>
    <row r="2" spans="1:4" x14ac:dyDescent="0.2">
      <c r="A2" t="s">
        <v>216</v>
      </c>
      <c r="C2">
        <v>30</v>
      </c>
    </row>
    <row r="3" spans="1:4" x14ac:dyDescent="0.2">
      <c r="A3" t="s">
        <v>217</v>
      </c>
      <c r="C3">
        <v>25</v>
      </c>
      <c r="D3" t="s">
        <v>222</v>
      </c>
    </row>
    <row r="5" spans="1:4" x14ac:dyDescent="0.2">
      <c r="A5" t="s">
        <v>218</v>
      </c>
      <c r="C5">
        <v>5569000</v>
      </c>
    </row>
    <row r="7" spans="1:4" x14ac:dyDescent="0.2">
      <c r="A7" t="s">
        <v>219</v>
      </c>
      <c r="B7" t="s">
        <v>225</v>
      </c>
      <c r="C7" t="s">
        <v>220</v>
      </c>
      <c r="D7" t="s">
        <v>221</v>
      </c>
    </row>
    <row r="8" spans="1:4" x14ac:dyDescent="0.2">
      <c r="C8" t="s">
        <v>223</v>
      </c>
      <c r="D8" t="s">
        <v>224</v>
      </c>
    </row>
    <row r="9" spans="1:4" x14ac:dyDescent="0.2">
      <c r="B9" s="20">
        <v>0</v>
      </c>
      <c r="C9" s="34">
        <f>C2*C5*C1/100</f>
        <v>1202904000</v>
      </c>
      <c r="D9" s="34">
        <f>C3*C1*(365*24*10)</f>
        <v>1576800000</v>
      </c>
    </row>
    <row r="10" spans="1:4" x14ac:dyDescent="0.2">
      <c r="B10" s="20">
        <v>0.1</v>
      </c>
      <c r="C10" s="50">
        <f>C9</f>
        <v>1202904000</v>
      </c>
      <c r="D10" s="51">
        <f>C3*C1*(365*24)*(1-POWER(1/(1+B10),10))/(1-(1/(1+B10)))</f>
        <v>1065762875.3502659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8.6640625" style="1"/>
    <col min="2" max="2" width="85.6640625" bestFit="1" customWidth="1"/>
  </cols>
  <sheetData>
    <row r="1" spans="1:8" x14ac:dyDescent="0.2">
      <c r="A1" s="1" t="s">
        <v>11</v>
      </c>
      <c r="B1" t="s">
        <v>1</v>
      </c>
      <c r="C1" t="s">
        <v>10</v>
      </c>
    </row>
    <row r="2" spans="1:8" x14ac:dyDescent="0.2">
      <c r="A2" s="55" t="s">
        <v>2</v>
      </c>
      <c r="B2" s="55"/>
      <c r="C2" t="s">
        <v>4</v>
      </c>
      <c r="F2" t="s">
        <v>14</v>
      </c>
      <c r="G2" t="s">
        <v>4</v>
      </c>
      <c r="H2" t="s">
        <v>19</v>
      </c>
    </row>
    <row r="3" spans="1:8" x14ac:dyDescent="0.2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2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2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2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2">
      <c r="A7" s="1" t="s">
        <v>8</v>
      </c>
      <c r="B7" t="s">
        <v>21</v>
      </c>
      <c r="C7">
        <v>20</v>
      </c>
    </row>
    <row r="8" spans="1:8" x14ac:dyDescent="0.2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CEB-6613-41C3-AB8E-7E632C9D30FD}">
  <dimension ref="A1:H20"/>
  <sheetViews>
    <sheetView zoomScale="120" zoomScaleNormal="120" workbookViewId="0">
      <selection activeCell="C21" sqref="C21"/>
    </sheetView>
  </sheetViews>
  <sheetFormatPr baseColWidth="10" defaultColWidth="8.83203125" defaultRowHeight="15" x14ac:dyDescent="0.2"/>
  <cols>
    <col min="1" max="1" width="9.5" bestFit="1" customWidth="1"/>
    <col min="2" max="2" width="12.1640625" bestFit="1" customWidth="1"/>
    <col min="4" max="4" width="10.33203125" bestFit="1" customWidth="1"/>
  </cols>
  <sheetData>
    <row r="1" spans="1:8" x14ac:dyDescent="0.2">
      <c r="A1" t="s">
        <v>11</v>
      </c>
    </row>
    <row r="2" spans="1:8" x14ac:dyDescent="0.2">
      <c r="A2" t="s">
        <v>15</v>
      </c>
      <c r="B2" s="18" t="s">
        <v>92</v>
      </c>
    </row>
    <row r="3" spans="1:8" x14ac:dyDescent="0.2">
      <c r="A3" t="s">
        <v>17</v>
      </c>
      <c r="B3" s="18" t="s">
        <v>93</v>
      </c>
    </row>
    <row r="4" spans="1:8" x14ac:dyDescent="0.2">
      <c r="B4" s="18"/>
    </row>
    <row r="5" spans="1:8" x14ac:dyDescent="0.2">
      <c r="A5" s="55" t="s">
        <v>61</v>
      </c>
      <c r="B5" s="55"/>
      <c r="C5" s="55"/>
      <c r="D5" s="55"/>
      <c r="E5" s="55"/>
      <c r="F5" s="55"/>
      <c r="G5" s="55"/>
    </row>
    <row r="6" spans="1:8" x14ac:dyDescent="0.2">
      <c r="A6" s="55" t="s">
        <v>62</v>
      </c>
      <c r="B6" s="55"/>
      <c r="C6" s="55"/>
      <c r="D6" s="55"/>
      <c r="E6" s="55"/>
      <c r="F6" s="55"/>
      <c r="G6" s="55"/>
    </row>
    <row r="7" spans="1:8" x14ac:dyDescent="0.2">
      <c r="A7" t="s">
        <v>63</v>
      </c>
      <c r="B7">
        <v>1580</v>
      </c>
      <c r="C7" t="s">
        <v>67</v>
      </c>
      <c r="D7" s="3">
        <f>B7*1000/(24*3600)</f>
        <v>18.287037037037038</v>
      </c>
      <c r="E7" s="4" t="s">
        <v>72</v>
      </c>
      <c r="F7" s="5">
        <f>B7*1000/24</f>
        <v>65833.333333333328</v>
      </c>
      <c r="G7" t="s">
        <v>74</v>
      </c>
    </row>
    <row r="8" spans="1:8" x14ac:dyDescent="0.2">
      <c r="A8" t="s">
        <v>64</v>
      </c>
      <c r="B8">
        <v>255</v>
      </c>
      <c r="C8" t="s">
        <v>67</v>
      </c>
      <c r="D8" s="3">
        <f>B8*1000/(24*3600)</f>
        <v>2.9513888888888888</v>
      </c>
      <c r="E8" s="4" t="s">
        <v>72</v>
      </c>
      <c r="F8" s="5">
        <f>B8*1000/24</f>
        <v>10625</v>
      </c>
      <c r="G8" t="s">
        <v>74</v>
      </c>
    </row>
    <row r="9" spans="1:8" x14ac:dyDescent="0.2">
      <c r="A9" t="s">
        <v>65</v>
      </c>
      <c r="B9">
        <v>14.9</v>
      </c>
      <c r="C9" t="s">
        <v>66</v>
      </c>
      <c r="D9" s="2" t="s">
        <v>76</v>
      </c>
      <c r="E9" t="s">
        <v>77</v>
      </c>
      <c r="F9" s="2"/>
      <c r="H9" s="2"/>
    </row>
    <row r="10" spans="1:8" x14ac:dyDescent="0.2">
      <c r="A10" s="55" t="s">
        <v>68</v>
      </c>
      <c r="B10" s="55"/>
      <c r="C10" s="55"/>
      <c r="D10" s="55"/>
      <c r="E10" s="55"/>
      <c r="F10" s="55"/>
      <c r="G10" s="55"/>
    </row>
    <row r="11" spans="1:8" x14ac:dyDescent="0.2">
      <c r="A11" t="s">
        <v>69</v>
      </c>
      <c r="B11">
        <v>176</v>
      </c>
      <c r="C11" t="s">
        <v>67</v>
      </c>
      <c r="D11" s="3">
        <f>B11*1000/(24*3600)</f>
        <v>2.0370370370370372</v>
      </c>
      <c r="E11" s="4" t="s">
        <v>72</v>
      </c>
      <c r="F11" s="5">
        <f>B11*1000/24</f>
        <v>7333.333333333333</v>
      </c>
      <c r="G11" t="s">
        <v>74</v>
      </c>
    </row>
    <row r="12" spans="1:8" x14ac:dyDescent="0.2">
      <c r="A12" t="s">
        <v>70</v>
      </c>
      <c r="B12">
        <v>213</v>
      </c>
      <c r="C12" t="s">
        <v>67</v>
      </c>
      <c r="D12" s="3">
        <f t="shared" ref="D12:D13" si="0">B12*1000/(24*3600)</f>
        <v>2.4652777777777777</v>
      </c>
      <c r="E12" s="4" t="s">
        <v>72</v>
      </c>
      <c r="F12" s="5">
        <f t="shared" ref="F12:F13" si="1">B12*1000/24</f>
        <v>8875</v>
      </c>
      <c r="G12" t="s">
        <v>74</v>
      </c>
    </row>
    <row r="13" spans="1:8" x14ac:dyDescent="0.2">
      <c r="A13" t="s">
        <v>71</v>
      </c>
      <c r="B13">
        <v>118</v>
      </c>
      <c r="C13" t="s">
        <v>67</v>
      </c>
      <c r="D13" s="3">
        <f t="shared" si="0"/>
        <v>1.3657407407407407</v>
      </c>
      <c r="E13" s="4" t="s">
        <v>72</v>
      </c>
      <c r="F13" s="5">
        <f t="shared" si="1"/>
        <v>4916.666666666667</v>
      </c>
      <c r="G13" t="s">
        <v>74</v>
      </c>
    </row>
    <row r="15" spans="1:8" x14ac:dyDescent="0.2">
      <c r="A15" s="55" t="s">
        <v>17</v>
      </c>
      <c r="B15" s="55"/>
      <c r="C15" s="55"/>
      <c r="D15" s="55"/>
      <c r="E15" s="55"/>
      <c r="F15" s="55"/>
      <c r="G15" s="55"/>
    </row>
    <row r="16" spans="1:8" x14ac:dyDescent="0.2">
      <c r="A16" s="55" t="s">
        <v>62</v>
      </c>
      <c r="B16" s="55"/>
      <c r="C16" s="55"/>
    </row>
    <row r="17" spans="1:3" x14ac:dyDescent="0.2">
      <c r="A17" t="s">
        <v>65</v>
      </c>
      <c r="B17">
        <v>39.799999999999997</v>
      </c>
      <c r="C17" t="s">
        <v>73</v>
      </c>
    </row>
    <row r="18" spans="1:3" x14ac:dyDescent="0.2">
      <c r="A18" s="55" t="s">
        <v>68</v>
      </c>
      <c r="B18" s="55"/>
      <c r="C18" s="55"/>
    </row>
    <row r="19" spans="1:3" x14ac:dyDescent="0.2">
      <c r="A19" t="s">
        <v>64</v>
      </c>
      <c r="B19" s="6">
        <f>1/B17</f>
        <v>2.5125628140703519E-2</v>
      </c>
      <c r="C19" t="s">
        <v>75</v>
      </c>
    </row>
    <row r="20" spans="1:3" x14ac:dyDescent="0.2">
      <c r="B20">
        <f>B19*1000</f>
        <v>25.125628140703519</v>
      </c>
      <c r="C20" t="s">
        <v>131</v>
      </c>
    </row>
  </sheetData>
  <mergeCells count="6">
    <mergeCell ref="A16:C16"/>
    <mergeCell ref="A18:C18"/>
    <mergeCell ref="A6:G6"/>
    <mergeCell ref="A10:G10"/>
    <mergeCell ref="A5:G5"/>
    <mergeCell ref="A15:G15"/>
  </mergeCells>
  <hyperlinks>
    <hyperlink ref="B2" r:id="rId1" xr:uid="{D47EE4A2-649A-42B4-8738-DF2E48262124}"/>
    <hyperlink ref="B3" r:id="rId2" xr:uid="{49708E60-D8BD-48F2-8030-EEB685223FB9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6"/>
  <sheetViews>
    <sheetView workbookViewId="0">
      <selection activeCell="H35" sqref="H35"/>
    </sheetView>
  </sheetViews>
  <sheetFormatPr baseColWidth="10" defaultColWidth="8.83203125" defaultRowHeight="15" x14ac:dyDescent="0.2"/>
  <cols>
    <col min="1" max="1" width="29" bestFit="1" customWidth="1"/>
    <col min="2" max="2" width="15.33203125" customWidth="1"/>
    <col min="3" max="3" width="12.1640625" bestFit="1" customWidth="1"/>
  </cols>
  <sheetData>
    <row r="1" spans="1:3" ht="16" thickBot="1" x14ac:dyDescent="0.25">
      <c r="A1" t="s">
        <v>0</v>
      </c>
      <c r="B1" t="s">
        <v>24</v>
      </c>
    </row>
    <row r="2" spans="1:3" x14ac:dyDescent="0.2">
      <c r="A2" s="10" t="s">
        <v>26</v>
      </c>
      <c r="B2" s="11" t="s">
        <v>27</v>
      </c>
      <c r="C2" s="12" t="s">
        <v>28</v>
      </c>
    </row>
    <row r="3" spans="1:3" x14ac:dyDescent="0.2">
      <c r="A3" s="13" t="s">
        <v>25</v>
      </c>
      <c r="B3" s="9">
        <v>36.799999999999997</v>
      </c>
      <c r="C3" s="14" t="s">
        <v>29</v>
      </c>
    </row>
    <row r="4" spans="1:3" x14ac:dyDescent="0.2">
      <c r="A4" s="13"/>
      <c r="B4" s="9">
        <f>1/B3</f>
        <v>2.7173913043478264E-2</v>
      </c>
      <c r="C4" s="14" t="s">
        <v>79</v>
      </c>
    </row>
    <row r="5" spans="1:3" x14ac:dyDescent="0.2">
      <c r="A5" s="13" t="s">
        <v>30</v>
      </c>
      <c r="B5">
        <v>6.4</v>
      </c>
      <c r="C5" s="14" t="s">
        <v>31</v>
      </c>
    </row>
    <row r="6" spans="1:3" x14ac:dyDescent="0.2">
      <c r="A6" s="13" t="s">
        <v>36</v>
      </c>
      <c r="B6">
        <v>590</v>
      </c>
      <c r="C6" s="14" t="s">
        <v>33</v>
      </c>
    </row>
    <row r="7" spans="1:3" x14ac:dyDescent="0.2">
      <c r="A7" s="13" t="s">
        <v>37</v>
      </c>
      <c r="B7">
        <v>763</v>
      </c>
      <c r="C7" s="14" t="s">
        <v>33</v>
      </c>
    </row>
    <row r="8" spans="1:3" x14ac:dyDescent="0.2">
      <c r="A8" s="13" t="s">
        <v>32</v>
      </c>
      <c r="B8">
        <v>544</v>
      </c>
      <c r="C8" s="14" t="s">
        <v>33</v>
      </c>
    </row>
    <row r="9" spans="1:3" x14ac:dyDescent="0.2">
      <c r="A9" s="13" t="s">
        <v>35</v>
      </c>
      <c r="B9" s="9">
        <v>703</v>
      </c>
      <c r="C9" s="14" t="s">
        <v>33</v>
      </c>
    </row>
    <row r="10" spans="1:3" x14ac:dyDescent="0.2">
      <c r="A10" s="13" t="s">
        <v>38</v>
      </c>
      <c r="B10">
        <v>20</v>
      </c>
      <c r="C10" s="14" t="s">
        <v>39</v>
      </c>
    </row>
    <row r="11" spans="1:3" x14ac:dyDescent="0.2">
      <c r="A11" s="13" t="s">
        <v>40</v>
      </c>
      <c r="B11" s="9">
        <v>32.64</v>
      </c>
      <c r="C11" s="14" t="s">
        <v>41</v>
      </c>
    </row>
    <row r="12" spans="1:3" x14ac:dyDescent="0.2">
      <c r="A12" s="13" t="s">
        <v>42</v>
      </c>
      <c r="B12" s="9">
        <v>3.41</v>
      </c>
      <c r="C12" s="14" t="s">
        <v>43</v>
      </c>
    </row>
    <row r="13" spans="1:3" x14ac:dyDescent="0.2">
      <c r="A13" s="13" t="s">
        <v>44</v>
      </c>
      <c r="B13">
        <v>10</v>
      </c>
      <c r="C13" s="14" t="s">
        <v>45</v>
      </c>
    </row>
    <row r="14" spans="1:3" ht="16" thickBot="1" x14ac:dyDescent="0.25">
      <c r="A14" s="15" t="s">
        <v>46</v>
      </c>
      <c r="B14" s="16">
        <v>20</v>
      </c>
      <c r="C14" s="17" t="s">
        <v>39</v>
      </c>
    </row>
    <row r="16" spans="1:3" x14ac:dyDescent="0.2">
      <c r="A16" s="7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9D22-7A01-ED42-B8B2-84358A3D7717}">
  <dimension ref="A1:P25"/>
  <sheetViews>
    <sheetView zoomScale="120" zoomScaleNormal="120" workbookViewId="0">
      <selection activeCell="F10" sqref="F10"/>
    </sheetView>
  </sheetViews>
  <sheetFormatPr baseColWidth="10" defaultRowHeight="15" x14ac:dyDescent="0.2"/>
  <cols>
    <col min="1" max="1" width="24.1640625" bestFit="1" customWidth="1"/>
    <col min="2" max="2" width="31.6640625" customWidth="1"/>
    <col min="13" max="13" width="43.5" bestFit="1" customWidth="1"/>
    <col min="14" max="14" width="22.6640625" customWidth="1"/>
    <col min="15" max="15" width="18.6640625" customWidth="1"/>
    <col min="16" max="16" width="16.83203125" customWidth="1"/>
  </cols>
  <sheetData>
    <row r="1" spans="1:16" ht="16" thickBot="1" x14ac:dyDescent="0.25">
      <c r="A1" t="s">
        <v>103</v>
      </c>
      <c r="M1" t="s">
        <v>0</v>
      </c>
      <c r="N1" t="s">
        <v>80</v>
      </c>
    </row>
    <row r="2" spans="1:16" ht="16" thickBot="1" x14ac:dyDescent="0.25">
      <c r="A2" t="s">
        <v>11</v>
      </c>
      <c r="B2" t="s">
        <v>104</v>
      </c>
      <c r="M2" s="27" t="s">
        <v>26</v>
      </c>
      <c r="N2" s="25" t="s">
        <v>151</v>
      </c>
      <c r="O2" s="25" t="s">
        <v>27</v>
      </c>
      <c r="P2" s="26" t="s">
        <v>28</v>
      </c>
    </row>
    <row r="3" spans="1:16" ht="17" customHeight="1" x14ac:dyDescent="0.2">
      <c r="B3" s="8" t="s">
        <v>80</v>
      </c>
      <c r="M3" s="28" t="s">
        <v>152</v>
      </c>
      <c r="N3" t="s">
        <v>153</v>
      </c>
      <c r="O3" s="22">
        <v>257800644</v>
      </c>
      <c r="P3" s="14" t="s">
        <v>154</v>
      </c>
    </row>
    <row r="4" spans="1:16" x14ac:dyDescent="0.2">
      <c r="A4" t="s">
        <v>105</v>
      </c>
      <c r="M4" s="28" t="s">
        <v>155</v>
      </c>
      <c r="N4" t="s">
        <v>156</v>
      </c>
      <c r="O4" s="22">
        <v>5156012.88</v>
      </c>
      <c r="P4" s="14" t="s">
        <v>154</v>
      </c>
    </row>
    <row r="5" spans="1:16" x14ac:dyDescent="0.2">
      <c r="A5" t="s">
        <v>106</v>
      </c>
      <c r="B5">
        <v>2019</v>
      </c>
      <c r="H5" t="s">
        <v>124</v>
      </c>
      <c r="M5" s="28"/>
      <c r="N5" t="s">
        <v>157</v>
      </c>
      <c r="O5" s="22">
        <v>25780064.399999999</v>
      </c>
      <c r="P5" s="14" t="s">
        <v>154</v>
      </c>
    </row>
    <row r="6" spans="1:16" x14ac:dyDescent="0.2">
      <c r="A6" t="s">
        <v>107</v>
      </c>
      <c r="B6" t="s">
        <v>108</v>
      </c>
      <c r="H6" t="s">
        <v>125</v>
      </c>
      <c r="I6">
        <v>100</v>
      </c>
      <c r="J6">
        <v>400</v>
      </c>
      <c r="K6">
        <v>1000</v>
      </c>
      <c r="M6" s="28"/>
      <c r="N6" t="s">
        <v>158</v>
      </c>
      <c r="O6" s="22">
        <v>38670096.600000001</v>
      </c>
      <c r="P6" s="14" t="s">
        <v>154</v>
      </c>
    </row>
    <row r="7" spans="1:16" x14ac:dyDescent="0.2">
      <c r="A7" t="s">
        <v>109</v>
      </c>
      <c r="B7">
        <v>1.9E-2</v>
      </c>
      <c r="H7" t="s">
        <v>81</v>
      </c>
      <c r="I7">
        <v>68968000</v>
      </c>
      <c r="J7">
        <v>155155000</v>
      </c>
      <c r="K7">
        <v>293926000</v>
      </c>
      <c r="M7" s="28"/>
      <c r="N7" t="s">
        <v>159</v>
      </c>
      <c r="O7" s="22">
        <v>12251143</v>
      </c>
      <c r="P7" s="14" t="s">
        <v>154</v>
      </c>
    </row>
    <row r="8" spans="1:16" x14ac:dyDescent="0.2">
      <c r="A8" t="s">
        <v>110</v>
      </c>
      <c r="B8" t="s">
        <v>111</v>
      </c>
      <c r="H8" t="s">
        <v>82</v>
      </c>
      <c r="I8">
        <f>I6/J6</f>
        <v>0.25</v>
      </c>
      <c r="J8">
        <v>1</v>
      </c>
      <c r="K8">
        <f>K6/J6</f>
        <v>2.5</v>
      </c>
      <c r="M8" s="28"/>
      <c r="N8" t="s">
        <v>160</v>
      </c>
      <c r="O8" s="22">
        <v>38670096.600000001</v>
      </c>
      <c r="P8" s="14" t="s">
        <v>154</v>
      </c>
    </row>
    <row r="9" spans="1:16" x14ac:dyDescent="0.2">
      <c r="A9" t="s">
        <v>121</v>
      </c>
      <c r="B9" t="s">
        <v>122</v>
      </c>
      <c r="H9" t="s">
        <v>83</v>
      </c>
      <c r="I9">
        <f>LOG(I8)</f>
        <v>-0.6020599913279624</v>
      </c>
      <c r="J9">
        <f t="shared" ref="J9:K9" si="0">LOG(J8)</f>
        <v>0</v>
      </c>
      <c r="K9">
        <f t="shared" si="0"/>
        <v>0.3979400086720376</v>
      </c>
      <c r="M9" s="28" t="s">
        <v>161</v>
      </c>
      <c r="O9" s="22">
        <v>120527413.48</v>
      </c>
      <c r="P9" s="14" t="s">
        <v>154</v>
      </c>
    </row>
    <row r="10" spans="1:16" ht="16" thickBot="1" x14ac:dyDescent="0.25">
      <c r="H10" t="s">
        <v>126</v>
      </c>
      <c r="I10">
        <f>LOG(I7)</f>
        <v>7.8386476320849576</v>
      </c>
      <c r="J10">
        <f t="shared" ref="J10:K10" si="1">LOG(J7)</f>
        <v>8.1907657756496093</v>
      </c>
      <c r="K10">
        <f t="shared" si="1"/>
        <v>8.4682380044363352</v>
      </c>
      <c r="M10" s="28" t="s">
        <v>162</v>
      </c>
      <c r="N10" t="s">
        <v>163</v>
      </c>
      <c r="O10" s="22">
        <v>550360</v>
      </c>
      <c r="P10" s="14" t="s">
        <v>154</v>
      </c>
    </row>
    <row r="11" spans="1:16" ht="16" thickBot="1" x14ac:dyDescent="0.25">
      <c r="A11" s="27" t="s">
        <v>112</v>
      </c>
      <c r="B11" s="30"/>
      <c r="C11" s="30"/>
      <c r="D11" s="30"/>
      <c r="E11" s="31"/>
      <c r="M11" s="28" t="s">
        <v>81</v>
      </c>
      <c r="N11" t="s">
        <v>164</v>
      </c>
      <c r="O11" s="23">
        <v>378878417.48000002</v>
      </c>
      <c r="P11" s="14" t="s">
        <v>154</v>
      </c>
    </row>
    <row r="12" spans="1:16" x14ac:dyDescent="0.2">
      <c r="A12" s="13" t="s">
        <v>116</v>
      </c>
      <c r="B12" t="s">
        <v>117</v>
      </c>
      <c r="C12" t="s">
        <v>118</v>
      </c>
      <c r="D12" t="s">
        <v>0</v>
      </c>
      <c r="E12" s="14"/>
      <c r="M12" s="28" t="s">
        <v>165</v>
      </c>
      <c r="N12" t="s">
        <v>166</v>
      </c>
      <c r="O12" s="22">
        <v>9607972</v>
      </c>
      <c r="P12" s="14" t="s">
        <v>167</v>
      </c>
    </row>
    <row r="13" spans="1:16" x14ac:dyDescent="0.2">
      <c r="A13" s="13" t="s">
        <v>113</v>
      </c>
      <c r="B13" t="s">
        <v>114</v>
      </c>
      <c r="E13" s="14"/>
      <c r="M13" s="28" t="s">
        <v>168</v>
      </c>
      <c r="N13" t="s">
        <v>169</v>
      </c>
      <c r="O13" s="22">
        <v>1921594.4</v>
      </c>
      <c r="P13" s="14" t="s">
        <v>167</v>
      </c>
    </row>
    <row r="14" spans="1:16" x14ac:dyDescent="0.2">
      <c r="A14" s="13" t="s">
        <v>115</v>
      </c>
      <c r="B14">
        <v>10625</v>
      </c>
      <c r="C14" s="1" t="s">
        <v>119</v>
      </c>
      <c r="D14" t="s">
        <v>120</v>
      </c>
      <c r="E14" s="14"/>
      <c r="M14" s="28" t="s">
        <v>170</v>
      </c>
      <c r="N14" t="s">
        <v>171</v>
      </c>
      <c r="O14" s="22">
        <v>7577568.3499999996</v>
      </c>
      <c r="P14" s="14" t="s">
        <v>167</v>
      </c>
    </row>
    <row r="15" spans="1:16" x14ac:dyDescent="0.2">
      <c r="A15" s="13" t="s">
        <v>123</v>
      </c>
      <c r="B15">
        <f>155155000*(1+B7)</f>
        <v>158102945</v>
      </c>
      <c r="C15" s="1" t="s">
        <v>130</v>
      </c>
      <c r="E15" s="14"/>
      <c r="M15" s="28" t="s">
        <v>172</v>
      </c>
      <c r="O15" s="22">
        <v>1049006</v>
      </c>
      <c r="P15" s="14" t="s">
        <v>167</v>
      </c>
    </row>
    <row r="16" spans="1:16" x14ac:dyDescent="0.2">
      <c r="A16" s="13" t="s">
        <v>85</v>
      </c>
      <c r="B16">
        <v>0.626</v>
      </c>
      <c r="C16" s="1"/>
      <c r="E16" s="14"/>
      <c r="M16" s="28" t="s">
        <v>173</v>
      </c>
      <c r="O16" s="23">
        <v>20156140.75</v>
      </c>
      <c r="P16" s="14" t="s">
        <v>167</v>
      </c>
    </row>
    <row r="17" spans="1:16" x14ac:dyDescent="0.2">
      <c r="A17" s="13" t="s">
        <v>86</v>
      </c>
      <c r="B17">
        <v>20</v>
      </c>
      <c r="C17" s="1" t="s">
        <v>39</v>
      </c>
      <c r="E17" s="14"/>
      <c r="M17" s="28" t="s">
        <v>174</v>
      </c>
      <c r="O17" s="22">
        <v>7085933</v>
      </c>
      <c r="P17" s="14" t="s">
        <v>167</v>
      </c>
    </row>
    <row r="18" spans="1:16" ht="16" thickBot="1" x14ac:dyDescent="0.25">
      <c r="A18" s="13"/>
      <c r="E18" s="14"/>
      <c r="M18" s="28" t="s">
        <v>175</v>
      </c>
      <c r="O18" s="23">
        <v>7085933</v>
      </c>
      <c r="P18" s="14" t="s">
        <v>167</v>
      </c>
    </row>
    <row r="19" spans="1:16" ht="16" thickBot="1" x14ac:dyDescent="0.25">
      <c r="A19" s="27" t="s">
        <v>127</v>
      </c>
      <c r="B19" t="s">
        <v>128</v>
      </c>
      <c r="E19" s="14"/>
      <c r="M19" s="29" t="s">
        <v>176</v>
      </c>
      <c r="N19" s="24" t="s">
        <v>4</v>
      </c>
      <c r="O19" s="24">
        <v>20</v>
      </c>
      <c r="P19" s="17" t="s">
        <v>39</v>
      </c>
    </row>
    <row r="20" spans="1:16" x14ac:dyDescent="0.2">
      <c r="A20" s="13" t="s">
        <v>113</v>
      </c>
      <c r="B20">
        <v>1</v>
      </c>
      <c r="E20" s="14"/>
    </row>
    <row r="21" spans="1:16" x14ac:dyDescent="0.2">
      <c r="A21" s="13" t="s">
        <v>123</v>
      </c>
      <c r="B21" s="32">
        <f>POWER(1+B7,4)*O18</f>
        <v>7640007.3719816608</v>
      </c>
      <c r="E21" s="14"/>
    </row>
    <row r="22" spans="1:16" ht="16" thickBot="1" x14ac:dyDescent="0.25">
      <c r="A22" s="13"/>
      <c r="E22" s="14"/>
    </row>
    <row r="23" spans="1:16" ht="16" thickBot="1" x14ac:dyDescent="0.25">
      <c r="A23" s="27" t="s">
        <v>40</v>
      </c>
      <c r="E23" s="14"/>
    </row>
    <row r="24" spans="1:16" x14ac:dyDescent="0.2">
      <c r="A24" s="13" t="s">
        <v>113</v>
      </c>
      <c r="B24">
        <v>1</v>
      </c>
      <c r="E24" s="14"/>
    </row>
    <row r="25" spans="1:16" ht="16" thickBot="1" x14ac:dyDescent="0.25">
      <c r="A25" s="15" t="s">
        <v>123</v>
      </c>
      <c r="B25" s="33">
        <f>POWER(1+B7,4)*O16</f>
        <v>21732221.278510533</v>
      </c>
      <c r="C25" s="24" t="s">
        <v>129</v>
      </c>
      <c r="D25" s="24"/>
      <c r="E25" s="17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0.1640625" bestFit="1" customWidth="1"/>
    <col min="2" max="2" width="33.1640625" bestFit="1" customWidth="1"/>
  </cols>
  <sheetData>
    <row r="1" spans="1:3" x14ac:dyDescent="0.2">
      <c r="A1" t="s">
        <v>87</v>
      </c>
      <c r="B1" t="s">
        <v>91</v>
      </c>
    </row>
    <row r="2" spans="1:3" x14ac:dyDescent="0.2">
      <c r="A2" t="s">
        <v>47</v>
      </c>
    </row>
    <row r="3" spans="1:3" x14ac:dyDescent="0.2">
      <c r="A3" t="s">
        <v>48</v>
      </c>
      <c r="B3" t="s">
        <v>49</v>
      </c>
      <c r="C3" t="s">
        <v>51</v>
      </c>
    </row>
    <row r="4" spans="1:3" x14ac:dyDescent="0.2">
      <c r="A4" t="s">
        <v>55</v>
      </c>
      <c r="B4">
        <v>164.77</v>
      </c>
      <c r="C4">
        <v>1.395</v>
      </c>
    </row>
    <row r="5" spans="1:3" x14ac:dyDescent="0.2">
      <c r="A5" t="s">
        <v>54</v>
      </c>
      <c r="B5">
        <v>100</v>
      </c>
      <c r="C5">
        <v>1.395</v>
      </c>
    </row>
    <row r="6" spans="1:3" x14ac:dyDescent="0.2">
      <c r="A6" t="s">
        <v>53</v>
      </c>
      <c r="B6">
        <v>76.53</v>
      </c>
      <c r="C6">
        <v>1.395</v>
      </c>
    </row>
    <row r="7" spans="1:3" x14ac:dyDescent="0.2">
      <c r="A7" t="s">
        <v>52</v>
      </c>
      <c r="B7">
        <v>140</v>
      </c>
      <c r="C7">
        <v>1.395</v>
      </c>
    </row>
    <row r="8" spans="1:3" x14ac:dyDescent="0.2">
      <c r="A8" t="s">
        <v>90</v>
      </c>
      <c r="B8">
        <f>AVERAGE(B4:B7)</f>
        <v>120.32499999999999</v>
      </c>
    </row>
    <row r="10" spans="1:3" x14ac:dyDescent="0.2">
      <c r="A10" t="s">
        <v>89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88</v>
      </c>
    </row>
    <row r="14" spans="1:3" x14ac:dyDescent="0.2">
      <c r="A14" t="s">
        <v>50</v>
      </c>
      <c r="B14" t="s">
        <v>58</v>
      </c>
    </row>
    <row r="15" spans="1:3" x14ac:dyDescent="0.2">
      <c r="A15" t="s">
        <v>59</v>
      </c>
      <c r="B15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045A-41A7-AF40-95B6-DBF867B04F6F}">
  <dimension ref="A1:E10"/>
  <sheetViews>
    <sheetView workbookViewId="0">
      <selection activeCell="I12" sqref="I12"/>
    </sheetView>
  </sheetViews>
  <sheetFormatPr baseColWidth="10" defaultRowHeight="15" x14ac:dyDescent="0.2"/>
  <cols>
    <col min="1" max="1" width="20.6640625" bestFit="1" customWidth="1"/>
  </cols>
  <sheetData>
    <row r="1" spans="1:5" x14ac:dyDescent="0.2">
      <c r="A1" s="6" t="s">
        <v>177</v>
      </c>
      <c r="B1" s="6" t="s">
        <v>133</v>
      </c>
      <c r="C1" s="6" t="s">
        <v>134</v>
      </c>
      <c r="D1" s="6" t="s">
        <v>135</v>
      </c>
      <c r="E1" s="6" t="s">
        <v>149</v>
      </c>
    </row>
    <row r="2" spans="1:5" x14ac:dyDescent="0.2">
      <c r="A2" t="s">
        <v>178</v>
      </c>
      <c r="B2" t="s">
        <v>136</v>
      </c>
      <c r="C2" t="s">
        <v>137</v>
      </c>
      <c r="D2" s="21">
        <v>9.5000000000000001E-2</v>
      </c>
      <c r="E2" s="19">
        <f>$B$10+D2*(1-$B$10)</f>
        <v>0.28505000000000003</v>
      </c>
    </row>
    <row r="3" spans="1:5" x14ac:dyDescent="0.2">
      <c r="A3" t="s">
        <v>179</v>
      </c>
      <c r="B3" t="s">
        <v>136</v>
      </c>
      <c r="C3" t="s">
        <v>138</v>
      </c>
      <c r="D3" s="21">
        <v>0</v>
      </c>
      <c r="E3" s="19">
        <f t="shared" ref="E3:E8" si="0">$B$10+D3*(1-$B$10)</f>
        <v>0.21</v>
      </c>
    </row>
    <row r="4" spans="1:5" x14ac:dyDescent="0.2">
      <c r="A4" t="s">
        <v>180</v>
      </c>
      <c r="B4" t="s">
        <v>139</v>
      </c>
      <c r="C4" t="s">
        <v>140</v>
      </c>
      <c r="D4" s="21">
        <v>0</v>
      </c>
      <c r="E4" s="19">
        <f t="shared" si="0"/>
        <v>0.21</v>
      </c>
    </row>
    <row r="5" spans="1:5" x14ac:dyDescent="0.2">
      <c r="A5" t="s">
        <v>181</v>
      </c>
      <c r="B5" t="s">
        <v>141</v>
      </c>
      <c r="C5" t="s">
        <v>142</v>
      </c>
      <c r="D5" s="21">
        <v>8.8400000000000006E-2</v>
      </c>
      <c r="E5" s="19">
        <f t="shared" si="0"/>
        <v>0.27983599999999997</v>
      </c>
    </row>
    <row r="6" spans="1:5" x14ac:dyDescent="0.2">
      <c r="A6" t="s">
        <v>182</v>
      </c>
      <c r="B6" t="s">
        <v>143</v>
      </c>
      <c r="C6" t="s">
        <v>144</v>
      </c>
      <c r="D6" s="21">
        <v>9.8000000000000004E-2</v>
      </c>
      <c r="E6" s="19">
        <f t="shared" si="0"/>
        <v>0.28742000000000001</v>
      </c>
    </row>
    <row r="7" spans="1:5" x14ac:dyDescent="0.2">
      <c r="A7" t="s">
        <v>183</v>
      </c>
      <c r="B7" t="s">
        <v>145</v>
      </c>
      <c r="C7" t="s">
        <v>146</v>
      </c>
      <c r="D7" s="21">
        <v>7.8100000000000003E-2</v>
      </c>
      <c r="E7" s="19">
        <f t="shared" si="0"/>
        <v>0.27169900000000002</v>
      </c>
    </row>
    <row r="8" spans="1:5" x14ac:dyDescent="0.2">
      <c r="A8" t="s">
        <v>184</v>
      </c>
      <c r="B8" t="s">
        <v>147</v>
      </c>
      <c r="C8" t="s">
        <v>148</v>
      </c>
      <c r="D8" s="21">
        <v>4.9000000000000002E-2</v>
      </c>
      <c r="E8" s="19">
        <f t="shared" si="0"/>
        <v>0.24870999999999999</v>
      </c>
    </row>
    <row r="9" spans="1:5" x14ac:dyDescent="0.2">
      <c r="C9" s="18"/>
    </row>
    <row r="10" spans="1:5" x14ac:dyDescent="0.2">
      <c r="A10" t="s">
        <v>150</v>
      </c>
      <c r="B10" s="20">
        <v>0.21</v>
      </c>
      <c r="C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SMR</vt:lpstr>
      <vt:lpstr>Boundaries_5steps</vt:lpstr>
      <vt:lpstr>Boundaries_6steps</vt:lpstr>
      <vt:lpstr>Boundaries_7steps</vt:lpstr>
      <vt:lpstr>Boundaries_8steps</vt:lpstr>
      <vt:lpstr>steps</vt:lpstr>
      <vt:lpstr>Boundaries</vt:lpstr>
      <vt:lpstr>PTC vs. ITC</vt:lpstr>
      <vt:lpstr>MACRS</vt:lpstr>
      <vt:lpstr>Transfer_rates</vt:lpstr>
      <vt:lpstr>HTSE</vt:lpstr>
      <vt:lpstr>FT</vt:lpstr>
      <vt:lpstr>Capacity_Market</vt:lpstr>
      <vt:lpstr>Tax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Microsoft Office User</cp:lastModifiedBy>
  <dcterms:created xsi:type="dcterms:W3CDTF">2022-05-18T16:54:28Z</dcterms:created>
  <dcterms:modified xsi:type="dcterms:W3CDTF">2023-08-17T21:01:08Z</dcterms:modified>
</cp:coreProperties>
</file>