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m/FORCE/use_cases/SMR_FT_2023/data/"/>
    </mc:Choice>
  </mc:AlternateContent>
  <xr:revisionPtr revIDLastSave="0" documentId="13_ncr:1_{67EC12F5-D4F6-1549-84CD-EAF3D73E4F96}" xr6:coauthVersionLast="47" xr6:coauthVersionMax="47" xr10:uidLastSave="{00000000-0000-0000-0000-000000000000}"/>
  <bookViews>
    <workbookView xWindow="37140" yWindow="1460" windowWidth="35980" windowHeight="20200" activeTab="1" xr2:uid="{3CE7F202-39F9-48AF-B0C7-575379157397}"/>
  </bookViews>
  <sheets>
    <sheet name="SMR" sheetId="13" r:id="rId1"/>
    <sheet name="Boundaries" sheetId="10" r:id="rId2"/>
    <sheet name="MACRS" sheetId="1" r:id="rId3"/>
    <sheet name="Transfer_rates" sheetId="4" r:id="rId4"/>
    <sheet name="HTSE" sheetId="2" r:id="rId5"/>
    <sheet name="FT" sheetId="11" r:id="rId6"/>
    <sheet name="Capacity_Market" sheetId="3" r:id="rId7"/>
    <sheet name="Tax rates" sheetId="1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1" i="10" l="1"/>
  <c r="E41" i="10"/>
  <c r="C48" i="10" s="1"/>
  <c r="B25" i="10"/>
  <c r="C14" i="10"/>
  <c r="E14" i="10" s="1"/>
  <c r="C15" i="10"/>
  <c r="C16" i="10"/>
  <c r="C17" i="10"/>
  <c r="C18" i="10"/>
  <c r="D14" i="10"/>
  <c r="F14" i="10" s="1"/>
  <c r="A35" i="10"/>
  <c r="A36" i="10"/>
  <c r="A27" i="10"/>
  <c r="A28" i="10"/>
  <c r="D17" i="10"/>
  <c r="F17" i="10" s="1"/>
  <c r="D18" i="10"/>
  <c r="F18" i="10"/>
  <c r="I4" i="13"/>
  <c r="J4" i="13"/>
  <c r="K4" i="13"/>
  <c r="L4" i="13"/>
  <c r="H4" i="13"/>
  <c r="A49" i="10"/>
  <c r="A56" i="10" s="1"/>
  <c r="A63" i="10" s="1"/>
  <c r="A50" i="10"/>
  <c r="A57" i="10" s="1"/>
  <c r="A64" i="10" s="1"/>
  <c r="A51" i="10"/>
  <c r="A58" i="10" s="1"/>
  <c r="A65" i="10" s="1"/>
  <c r="A52" i="10"/>
  <c r="A59" i="10" s="1"/>
  <c r="A66" i="10" s="1"/>
  <c r="A48" i="10"/>
  <c r="A55" i="10" s="1"/>
  <c r="A62" i="10" s="1"/>
  <c r="H39" i="10"/>
  <c r="F39" i="10"/>
  <c r="D39" i="10"/>
  <c r="D15" i="10"/>
  <c r="D16" i="10"/>
  <c r="B41" i="10"/>
  <c r="B42" i="10"/>
  <c r="B43" i="10"/>
  <c r="B44" i="10"/>
  <c r="A33" i="10"/>
  <c r="A34" i="10"/>
  <c r="A32" i="10"/>
  <c r="A25" i="10"/>
  <c r="A26" i="10"/>
  <c r="A24" i="10"/>
  <c r="B25" i="11"/>
  <c r="B21" i="11"/>
  <c r="E3" i="12"/>
  <c r="E4" i="12"/>
  <c r="E5" i="12"/>
  <c r="E6" i="12"/>
  <c r="E7" i="12"/>
  <c r="E8" i="12"/>
  <c r="E2" i="12"/>
  <c r="B20" i="4"/>
  <c r="B15" i="11"/>
  <c r="J10" i="11"/>
  <c r="K10" i="11"/>
  <c r="I10" i="11"/>
  <c r="J9" i="11"/>
  <c r="I8" i="11"/>
  <c r="I9" i="11" s="1"/>
  <c r="K8" i="11"/>
  <c r="K9" i="11" s="1"/>
  <c r="B8" i="3"/>
  <c r="B4" i="2"/>
  <c r="B19" i="4"/>
  <c r="F12" i="4"/>
  <c r="F13" i="4"/>
  <c r="F11" i="4"/>
  <c r="F8" i="4"/>
  <c r="F7" i="4"/>
  <c r="D7" i="4"/>
  <c r="D8" i="4"/>
  <c r="D11" i="4"/>
  <c r="D12" i="4"/>
  <c r="D13" i="4"/>
  <c r="D27" i="10" l="1"/>
  <c r="B24" i="10"/>
  <c r="F15" i="10"/>
  <c r="F16" i="10"/>
  <c r="E15" i="10"/>
  <c r="E17" i="10" l="1"/>
  <c r="J27" i="10"/>
  <c r="B27" i="10"/>
  <c r="C27" i="10"/>
  <c r="F27" i="10"/>
  <c r="K27" i="10"/>
  <c r="E27" i="10"/>
  <c r="G27" i="10"/>
  <c r="I27" i="10"/>
  <c r="H27" i="10"/>
  <c r="E18" i="10"/>
  <c r="B28" i="10"/>
  <c r="C28" i="10"/>
  <c r="D28" i="10"/>
  <c r="E28" i="10"/>
  <c r="H28" i="10"/>
  <c r="I28" i="10"/>
  <c r="K28" i="10"/>
  <c r="F28" i="10"/>
  <c r="G28" i="10"/>
  <c r="J28" i="10"/>
  <c r="J33" i="10"/>
  <c r="G45" i="10"/>
  <c r="E33" i="10"/>
  <c r="B33" i="10"/>
  <c r="H33" i="10"/>
  <c r="K33" i="10"/>
  <c r="G42" i="10"/>
  <c r="G43" i="10"/>
  <c r="G44" i="10"/>
  <c r="G41" i="10"/>
  <c r="C33" i="10"/>
  <c r="D33" i="10"/>
  <c r="I33" i="10"/>
  <c r="F33" i="10"/>
  <c r="G33" i="10"/>
  <c r="E26" i="10"/>
  <c r="I26" i="10"/>
  <c r="K26" i="10"/>
  <c r="D26" i="10"/>
  <c r="F26" i="10"/>
  <c r="J26" i="10"/>
  <c r="G26" i="10"/>
  <c r="H26" i="10"/>
  <c r="B26" i="10"/>
  <c r="C26" i="10"/>
  <c r="D25" i="10"/>
  <c r="C25" i="10"/>
  <c r="E25" i="10"/>
  <c r="F25" i="10"/>
  <c r="K25" i="10"/>
  <c r="H25" i="10"/>
  <c r="I25" i="10"/>
  <c r="J25" i="10"/>
  <c r="G25" i="10"/>
  <c r="G24" i="10"/>
  <c r="H24" i="10"/>
  <c r="J24" i="10"/>
  <c r="K24" i="10"/>
  <c r="E24" i="10"/>
  <c r="I24" i="10"/>
  <c r="D24" i="10"/>
  <c r="C24" i="10"/>
  <c r="F24" i="10"/>
  <c r="E16" i="10"/>
  <c r="C34" i="10" s="1"/>
  <c r="E36" i="10" l="1"/>
  <c r="H36" i="10"/>
  <c r="K36" i="10"/>
  <c r="B36" i="10"/>
  <c r="F36" i="10"/>
  <c r="G36" i="10"/>
  <c r="I36" i="10"/>
  <c r="J36" i="10"/>
  <c r="D36" i="10"/>
  <c r="C36" i="10"/>
  <c r="D35" i="10"/>
  <c r="K35" i="10"/>
  <c r="C35" i="10"/>
  <c r="E35" i="10"/>
  <c r="F35" i="10"/>
  <c r="I35" i="10"/>
  <c r="J35" i="10"/>
  <c r="B35" i="10"/>
  <c r="G35" i="10"/>
  <c r="H35" i="10"/>
  <c r="B55" i="10"/>
  <c r="E55" i="10"/>
  <c r="D55" i="10"/>
  <c r="H55" i="10"/>
  <c r="F55" i="10"/>
  <c r="K55" i="10"/>
  <c r="C55" i="10"/>
  <c r="I55" i="10"/>
  <c r="G55" i="10"/>
  <c r="J55" i="10"/>
  <c r="C56" i="10"/>
  <c r="F56" i="10"/>
  <c r="K56" i="10"/>
  <c r="D56" i="10"/>
  <c r="E56" i="10"/>
  <c r="G56" i="10"/>
  <c r="B56" i="10"/>
  <c r="H56" i="10"/>
  <c r="I56" i="10"/>
  <c r="J56" i="10"/>
  <c r="H59" i="10"/>
  <c r="B59" i="10"/>
  <c r="F59" i="10"/>
  <c r="I59" i="10"/>
  <c r="J59" i="10"/>
  <c r="K59" i="10"/>
  <c r="E59" i="10"/>
  <c r="C59" i="10"/>
  <c r="D59" i="10"/>
  <c r="G59" i="10"/>
  <c r="D58" i="10"/>
  <c r="G58" i="10"/>
  <c r="K58" i="10"/>
  <c r="C58" i="10"/>
  <c r="E58" i="10"/>
  <c r="F58" i="10"/>
  <c r="B58" i="10"/>
  <c r="H58" i="10"/>
  <c r="I58" i="10"/>
  <c r="J58" i="10"/>
  <c r="J57" i="10"/>
  <c r="F57" i="10"/>
  <c r="K57" i="10"/>
  <c r="B57" i="10"/>
  <c r="E57" i="10"/>
  <c r="G57" i="10"/>
  <c r="I57" i="10"/>
  <c r="H57" i="10"/>
  <c r="C57" i="10"/>
  <c r="D57" i="10"/>
  <c r="D34" i="10"/>
  <c r="F34" i="10"/>
  <c r="G34" i="10"/>
  <c r="J34" i="10"/>
  <c r="K34" i="10"/>
  <c r="I42" i="10"/>
  <c r="I43" i="10"/>
  <c r="I34" i="10"/>
  <c r="B34" i="10"/>
  <c r="E34" i="10"/>
  <c r="H34" i="10"/>
  <c r="I41" i="10"/>
  <c r="I44" i="10"/>
  <c r="I45" i="10"/>
  <c r="C32" i="10"/>
  <c r="J32" i="10"/>
  <c r="D32" i="10"/>
  <c r="G32" i="10"/>
  <c r="H32" i="10"/>
  <c r="B32" i="10"/>
  <c r="E32" i="10"/>
  <c r="F32" i="10"/>
  <c r="I32" i="10"/>
  <c r="K32" i="10"/>
  <c r="E42" i="10"/>
  <c r="E43" i="10"/>
  <c r="E44" i="10"/>
  <c r="E45" i="10"/>
  <c r="J66" i="10" l="1"/>
  <c r="I66" i="10"/>
  <c r="K66" i="10"/>
  <c r="B66" i="10"/>
  <c r="F66" i="10"/>
  <c r="C66" i="10"/>
  <c r="H66" i="10"/>
  <c r="D66" i="10"/>
  <c r="E66" i="10"/>
  <c r="G66" i="10"/>
  <c r="K52" i="10"/>
  <c r="E52" i="10"/>
  <c r="F52" i="10"/>
  <c r="H52" i="10"/>
  <c r="C52" i="10"/>
  <c r="B52" i="10"/>
  <c r="D52" i="10"/>
  <c r="J52" i="10"/>
  <c r="I52" i="10"/>
  <c r="G52" i="10"/>
  <c r="C65" i="10"/>
  <c r="B65" i="10"/>
  <c r="D65" i="10"/>
  <c r="E65" i="10"/>
  <c r="F65" i="10"/>
  <c r="G65" i="10"/>
  <c r="H65" i="10"/>
  <c r="K65" i="10"/>
  <c r="I65" i="10"/>
  <c r="J65" i="10"/>
  <c r="C51" i="10"/>
  <c r="E51" i="10"/>
  <c r="F51" i="10"/>
  <c r="D51" i="10"/>
  <c r="G51" i="10"/>
  <c r="H51" i="10"/>
  <c r="I51" i="10"/>
  <c r="K51" i="10"/>
  <c r="J51" i="10"/>
  <c r="D62" i="10"/>
  <c r="G62" i="10"/>
  <c r="C62" i="10"/>
  <c r="E62" i="10"/>
  <c r="H62" i="10"/>
  <c r="B62" i="10"/>
  <c r="I62" i="10"/>
  <c r="J62" i="10"/>
  <c r="K62" i="10"/>
  <c r="F62" i="10"/>
  <c r="D48" i="10"/>
  <c r="F48" i="10"/>
  <c r="E48" i="10"/>
  <c r="G48" i="10"/>
  <c r="I48" i="10"/>
  <c r="K48" i="10"/>
  <c r="J48" i="10"/>
  <c r="H48" i="10"/>
  <c r="H50" i="10"/>
  <c r="K50" i="10"/>
  <c r="B50" i="10"/>
  <c r="F50" i="10"/>
  <c r="C50" i="10"/>
  <c r="D50" i="10"/>
  <c r="G50" i="10"/>
  <c r="I50" i="10"/>
  <c r="E50" i="10"/>
  <c r="J50" i="10"/>
  <c r="E49" i="10"/>
  <c r="F49" i="10"/>
  <c r="B49" i="10"/>
  <c r="G49" i="10"/>
  <c r="H49" i="10"/>
  <c r="I49" i="10"/>
  <c r="J49" i="10"/>
  <c r="K49" i="10"/>
  <c r="C49" i="10"/>
  <c r="D49" i="10"/>
  <c r="B64" i="10"/>
  <c r="C64" i="10"/>
  <c r="G64" i="10"/>
  <c r="I64" i="10"/>
  <c r="D64" i="10"/>
  <c r="E64" i="10"/>
  <c r="J64" i="10"/>
  <c r="F64" i="10"/>
  <c r="K64" i="10"/>
  <c r="H64" i="10"/>
  <c r="E63" i="10"/>
  <c r="G63" i="10"/>
  <c r="H63" i="10"/>
  <c r="F63" i="10"/>
  <c r="B63" i="10"/>
  <c r="I63" i="10"/>
  <c r="J63" i="10"/>
  <c r="K63" i="10"/>
  <c r="C63" i="10"/>
  <c r="D63" i="10"/>
  <c r="B48" i="10"/>
</calcChain>
</file>

<file path=xl/sharedStrings.xml><?xml version="1.0" encoding="utf-8"?>
<sst xmlns="http://schemas.openxmlformats.org/spreadsheetml/2006/main" count="295" uniqueCount="215">
  <si>
    <t>Source</t>
  </si>
  <si>
    <t>https://www.irs.gov/publications/p946</t>
  </si>
  <si>
    <t>Class</t>
  </si>
  <si>
    <t>Industrial Steam and Electric Generation and/or Distribution Systems</t>
  </si>
  <si>
    <t>MACRS</t>
  </si>
  <si>
    <t>00.4</t>
  </si>
  <si>
    <t>13.3</t>
  </si>
  <si>
    <t>Petroleum Refining</t>
  </si>
  <si>
    <t>49.221</t>
  </si>
  <si>
    <t>Gas Utility Substitute Natural Gas (SNG) Production Plant (naphta or light hydrocarbon feedstocks)</t>
  </si>
  <si>
    <t>https://cs.thomsonreuters.com/ua/fixa/cs_us_en/ass_life_tbl/hid_help_asset_lives.htm</t>
  </si>
  <si>
    <t>Sources</t>
  </si>
  <si>
    <t>49.24</t>
  </si>
  <si>
    <t>Gas Utility Trunk Pipelines and Related Storage Facilities</t>
  </si>
  <si>
    <t>Component</t>
  </si>
  <si>
    <t>FT</t>
  </si>
  <si>
    <t>H2 storage</t>
  </si>
  <si>
    <t>HTSE</t>
  </si>
  <si>
    <t>CO2 source ?</t>
  </si>
  <si>
    <t>From</t>
  </si>
  <si>
    <t>49.222</t>
  </si>
  <si>
    <t>Gas Utility Manufactured Gas Production Plants</t>
  </si>
  <si>
    <t>28.0</t>
  </si>
  <si>
    <t>Manufacture of Chemicals and Allied Products</t>
  </si>
  <si>
    <t>High-Temperature Steam Electrolysis Process Performance and Cost Estimates, D. Wendt</t>
  </si>
  <si>
    <t>Electricity required</t>
  </si>
  <si>
    <t>QoI</t>
  </si>
  <si>
    <t>Value</t>
  </si>
  <si>
    <t>Unit</t>
  </si>
  <si>
    <t>kWh-e/kg-H2</t>
  </si>
  <si>
    <t>Thermal energy required</t>
  </si>
  <si>
    <t>kWh-t/kg-H2</t>
  </si>
  <si>
    <t>Direct Capital Cost (NOAK)</t>
  </si>
  <si>
    <t>$/kW-dc</t>
  </si>
  <si>
    <t>No</t>
  </si>
  <si>
    <t>Total Capital Investment (NOAK)</t>
  </si>
  <si>
    <t>Direct Capital Cost (FOAK)</t>
  </si>
  <si>
    <t>Total Capital Investment (FOAK)</t>
  </si>
  <si>
    <t>Project duration</t>
  </si>
  <si>
    <t>years</t>
  </si>
  <si>
    <t>FOM</t>
  </si>
  <si>
    <t>$/kw-dc-year</t>
  </si>
  <si>
    <t>VOM (excl. energy cost)</t>
  </si>
  <si>
    <t>$/MWh-dc</t>
  </si>
  <si>
    <t>IRR</t>
  </si>
  <si>
    <t>%</t>
  </si>
  <si>
    <t>Depreciation schedule (MACRS)</t>
  </si>
  <si>
    <t>PJM Capacity Market Clearing Price</t>
  </si>
  <si>
    <t>Period</t>
  </si>
  <si>
    <t>Price ($/MWe-day)</t>
  </si>
  <si>
    <t>EFORd</t>
  </si>
  <si>
    <t>EFORd (%)</t>
  </si>
  <si>
    <t>2021/2022</t>
  </si>
  <si>
    <t>2020/2021</t>
  </si>
  <si>
    <t>2019/2020</t>
  </si>
  <si>
    <t>2018/2019</t>
  </si>
  <si>
    <t>Capacity sold = UCAP</t>
  </si>
  <si>
    <t>UCAP = Installed Cap *(1-EFORd)</t>
  </si>
  <si>
    <t>Equivalent forced outage rate demand</t>
  </si>
  <si>
    <t>UCAP</t>
  </si>
  <si>
    <t>Unforced CAPacity</t>
  </si>
  <si>
    <t>FT process</t>
  </si>
  <si>
    <t>Inputs</t>
  </si>
  <si>
    <t>CO2</t>
  </si>
  <si>
    <t>H2</t>
  </si>
  <si>
    <t>Electricity</t>
  </si>
  <si>
    <t>MWe</t>
  </si>
  <si>
    <t>MT/day</t>
  </si>
  <si>
    <t>Outputs</t>
  </si>
  <si>
    <t>Naphta</t>
  </si>
  <si>
    <t>Jet Fuel</t>
  </si>
  <si>
    <t>Diesel</t>
  </si>
  <si>
    <t>kg/s</t>
  </si>
  <si>
    <t>kWh/kg-H2</t>
  </si>
  <si>
    <t>kg/h</t>
  </si>
  <si>
    <t>kg-H2/kWh</t>
  </si>
  <si>
    <t>Fixed no matter production level</t>
  </si>
  <si>
    <t>Modeled as separate electricity consuming component</t>
  </si>
  <si>
    <t>Using NOAK values</t>
  </si>
  <si>
    <t>kg-H2/kWh-e</t>
  </si>
  <si>
    <t>Performance and cost analysis of liquid fuel production form H2 and CO2 based on the FT process</t>
  </si>
  <si>
    <t>TCI</t>
  </si>
  <si>
    <t>Size factor</t>
  </si>
  <si>
    <t>Log size factor</t>
  </si>
  <si>
    <t>Name</t>
  </si>
  <si>
    <t>scaling factor</t>
  </si>
  <si>
    <t>depreciate</t>
  </si>
  <si>
    <t>Comment</t>
  </si>
  <si>
    <t>Acronyms</t>
  </si>
  <si>
    <t>Equations</t>
  </si>
  <si>
    <t>Average</t>
  </si>
  <si>
    <t>Used to compute a negative cashflow for the capacity of the NPP not sold on the capacity market</t>
  </si>
  <si>
    <t>FT ANL report</t>
  </si>
  <si>
    <t>Dan Wendt report</t>
  </si>
  <si>
    <t>Components capacities optimization boundaries calculation</t>
  </si>
  <si>
    <t>Fixed components</t>
  </si>
  <si>
    <t>Purpose</t>
  </si>
  <si>
    <t>Capacity negative when component is consuming a resource</t>
  </si>
  <si>
    <t xml:space="preserve">Capacity  </t>
  </si>
  <si>
    <t>ft_elec_consumption</t>
  </si>
  <si>
    <t>jet_fuel_market</t>
  </si>
  <si>
    <t>diesel_market</t>
  </si>
  <si>
    <t>naphtha_market</t>
  </si>
  <si>
    <t>Update from ANL August 2022</t>
  </si>
  <si>
    <t>The Modeling of the Synfuel Production Process, H.E Delgado and all, June 2022</t>
  </si>
  <si>
    <t>Financial assumptions</t>
  </si>
  <si>
    <t xml:space="preserve">Basis year </t>
  </si>
  <si>
    <t xml:space="preserve">Depreciation </t>
  </si>
  <si>
    <t>20 year MACRS</t>
  </si>
  <si>
    <t xml:space="preserve">Inflation </t>
  </si>
  <si>
    <t xml:space="preserve">Plant life </t>
  </si>
  <si>
    <t>40 years</t>
  </si>
  <si>
    <t>CAPEX</t>
  </si>
  <si>
    <t>driver</t>
  </si>
  <si>
    <t>ft_capacity</t>
  </si>
  <si>
    <t>reference driver</t>
  </si>
  <si>
    <t>Node</t>
  </si>
  <si>
    <t>value</t>
  </si>
  <si>
    <t>unit</t>
  </si>
  <si>
    <t>kg-H2/h</t>
  </si>
  <si>
    <t>Table 3 (255MT-h2/day)</t>
  </si>
  <si>
    <t>Data</t>
  </si>
  <si>
    <t>FT-400</t>
  </si>
  <si>
    <t>reference price</t>
  </si>
  <si>
    <t>Total Capital Cost TCI</t>
  </si>
  <si>
    <t>Size (MW)</t>
  </si>
  <si>
    <t xml:space="preserve">Log TCI </t>
  </si>
  <si>
    <t>VOM</t>
  </si>
  <si>
    <t>Not considering H2 cost, CO2 taken into account in supply curve, utilities only</t>
  </si>
  <si>
    <t>convert $2016 to $2020 using inflation rate</t>
  </si>
  <si>
    <t>$(2020)</t>
  </si>
  <si>
    <t>kg-H2/MWh</t>
  </si>
  <si>
    <t>elec_market</t>
  </si>
  <si>
    <t>Market</t>
  </si>
  <si>
    <t>State</t>
  </si>
  <si>
    <t>State corporate income tax rate (%)</t>
  </si>
  <si>
    <t>PJM</t>
  </si>
  <si>
    <t>Illinois</t>
  </si>
  <si>
    <t>Ohio</t>
  </si>
  <si>
    <t>ERCOT</t>
  </si>
  <si>
    <t>Texas</t>
  </si>
  <si>
    <t>CAISO</t>
  </si>
  <si>
    <t>California</t>
  </si>
  <si>
    <t>MISO</t>
  </si>
  <si>
    <t>Minnesota</t>
  </si>
  <si>
    <t>SPP</t>
  </si>
  <si>
    <t>Nebraska</t>
  </si>
  <si>
    <t>Southwest, Arizona</t>
  </si>
  <si>
    <t>Arizona</t>
  </si>
  <si>
    <t>Effective tax rate</t>
  </si>
  <si>
    <t>Federal corporate tax rate</t>
  </si>
  <si>
    <t>Description</t>
  </si>
  <si>
    <t>TDCC</t>
  </si>
  <si>
    <t>Total Direct Capital Costs, sum of equipment installed costs</t>
  </si>
  <si>
    <t>$USD (2016)</t>
  </si>
  <si>
    <t>Depreciable Capital Costs</t>
  </si>
  <si>
    <t>Site preparation</t>
  </si>
  <si>
    <t>Eng and design</t>
  </si>
  <si>
    <t>Project contingency</t>
  </si>
  <si>
    <t>Catalyst first fill fee</t>
  </si>
  <si>
    <t>Upfront permitting costs</t>
  </si>
  <si>
    <t>Total depreciable capital costs</t>
  </si>
  <si>
    <t>Non-depreciable Capital Costs</t>
  </si>
  <si>
    <t>Land</t>
  </si>
  <si>
    <t>Total Capital Investment</t>
  </si>
  <si>
    <t>LC</t>
  </si>
  <si>
    <t>Labor Cost</t>
  </si>
  <si>
    <t>$USD (2016)/year</t>
  </si>
  <si>
    <t>Gen and admin</t>
  </si>
  <si>
    <t>20% LC</t>
  </si>
  <si>
    <t>Property taxes and insurance</t>
  </si>
  <si>
    <t>2% TCI</t>
  </si>
  <si>
    <t>Materials costs for maintenance</t>
  </si>
  <si>
    <t>Total Fixed Operating Costs</t>
  </si>
  <si>
    <t>None Energy material and utilities costs</t>
  </si>
  <si>
    <t>Total Variable Operating Costs (excl. feedstock and elec)</t>
  </si>
  <si>
    <t>Depreciation schedule</t>
  </si>
  <si>
    <t>Case name</t>
  </si>
  <si>
    <t>illinois</t>
  </si>
  <si>
    <t>ohio</t>
  </si>
  <si>
    <t>texas</t>
  </si>
  <si>
    <t>california</t>
  </si>
  <si>
    <t>minnesota</t>
  </si>
  <si>
    <t>nebraska</t>
  </si>
  <si>
    <t>arizona</t>
  </si>
  <si>
    <t>Plant</t>
  </si>
  <si>
    <t>Capacity (MWe)</t>
  </si>
  <si>
    <t>HTSE (MWe)</t>
  </si>
  <si>
    <t>FT (kg-H2)</t>
  </si>
  <si>
    <t>Lower</t>
  </si>
  <si>
    <t>Upper</t>
  </si>
  <si>
    <t>Days FT prod. for sto max cap.</t>
  </si>
  <si>
    <t>Max elec. Price</t>
  </si>
  <si>
    <t>HTSE Steps</t>
  </si>
  <si>
    <t>FT Steps</t>
  </si>
  <si>
    <t>Ref</t>
  </si>
  <si>
    <t>Low</t>
  </si>
  <si>
    <t>High</t>
  </si>
  <si>
    <t>H2 Storage</t>
  </si>
  <si>
    <t>Location elec. Prices</t>
  </si>
  <si>
    <t>6 units</t>
  </si>
  <si>
    <t>18 units</t>
  </si>
  <si>
    <t>Find Abdalla's report citation</t>
  </si>
  <si>
    <t>Med</t>
  </si>
  <si>
    <t>CAPEX ($/MWe)</t>
  </si>
  <si>
    <t>720MWe ((2020)$ USD)</t>
  </si>
  <si>
    <t>OPEX ($/MWh)</t>
  </si>
  <si>
    <t>SA Capacity</t>
  </si>
  <si>
    <t># modules</t>
  </si>
  <si>
    <t>Unit capacity (MWe)</t>
  </si>
  <si>
    <t>Total capacity (MWe)</t>
  </si>
  <si>
    <t>20MWe</t>
  </si>
  <si>
    <t>40MWe</t>
  </si>
  <si>
    <t>80MWe</t>
  </si>
  <si>
    <t>100MWe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</si>
</sst>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41">
    <xf numFmtId="0" fontId="0" fillId="0" borderId="0" xfId="0"/>
    <xf numFmtId="49" fontId="0" fillId="0" borderId="0" xfId="0" applyNumberFormat="1"/>
    <xf numFmtId="11" fontId="0" fillId="0" borderId="0" xfId="0" applyNumberFormat="1"/>
    <xf numFmtId="11" fontId="3" fillId="0" borderId="0" xfId="0" applyNumberFormat="1" applyFont="1"/>
    <xf numFmtId="0" fontId="3" fillId="0" borderId="0" xfId="0" applyFont="1"/>
    <xf numFmtId="11" fontId="2" fillId="0" borderId="0" xfId="0" applyNumberFormat="1" applyFont="1"/>
    <xf numFmtId="0" fontId="2" fillId="0" borderId="0" xfId="0" applyFont="1"/>
    <xf numFmtId="0" fontId="1" fillId="2" borderId="0" xfId="1"/>
    <xf numFmtId="0" fontId="0" fillId="0" borderId="0" xfId="0" applyAlignment="1">
      <alignment wrapText="1"/>
    </xf>
    <xf numFmtId="0" fontId="1" fillId="2" borderId="0" xfId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7" xfId="1" applyBorder="1"/>
    <xf numFmtId="0" fontId="0" fillId="0" borderId="8" xfId="0" applyBorder="1"/>
    <xf numFmtId="0" fontId="4" fillId="0" borderId="0" xfId="2"/>
    <xf numFmtId="10" fontId="0" fillId="0" borderId="0" xfId="0" applyNumberFormat="1"/>
    <xf numFmtId="9" fontId="0" fillId="0" borderId="0" xfId="3" applyFont="1"/>
    <xf numFmtId="10" fontId="0" fillId="0" borderId="0" xfId="3" applyNumberFormat="1" applyFont="1"/>
    <xf numFmtId="44" fontId="0" fillId="0" borderId="0" xfId="4" applyFont="1" applyBorder="1"/>
    <xf numFmtId="44" fontId="6" fillId="0" borderId="0" xfId="4" applyFont="1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44" fontId="0" fillId="0" borderId="0" xfId="0" applyNumberFormat="1"/>
    <xf numFmtId="44" fontId="0" fillId="0" borderId="7" xfId="0" applyNumberFormat="1" applyBorder="1"/>
    <xf numFmtId="1" fontId="0" fillId="0" borderId="0" xfId="0" applyNumberFormat="1"/>
    <xf numFmtId="0" fontId="7" fillId="0" borderId="0" xfId="0" applyFont="1"/>
    <xf numFmtId="44" fontId="0" fillId="0" borderId="0" xfId="4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1" fontId="0" fillId="0" borderId="0" xfId="0" applyNumberFormat="1" applyFill="1"/>
  </cellXfs>
  <cellStyles count="5">
    <cellStyle name="Currency" xfId="4" builtinId="4"/>
    <cellStyle name="Good" xfId="1" builtinId="26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TCI logrithmic regression</a:t>
            </a:r>
          </a:p>
          <a:p>
            <a:pPr>
              <a:defRPr/>
            </a:pPr>
            <a:r>
              <a:rPr lang="en-US"/>
              <a:t>Goal:</a:t>
            </a:r>
            <a:r>
              <a:rPr lang="en-US" baseline="0"/>
              <a:t> Compute scaling factor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FT!$H$10</c:f>
              <c:strCache>
                <c:ptCount val="1"/>
                <c:pt idx="0">
                  <c:v>Log TCI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FT!$I$9:$K$9</c:f>
              <c:numCache>
                <c:formatCode>General</c:formatCode>
                <c:ptCount val="3"/>
                <c:pt idx="0">
                  <c:v>-0.6020599913279624</c:v>
                </c:pt>
                <c:pt idx="1">
                  <c:v>0</c:v>
                </c:pt>
                <c:pt idx="2">
                  <c:v>0.3979400086720376</c:v>
                </c:pt>
              </c:numCache>
            </c:numRef>
          </c:xVal>
          <c:yVal>
            <c:numRef>
              <c:f>FT!$I$10:$K$10</c:f>
              <c:numCache>
                <c:formatCode>General</c:formatCode>
                <c:ptCount val="3"/>
                <c:pt idx="0">
                  <c:v>7.8386476320849576</c:v>
                </c:pt>
                <c:pt idx="1">
                  <c:v>8.1907657756496093</c:v>
                </c:pt>
                <c:pt idx="2">
                  <c:v>8.4682380044363352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95-2841-B186-F8BEF29CA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176783"/>
        <c:axId val="2098178431"/>
      </c:scatterChart>
      <c:valAx>
        <c:axId val="209817678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178431"/>
        <c:crosses val="autoZero"/>
        <c:crossBetween val="midCat"/>
      </c:valAx>
      <c:valAx>
        <c:axId val="209817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176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534459</xdr:colOff>
      <xdr:row>22</xdr:row>
      <xdr:rowOff>9525</xdr:rowOff>
    </xdr:from>
    <xdr:to>
      <xdr:col>12</xdr:col>
      <xdr:colOff>1333500</xdr:colOff>
      <xdr:row>41</xdr:row>
      <xdr:rowOff>31751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8A9670-7B55-8F7C-E0DA-99E95918D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osti.gov/biblio/1867883" TargetMode="External"/><Relationship Id="rId1" Type="http://schemas.openxmlformats.org/officeDocument/2006/relationships/hyperlink" Target="https://www.sciencedirect.com/science/article/pii/S221298202100026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7BA3C-274B-4147-8CC3-A303BF1014EB}">
  <dimension ref="A1:L5"/>
  <sheetViews>
    <sheetView zoomScale="120" zoomScaleNormal="120" workbookViewId="0">
      <selection activeCell="L11" sqref="L11"/>
    </sheetView>
  </sheetViews>
  <sheetFormatPr baseColWidth="10" defaultRowHeight="15" x14ac:dyDescent="0.2"/>
  <cols>
    <col min="1" max="1" width="20.33203125" bestFit="1" customWidth="1"/>
    <col min="2" max="3" width="13.6640625" bestFit="1" customWidth="1"/>
    <col min="4" max="4" width="14.6640625" bestFit="1" customWidth="1"/>
  </cols>
  <sheetData>
    <row r="1" spans="1:12" x14ac:dyDescent="0.2">
      <c r="A1" t="s">
        <v>0</v>
      </c>
      <c r="B1" t="s">
        <v>202</v>
      </c>
      <c r="G1" t="s">
        <v>207</v>
      </c>
    </row>
    <row r="2" spans="1:12" x14ac:dyDescent="0.2">
      <c r="G2" t="s">
        <v>208</v>
      </c>
      <c r="H2">
        <v>12</v>
      </c>
    </row>
    <row r="3" spans="1:12" x14ac:dyDescent="0.2">
      <c r="A3" t="s">
        <v>205</v>
      </c>
      <c r="B3" t="s">
        <v>196</v>
      </c>
      <c r="C3" t="s">
        <v>203</v>
      </c>
      <c r="D3" t="s">
        <v>197</v>
      </c>
      <c r="G3" t="s">
        <v>209</v>
      </c>
      <c r="H3">
        <v>60</v>
      </c>
      <c r="I3">
        <v>20</v>
      </c>
      <c r="J3">
        <v>40</v>
      </c>
      <c r="K3">
        <v>80</v>
      </c>
      <c r="L3">
        <v>100</v>
      </c>
    </row>
    <row r="4" spans="1:12" x14ac:dyDescent="0.2">
      <c r="A4" t="s">
        <v>204</v>
      </c>
      <c r="B4" s="36">
        <v>1802460</v>
      </c>
      <c r="C4" s="36">
        <v>5569000</v>
      </c>
      <c r="D4" s="36">
        <v>24646000</v>
      </c>
      <c r="G4" t="s">
        <v>210</v>
      </c>
      <c r="H4">
        <f>H3*$H$2</f>
        <v>720</v>
      </c>
      <c r="I4">
        <f t="shared" ref="I4:L4" si="0">I3*$H$2</f>
        <v>240</v>
      </c>
      <c r="J4">
        <f t="shared" si="0"/>
        <v>480</v>
      </c>
      <c r="K4">
        <f t="shared" si="0"/>
        <v>960</v>
      </c>
      <c r="L4">
        <f t="shared" si="0"/>
        <v>1200</v>
      </c>
    </row>
    <row r="5" spans="1:12" x14ac:dyDescent="0.2">
      <c r="A5" t="s">
        <v>206</v>
      </c>
      <c r="B5" s="36">
        <v>3.71</v>
      </c>
      <c r="C5" s="36">
        <v>23.2</v>
      </c>
      <c r="D5" s="36">
        <v>55.69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41F20-95C4-42A2-B03A-23B9DD4DBFA3}">
  <dimension ref="A1:L66"/>
  <sheetViews>
    <sheetView tabSelected="1" topLeftCell="A32" zoomScale="120" zoomScaleNormal="120" workbookViewId="0">
      <selection activeCell="B51" sqref="B51:K51"/>
    </sheetView>
  </sheetViews>
  <sheetFormatPr baseColWidth="10" defaultColWidth="8.83203125" defaultRowHeight="15" x14ac:dyDescent="0.2"/>
  <cols>
    <col min="1" max="1" width="28.83203125" customWidth="1"/>
    <col min="2" max="2" width="21.33203125" customWidth="1"/>
    <col min="3" max="3" width="15.1640625" bestFit="1" customWidth="1"/>
    <col min="4" max="5" width="13.5" bestFit="1" customWidth="1"/>
    <col min="6" max="6" width="20" bestFit="1" customWidth="1"/>
    <col min="7" max="8" width="15.1640625" bestFit="1" customWidth="1"/>
    <col min="9" max="9" width="13.5" bestFit="1" customWidth="1"/>
    <col min="10" max="10" width="9" customWidth="1"/>
    <col min="11" max="11" width="13.6640625" customWidth="1"/>
    <col min="12" max="12" width="11.83203125" customWidth="1"/>
  </cols>
  <sheetData>
    <row r="1" spans="1:8" x14ac:dyDescent="0.2">
      <c r="A1" t="s">
        <v>96</v>
      </c>
      <c r="B1" t="s">
        <v>94</v>
      </c>
    </row>
    <row r="2" spans="1:8" x14ac:dyDescent="0.2">
      <c r="A2" t="s">
        <v>87</v>
      </c>
      <c r="B2" t="s">
        <v>97</v>
      </c>
    </row>
    <row r="3" spans="1:8" x14ac:dyDescent="0.2">
      <c r="A3" t="s">
        <v>95</v>
      </c>
    </row>
    <row r="4" spans="1:8" x14ac:dyDescent="0.2">
      <c r="A4" t="s">
        <v>84</v>
      </c>
      <c r="B4" t="s">
        <v>98</v>
      </c>
      <c r="C4" t="s">
        <v>28</v>
      </c>
    </row>
    <row r="5" spans="1:8" x14ac:dyDescent="0.2">
      <c r="A5" t="s">
        <v>99</v>
      </c>
      <c r="B5">
        <v>14.9</v>
      </c>
      <c r="C5" t="s">
        <v>66</v>
      </c>
    </row>
    <row r="6" spans="1:8" x14ac:dyDescent="0.2">
      <c r="A6" t="s">
        <v>132</v>
      </c>
      <c r="B6" s="2">
        <v>-9.9999999999999997E+199</v>
      </c>
      <c r="C6" t="s">
        <v>66</v>
      </c>
    </row>
    <row r="7" spans="1:8" x14ac:dyDescent="0.2">
      <c r="A7" t="s">
        <v>100</v>
      </c>
      <c r="B7" s="2">
        <v>-9.9999999999999997E+199</v>
      </c>
      <c r="C7" t="s">
        <v>66</v>
      </c>
    </row>
    <row r="8" spans="1:8" x14ac:dyDescent="0.2">
      <c r="A8" t="s">
        <v>101</v>
      </c>
      <c r="B8" s="2">
        <v>-9.9999999999999997E+199</v>
      </c>
      <c r="C8" t="s">
        <v>66</v>
      </c>
    </row>
    <row r="9" spans="1:8" x14ac:dyDescent="0.2">
      <c r="A9" t="s">
        <v>102</v>
      </c>
      <c r="B9" s="2">
        <v>-9.9999999999999997E+199</v>
      </c>
      <c r="C9" t="s">
        <v>66</v>
      </c>
    </row>
    <row r="10" spans="1:8" x14ac:dyDescent="0.2">
      <c r="B10" s="2"/>
    </row>
    <row r="12" spans="1:8" x14ac:dyDescent="0.2">
      <c r="A12" s="37" t="s">
        <v>185</v>
      </c>
      <c r="B12" s="37" t="s">
        <v>186</v>
      </c>
      <c r="C12" s="38" t="s">
        <v>187</v>
      </c>
      <c r="D12" s="38"/>
      <c r="E12" s="38" t="s">
        <v>188</v>
      </c>
      <c r="F12" s="38"/>
      <c r="G12" s="38"/>
      <c r="H12" s="38"/>
    </row>
    <row r="13" spans="1:8" x14ac:dyDescent="0.2">
      <c r="A13" s="37"/>
      <c r="B13" s="37"/>
      <c r="C13" t="s">
        <v>189</v>
      </c>
      <c r="D13" t="s">
        <v>190</v>
      </c>
      <c r="E13" t="s">
        <v>189</v>
      </c>
      <c r="F13" t="s">
        <v>190</v>
      </c>
    </row>
    <row r="14" spans="1:8" x14ac:dyDescent="0.2">
      <c r="A14" t="s">
        <v>195</v>
      </c>
      <c r="B14">
        <v>720</v>
      </c>
      <c r="C14">
        <f>MAX(-B14+$B$5, -1000+$B$5)</f>
        <v>-705.1</v>
      </c>
      <c r="D14">
        <f>-100+$B$5</f>
        <v>-85.1</v>
      </c>
      <c r="E14">
        <f>C14*25.13</f>
        <v>-17719.163</v>
      </c>
      <c r="F14">
        <f>D14*25.13</f>
        <v>-2138.5629999999996</v>
      </c>
    </row>
    <row r="15" spans="1:8" x14ac:dyDescent="0.2">
      <c r="A15" t="s">
        <v>211</v>
      </c>
      <c r="B15">
        <v>240</v>
      </c>
      <c r="C15">
        <f t="shared" ref="C15:C18" si="0">MAX(-B15+$B$5, -1000+$B$5)</f>
        <v>-225.1</v>
      </c>
      <c r="D15">
        <f t="shared" ref="D15:D18" si="1">-100+$B$5</f>
        <v>-85.1</v>
      </c>
      <c r="E15">
        <f t="shared" ref="E15:F15" si="2">C15*25.13</f>
        <v>-5656.7629999999999</v>
      </c>
      <c r="F15">
        <f t="shared" si="2"/>
        <v>-2138.5629999999996</v>
      </c>
    </row>
    <row r="16" spans="1:8" x14ac:dyDescent="0.2">
      <c r="A16" t="s">
        <v>212</v>
      </c>
      <c r="B16">
        <v>480</v>
      </c>
      <c r="C16">
        <f t="shared" si="0"/>
        <v>-465.1</v>
      </c>
      <c r="D16">
        <f t="shared" si="1"/>
        <v>-85.1</v>
      </c>
      <c r="E16">
        <f>C16*25.13</f>
        <v>-11687.963</v>
      </c>
      <c r="F16">
        <f>D16*25.13</f>
        <v>-2138.5629999999996</v>
      </c>
    </row>
    <row r="17" spans="1:12" x14ac:dyDescent="0.2">
      <c r="A17" t="s">
        <v>213</v>
      </c>
      <c r="B17">
        <v>960</v>
      </c>
      <c r="C17">
        <f t="shared" si="0"/>
        <v>-945.1</v>
      </c>
      <c r="D17">
        <f t="shared" si="1"/>
        <v>-85.1</v>
      </c>
      <c r="E17">
        <f t="shared" ref="E17:E18" si="3">C17*25.13</f>
        <v>-23750.363000000001</v>
      </c>
      <c r="F17">
        <f t="shared" ref="F17:F18" si="4">D17*25.13</f>
        <v>-2138.5629999999996</v>
      </c>
    </row>
    <row r="18" spans="1:12" x14ac:dyDescent="0.2">
      <c r="A18" t="s">
        <v>214</v>
      </c>
      <c r="B18">
        <v>1200</v>
      </c>
      <c r="C18">
        <f t="shared" si="0"/>
        <v>-985.1</v>
      </c>
      <c r="D18">
        <f t="shared" si="1"/>
        <v>-85.1</v>
      </c>
      <c r="E18">
        <f t="shared" si="3"/>
        <v>-24755.562999999998</v>
      </c>
      <c r="F18">
        <f t="shared" si="4"/>
        <v>-2138.5629999999996</v>
      </c>
    </row>
    <row r="21" spans="1:12" x14ac:dyDescent="0.2"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</row>
    <row r="22" spans="1:12" x14ac:dyDescent="0.2">
      <c r="A22" t="s">
        <v>193</v>
      </c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</row>
    <row r="23" spans="1:12" x14ac:dyDescent="0.2">
      <c r="A23" s="6" t="s">
        <v>185</v>
      </c>
      <c r="B23" s="39">
        <v>0</v>
      </c>
      <c r="C23" s="39">
        <v>1</v>
      </c>
      <c r="D23" s="39">
        <v>2</v>
      </c>
      <c r="E23" s="39">
        <v>3</v>
      </c>
      <c r="F23" s="39">
        <v>4</v>
      </c>
      <c r="G23" s="39">
        <v>5</v>
      </c>
      <c r="H23" s="39">
        <v>6</v>
      </c>
      <c r="I23" s="39">
        <v>7</v>
      </c>
      <c r="J23" s="39">
        <v>8</v>
      </c>
      <c r="K23" s="39">
        <v>9</v>
      </c>
      <c r="L23" s="39"/>
    </row>
    <row r="24" spans="1:12" x14ac:dyDescent="0.2">
      <c r="A24" t="str">
        <f>A14</f>
        <v>Ref</v>
      </c>
      <c r="B24" s="40">
        <f>$C14+B$23*ABS($C14-$D14)/9</f>
        <v>-705.1</v>
      </c>
      <c r="C24" s="40">
        <f t="shared" ref="C24:K24" si="5">$C14+C$23*ABS($C14-$D14)/9</f>
        <v>-636.21111111111111</v>
      </c>
      <c r="D24" s="40">
        <f t="shared" si="5"/>
        <v>-567.32222222222231</v>
      </c>
      <c r="E24" s="40">
        <f t="shared" si="5"/>
        <v>-498.43333333333339</v>
      </c>
      <c r="F24" s="40">
        <f t="shared" si="5"/>
        <v>-429.54444444444448</v>
      </c>
      <c r="G24" s="40">
        <f t="shared" si="5"/>
        <v>-360.65555555555557</v>
      </c>
      <c r="H24" s="40">
        <f t="shared" si="5"/>
        <v>-291.76666666666671</v>
      </c>
      <c r="I24" s="40">
        <f t="shared" si="5"/>
        <v>-222.87777777777779</v>
      </c>
      <c r="J24" s="40">
        <f t="shared" si="5"/>
        <v>-153.98888888888894</v>
      </c>
      <c r="K24" s="40">
        <f t="shared" si="5"/>
        <v>-85.100000000000023</v>
      </c>
      <c r="L24" s="39"/>
    </row>
    <row r="25" spans="1:12" x14ac:dyDescent="0.2">
      <c r="A25" t="str">
        <f>A15</f>
        <v>20MWe</v>
      </c>
      <c r="B25" s="40">
        <f>$C15+B$23*ABS($C15-$D15)/9</f>
        <v>-225.1</v>
      </c>
      <c r="C25" s="40">
        <f t="shared" ref="C25:K25" si="6">$C15+C$23*ABS($C15-$D15)/9</f>
        <v>-209.54444444444445</v>
      </c>
      <c r="D25" s="40">
        <f t="shared" si="6"/>
        <v>-193.98888888888888</v>
      </c>
      <c r="E25" s="40">
        <f t="shared" si="6"/>
        <v>-178.43333333333334</v>
      </c>
      <c r="F25" s="40">
        <f t="shared" si="6"/>
        <v>-162.87777777777777</v>
      </c>
      <c r="G25" s="40">
        <f t="shared" si="6"/>
        <v>-147.32222222222222</v>
      </c>
      <c r="H25" s="40">
        <f t="shared" si="6"/>
        <v>-131.76666666666665</v>
      </c>
      <c r="I25" s="40">
        <f t="shared" si="6"/>
        <v>-116.21111111111111</v>
      </c>
      <c r="J25" s="40">
        <f t="shared" si="6"/>
        <v>-100.65555555555555</v>
      </c>
      <c r="K25" s="40">
        <f t="shared" si="6"/>
        <v>-85.1</v>
      </c>
      <c r="L25" s="39"/>
    </row>
    <row r="26" spans="1:12" x14ac:dyDescent="0.2">
      <c r="A26" t="str">
        <f>A16</f>
        <v>40MWe</v>
      </c>
      <c r="B26" s="40">
        <f>$C16+B$23*ABS($C16-$D16)/9</f>
        <v>-465.1</v>
      </c>
      <c r="C26" s="40">
        <f>$C16+C$23*ABS($C16-$D16)/9</f>
        <v>-422.87777777777779</v>
      </c>
      <c r="D26" s="40">
        <f>$C16+D$23*ABS($C16-$D16)/9</f>
        <v>-380.65555555555557</v>
      </c>
      <c r="E26" s="40">
        <f>$C16+E$23*ABS($C16-$D16)/9</f>
        <v>-338.43333333333334</v>
      </c>
      <c r="F26" s="40">
        <f>$C16+F$23*ABS($C16-$D16)/9</f>
        <v>-296.21111111111111</v>
      </c>
      <c r="G26" s="40">
        <f>$C16+G$23*ABS($C16-$D16)/9</f>
        <v>-253.98888888888891</v>
      </c>
      <c r="H26" s="40">
        <f>$C16+H$23*ABS($C16-$D16)/9</f>
        <v>-211.76666666666668</v>
      </c>
      <c r="I26" s="40">
        <f>$C16+I$23*ABS($C16-$D16)/9</f>
        <v>-169.54444444444448</v>
      </c>
      <c r="J26" s="40">
        <f>$C16+J$23*ABS($C16-$D16)/9</f>
        <v>-127.32222222222225</v>
      </c>
      <c r="K26" s="40">
        <f>$C16+K$23*ABS($C16-$D16)/9</f>
        <v>-85.100000000000023</v>
      </c>
      <c r="L26" s="39"/>
    </row>
    <row r="27" spans="1:12" x14ac:dyDescent="0.2">
      <c r="A27" t="str">
        <f t="shared" ref="A27:A28" si="7">A17</f>
        <v>80MWe</v>
      </c>
      <c r="B27" s="40">
        <f>$C17+B$23*ABS($C17-$D17)/9</f>
        <v>-945.1</v>
      </c>
      <c r="C27" s="40">
        <f>$C17+C$23*ABS($C17-$D17)/9</f>
        <v>-849.54444444444448</v>
      </c>
      <c r="D27" s="40">
        <f>$C17+D$23*ABS($C17-$D17)/9</f>
        <v>-753.98888888888894</v>
      </c>
      <c r="E27" s="40">
        <f>$C17+E$23*ABS($C17-$D17)/9</f>
        <v>-658.43333333333339</v>
      </c>
      <c r="F27" s="40">
        <f>$C17+F$23*ABS($C17-$D17)/9</f>
        <v>-562.87777777777774</v>
      </c>
      <c r="G27" s="40">
        <f>$C17+G$23*ABS($C17-$D17)/9</f>
        <v>-467.32222222222225</v>
      </c>
      <c r="H27" s="40">
        <f>$C17+H$23*ABS($C17-$D17)/9</f>
        <v>-371.76666666666665</v>
      </c>
      <c r="I27" s="40">
        <f>$C17+I$23*ABS($C17-$D17)/9</f>
        <v>-276.21111111111111</v>
      </c>
      <c r="J27" s="40">
        <f>$C17+J$23*ABS($C17-$D17)/9</f>
        <v>-180.65555555555557</v>
      </c>
      <c r="K27" s="40">
        <f>$C17+K$23*ABS($C17-$D17)/9</f>
        <v>-85.100000000000023</v>
      </c>
      <c r="L27" s="39"/>
    </row>
    <row r="28" spans="1:12" x14ac:dyDescent="0.2">
      <c r="A28" t="str">
        <f t="shared" si="7"/>
        <v>100MWe</v>
      </c>
      <c r="B28" s="40">
        <f t="shared" ref="B28:K28" si="8">$C18+B$23*ABS($C18-$D18)/9</f>
        <v>-985.1</v>
      </c>
      <c r="C28" s="40">
        <f t="shared" si="8"/>
        <v>-885.1</v>
      </c>
      <c r="D28" s="40">
        <f t="shared" si="8"/>
        <v>-785.1</v>
      </c>
      <c r="E28" s="40">
        <f t="shared" si="8"/>
        <v>-685.1</v>
      </c>
      <c r="F28" s="40">
        <f t="shared" si="8"/>
        <v>-585.1</v>
      </c>
      <c r="G28" s="40">
        <f t="shared" si="8"/>
        <v>-485.1</v>
      </c>
      <c r="H28" s="40">
        <f t="shared" si="8"/>
        <v>-385.1</v>
      </c>
      <c r="I28" s="40">
        <f t="shared" si="8"/>
        <v>-285.10000000000002</v>
      </c>
      <c r="J28" s="40">
        <f t="shared" si="8"/>
        <v>-185.10000000000002</v>
      </c>
      <c r="K28" s="40">
        <f t="shared" si="8"/>
        <v>-85.100000000000023</v>
      </c>
      <c r="L28" s="39"/>
    </row>
    <row r="29" spans="1:12" x14ac:dyDescent="0.2"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</row>
    <row r="30" spans="1:12" x14ac:dyDescent="0.2">
      <c r="A30" t="s">
        <v>194</v>
      </c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</row>
    <row r="31" spans="1:12" x14ac:dyDescent="0.2">
      <c r="A31" s="6" t="s">
        <v>185</v>
      </c>
      <c r="B31" s="39">
        <v>0</v>
      </c>
      <c r="C31" s="39">
        <v>1</v>
      </c>
      <c r="D31" s="39">
        <v>2</v>
      </c>
      <c r="E31" s="39">
        <v>3</v>
      </c>
      <c r="F31" s="39">
        <v>4</v>
      </c>
      <c r="G31" s="39">
        <v>5</v>
      </c>
      <c r="H31" s="39">
        <v>6</v>
      </c>
      <c r="I31" s="39">
        <v>7</v>
      </c>
      <c r="J31" s="39">
        <v>8</v>
      </c>
      <c r="K31" s="39">
        <v>9</v>
      </c>
      <c r="L31" s="39"/>
    </row>
    <row r="32" spans="1:12" x14ac:dyDescent="0.2">
      <c r="A32" t="str">
        <f>A14</f>
        <v>Ref</v>
      </c>
      <c r="B32" s="40">
        <f>$E14+B$31*ABS($E14-$F14)/9</f>
        <v>-17719.163</v>
      </c>
      <c r="C32" s="40">
        <f>$E14+C$31*ABS($E14-$F14)/9</f>
        <v>-15987.985222222222</v>
      </c>
      <c r="D32" s="40">
        <f>$E14+D$31*ABS($E14-$F14)/9</f>
        <v>-14256.807444444445</v>
      </c>
      <c r="E32" s="40">
        <f>$E14+E$31*ABS($E14-$F14)/9</f>
        <v>-12525.629666666668</v>
      </c>
      <c r="F32" s="40">
        <f>$E14+F$31*ABS($E14-$F14)/9</f>
        <v>-10794.451888888889</v>
      </c>
      <c r="G32" s="40">
        <f>$E14+G$31*ABS($E14-$F14)/9</f>
        <v>-9063.2741111111118</v>
      </c>
      <c r="H32" s="40">
        <f>$E14+H$31*ABS($E14-$F14)/9</f>
        <v>-7332.096333333333</v>
      </c>
      <c r="I32" s="40">
        <f>$E14+I$31*ABS($E14-$F14)/9</f>
        <v>-5600.9185555555559</v>
      </c>
      <c r="J32" s="40">
        <f>$E14+J$31*ABS($E14-$F14)/9</f>
        <v>-3869.7407777777771</v>
      </c>
      <c r="K32" s="40">
        <f>$E14+K$31*ABS($E14-$F14)/9</f>
        <v>-2138.5630000000019</v>
      </c>
      <c r="L32" s="39"/>
    </row>
    <row r="33" spans="1:12" x14ac:dyDescent="0.2">
      <c r="A33" t="str">
        <f>A15</f>
        <v>20MWe</v>
      </c>
      <c r="B33" s="40">
        <f>$E15+B$31*ABS($E15-$F15)/9</f>
        <v>-5656.7629999999999</v>
      </c>
      <c r="C33" s="40">
        <f>$E15+C$31*ABS($E15-$F15)/9</f>
        <v>-5265.8518888888884</v>
      </c>
      <c r="D33" s="40">
        <f>$E15+D$31*ABS($E15-$F15)/9</f>
        <v>-4874.9407777777778</v>
      </c>
      <c r="E33" s="40">
        <f>$E15+E$31*ABS($E15-$F15)/9</f>
        <v>-4484.0296666666663</v>
      </c>
      <c r="F33" s="40">
        <f>$E15+F$31*ABS($E15-$F15)/9</f>
        <v>-4093.1185555555553</v>
      </c>
      <c r="G33" s="40">
        <f>$E15+G$31*ABS($E15-$F15)/9</f>
        <v>-3702.2074444444443</v>
      </c>
      <c r="H33" s="40">
        <f>$E15+H$31*ABS($E15-$F15)/9</f>
        <v>-3311.2963333333332</v>
      </c>
      <c r="I33" s="40">
        <f>$E15+I$31*ABS($E15-$F15)/9</f>
        <v>-2920.3852222222222</v>
      </c>
      <c r="J33" s="40">
        <f>$E15+J$31*ABS($E15-$F15)/9</f>
        <v>-2529.4741111111107</v>
      </c>
      <c r="K33" s="40">
        <f>$E15+K$31*ABS($E15-$F15)/9</f>
        <v>-2138.5629999999996</v>
      </c>
      <c r="L33" s="40"/>
    </row>
    <row r="34" spans="1:12" x14ac:dyDescent="0.2">
      <c r="A34" t="str">
        <f>A16</f>
        <v>40MWe</v>
      </c>
      <c r="B34" s="40">
        <f>$E16+B$31*ABS($E16-$F16)/9</f>
        <v>-11687.963</v>
      </c>
      <c r="C34" s="40">
        <f>$E16+C$31*ABS($E16-$F16)/9</f>
        <v>-10626.918555555556</v>
      </c>
      <c r="D34" s="40">
        <f>$E16+D$31*ABS($E16-$F16)/9</f>
        <v>-9565.8741111111103</v>
      </c>
      <c r="E34" s="40">
        <f>$E16+E$31*ABS($E16-$F16)/9</f>
        <v>-8504.8296666666665</v>
      </c>
      <c r="F34" s="40">
        <f>$E16+F$31*ABS($E16-$F16)/9</f>
        <v>-7443.7852222222218</v>
      </c>
      <c r="G34" s="40">
        <f>$E16+G$31*ABS($E16-$F16)/9</f>
        <v>-6382.7407777777771</v>
      </c>
      <c r="H34" s="40">
        <f>$E16+H$31*ABS($E16-$F16)/9</f>
        <v>-5321.6963333333333</v>
      </c>
      <c r="I34" s="40">
        <f>$E16+I$31*ABS($E16-$F16)/9</f>
        <v>-4260.6518888888886</v>
      </c>
      <c r="J34" s="40">
        <f>$E16+J$31*ABS($E16-$F16)/9</f>
        <v>-3199.6074444444439</v>
      </c>
      <c r="K34" s="40">
        <f>$E16+K$31*ABS($E16-$F16)/9</f>
        <v>-2138.5630000000001</v>
      </c>
      <c r="L34" s="39"/>
    </row>
    <row r="35" spans="1:12" x14ac:dyDescent="0.2">
      <c r="A35" t="str">
        <f t="shared" ref="A35:A36" si="9">A17</f>
        <v>80MWe</v>
      </c>
      <c r="B35" s="40">
        <f t="shared" ref="B35:K35" si="10">$E17+B$31*ABS($E17-$F17)/9</f>
        <v>-23750.363000000001</v>
      </c>
      <c r="C35" s="40">
        <f t="shared" si="10"/>
        <v>-21349.051888888891</v>
      </c>
      <c r="D35" s="40">
        <f t="shared" si="10"/>
        <v>-18947.740777777777</v>
      </c>
      <c r="E35" s="40">
        <f t="shared" si="10"/>
        <v>-16546.429666666667</v>
      </c>
      <c r="F35" s="40">
        <f t="shared" si="10"/>
        <v>-14145.118555555555</v>
      </c>
      <c r="G35" s="40">
        <f t="shared" si="10"/>
        <v>-11743.807444444445</v>
      </c>
      <c r="H35" s="40">
        <f t="shared" si="10"/>
        <v>-9342.4963333333326</v>
      </c>
      <c r="I35" s="40">
        <f t="shared" si="10"/>
        <v>-6941.1852222222187</v>
      </c>
      <c r="J35" s="40">
        <f t="shared" si="10"/>
        <v>-4539.8741111111085</v>
      </c>
      <c r="K35" s="40">
        <f t="shared" si="10"/>
        <v>-2138.5629999999983</v>
      </c>
      <c r="L35" s="39"/>
    </row>
    <row r="36" spans="1:12" x14ac:dyDescent="0.2">
      <c r="A36" t="str">
        <f t="shared" si="9"/>
        <v>100MWe</v>
      </c>
      <c r="B36" s="40">
        <f t="shared" ref="B36:K36" si="11">$E18+B$31*ABS($E18-$F18)/9</f>
        <v>-24755.562999999998</v>
      </c>
      <c r="C36" s="40">
        <f t="shared" si="11"/>
        <v>-22242.562999999998</v>
      </c>
      <c r="D36" s="40">
        <f t="shared" si="11"/>
        <v>-19729.562999999998</v>
      </c>
      <c r="E36" s="40">
        <f t="shared" si="11"/>
        <v>-17216.562999999998</v>
      </c>
      <c r="F36" s="40">
        <f t="shared" si="11"/>
        <v>-14703.562999999998</v>
      </c>
      <c r="G36" s="40">
        <f t="shared" si="11"/>
        <v>-12190.562999999998</v>
      </c>
      <c r="H36" s="40">
        <f t="shared" si="11"/>
        <v>-9677.5629999999983</v>
      </c>
      <c r="I36" s="40">
        <f t="shared" si="11"/>
        <v>-7164.5629999999983</v>
      </c>
      <c r="J36" s="40">
        <f t="shared" si="11"/>
        <v>-4651.5629999999983</v>
      </c>
      <c r="K36" s="40">
        <f t="shared" si="11"/>
        <v>-2138.5629999999983</v>
      </c>
      <c r="L36" s="39"/>
    </row>
    <row r="37" spans="1:12" x14ac:dyDescent="0.2"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39"/>
    </row>
    <row r="39" spans="1:12" x14ac:dyDescent="0.2">
      <c r="A39" t="s">
        <v>198</v>
      </c>
      <c r="D39" t="str">
        <f>A14</f>
        <v>Ref</v>
      </c>
      <c r="F39" t="str">
        <f>A15</f>
        <v>20MWe</v>
      </c>
      <c r="H39" t="str">
        <f>A16</f>
        <v>40MWe</v>
      </c>
    </row>
    <row r="40" spans="1:12" x14ac:dyDescent="0.2">
      <c r="A40" t="s">
        <v>199</v>
      </c>
      <c r="B40" s="35" t="s">
        <v>191</v>
      </c>
      <c r="C40" s="35" t="s">
        <v>192</v>
      </c>
      <c r="D40" t="s">
        <v>189</v>
      </c>
      <c r="E40" t="s">
        <v>190</v>
      </c>
      <c r="F40" t="s">
        <v>189</v>
      </c>
      <c r="G40" t="s">
        <v>190</v>
      </c>
      <c r="H40" t="s">
        <v>189</v>
      </c>
      <c r="I40" t="s">
        <v>190</v>
      </c>
    </row>
    <row r="41" spans="1:12" x14ac:dyDescent="0.2">
      <c r="A41" t="s">
        <v>178</v>
      </c>
      <c r="B41" s="35">
        <f t="shared" ref="B41:B43" si="12">ROUNDUP(C41*$B$45/$C$45,0)</f>
        <v>2</v>
      </c>
      <c r="C41" s="35">
        <v>934</v>
      </c>
      <c r="D41">
        <v>0</v>
      </c>
      <c r="E41" s="34">
        <f>ABS($E$14)*24*B41</f>
        <v>850519.82400000002</v>
      </c>
      <c r="F41" s="34">
        <v>0</v>
      </c>
      <c r="G41" s="34">
        <f>ABS($E$15)*24*$B41</f>
        <v>271524.62400000001</v>
      </c>
      <c r="H41" s="34">
        <v>0</v>
      </c>
      <c r="I41" s="34">
        <f>ABS($E$16)*24*$B41</f>
        <v>561022.22399999993</v>
      </c>
      <c r="J41" s="34"/>
      <c r="K41" s="34"/>
    </row>
    <row r="42" spans="1:12" x14ac:dyDescent="0.2">
      <c r="A42" t="s">
        <v>183</v>
      </c>
      <c r="B42" s="35">
        <f t="shared" si="12"/>
        <v>7</v>
      </c>
      <c r="C42" s="35">
        <v>4231</v>
      </c>
      <c r="D42">
        <v>0</v>
      </c>
      <c r="E42" s="34">
        <f>ABS($E$14)*24*B42</f>
        <v>2976819.3840000001</v>
      </c>
      <c r="F42" s="34">
        <v>0</v>
      </c>
      <c r="G42" s="34">
        <f t="shared" ref="G42:G45" si="13">ABS($E$15)*24*$B42</f>
        <v>950336.18400000001</v>
      </c>
      <c r="H42" s="34">
        <v>0</v>
      </c>
      <c r="I42" s="34">
        <f t="shared" ref="I42:I45" si="14">ABS($E$16)*24*$B42</f>
        <v>1963577.7839999998</v>
      </c>
      <c r="J42" s="34"/>
      <c r="K42" s="34"/>
    </row>
    <row r="43" spans="1:12" x14ac:dyDescent="0.2">
      <c r="A43" t="s">
        <v>179</v>
      </c>
      <c r="B43" s="35">
        <f t="shared" si="12"/>
        <v>2</v>
      </c>
      <c r="C43" s="35">
        <v>934</v>
      </c>
      <c r="D43">
        <v>0</v>
      </c>
      <c r="E43" s="34">
        <f>ABS($E$14)*24*B43</f>
        <v>850519.82400000002</v>
      </c>
      <c r="F43" s="34">
        <v>0</v>
      </c>
      <c r="G43" s="34">
        <f t="shared" si="13"/>
        <v>271524.62400000001</v>
      </c>
      <c r="H43" s="34">
        <v>0</v>
      </c>
      <c r="I43" s="34">
        <f t="shared" si="14"/>
        <v>561022.22399999993</v>
      </c>
      <c r="J43" s="34"/>
      <c r="K43" s="34"/>
    </row>
    <row r="44" spans="1:12" x14ac:dyDescent="0.2">
      <c r="A44" t="s">
        <v>182</v>
      </c>
      <c r="B44" s="35">
        <f>ROUNDUP(C44*$B$45/$C$45,0)</f>
        <v>1</v>
      </c>
      <c r="C44" s="35">
        <v>97</v>
      </c>
      <c r="D44">
        <v>0</v>
      </c>
      <c r="E44" s="34">
        <f>ABS($E$14)*24*B44</f>
        <v>425259.91200000001</v>
      </c>
      <c r="F44" s="34">
        <v>0</v>
      </c>
      <c r="G44" s="34">
        <f t="shared" si="13"/>
        <v>135762.31200000001</v>
      </c>
      <c r="H44" s="34">
        <v>0</v>
      </c>
      <c r="I44" s="34">
        <f t="shared" si="14"/>
        <v>280511.11199999996</v>
      </c>
    </row>
    <row r="45" spans="1:12" x14ac:dyDescent="0.2">
      <c r="A45" t="s">
        <v>180</v>
      </c>
      <c r="B45" s="35">
        <v>14</v>
      </c>
      <c r="C45" s="35">
        <v>8997</v>
      </c>
      <c r="D45">
        <v>0</v>
      </c>
      <c r="E45" s="34">
        <f>ABS($E$14)*24*B45</f>
        <v>5953638.7680000002</v>
      </c>
      <c r="F45" s="34">
        <v>0</v>
      </c>
      <c r="G45" s="34">
        <f t="shared" si="13"/>
        <v>1900672.368</v>
      </c>
      <c r="H45" s="34">
        <v>0</v>
      </c>
      <c r="I45" s="34">
        <f t="shared" si="14"/>
        <v>3927155.5679999995</v>
      </c>
    </row>
    <row r="47" spans="1:12" x14ac:dyDescent="0.2">
      <c r="A47" t="s">
        <v>195</v>
      </c>
      <c r="B47">
        <v>0</v>
      </c>
      <c r="C47" s="35">
        <v>1</v>
      </c>
      <c r="D47">
        <v>2</v>
      </c>
      <c r="E47" s="35">
        <v>3</v>
      </c>
      <c r="F47">
        <v>4</v>
      </c>
      <c r="G47" s="35">
        <v>5</v>
      </c>
      <c r="H47">
        <v>6</v>
      </c>
      <c r="I47" s="35">
        <v>7</v>
      </c>
      <c r="J47">
        <v>8</v>
      </c>
      <c r="K47" s="35">
        <v>9</v>
      </c>
    </row>
    <row r="48" spans="1:12" x14ac:dyDescent="0.2">
      <c r="A48" t="str">
        <f>A41</f>
        <v>illinois</v>
      </c>
      <c r="B48" s="34">
        <f>$D41+B$47*ABS($E41-$D41)/9</f>
        <v>0</v>
      </c>
      <c r="C48" s="34">
        <f>$D41+C$47*ABS($E41-$D41)/9</f>
        <v>94502.202666666664</v>
      </c>
      <c r="D48" s="34">
        <f t="shared" ref="C48:K48" si="15">$D41+D$47*ABS($E41-$D41)/9</f>
        <v>189004.40533333333</v>
      </c>
      <c r="E48" s="34">
        <f t="shared" si="15"/>
        <v>283506.60800000001</v>
      </c>
      <c r="F48" s="34">
        <f t="shared" si="15"/>
        <v>378008.81066666666</v>
      </c>
      <c r="G48" s="34">
        <f t="shared" si="15"/>
        <v>472511.01333333337</v>
      </c>
      <c r="H48" s="34">
        <f t="shared" si="15"/>
        <v>567013.21600000001</v>
      </c>
      <c r="I48" s="34">
        <f t="shared" si="15"/>
        <v>661515.41866666672</v>
      </c>
      <c r="J48" s="34">
        <f t="shared" si="15"/>
        <v>756017.62133333331</v>
      </c>
      <c r="K48" s="34">
        <f t="shared" si="15"/>
        <v>850519.82400000002</v>
      </c>
    </row>
    <row r="49" spans="1:11" x14ac:dyDescent="0.2">
      <c r="A49" t="str">
        <f t="shared" ref="A49:A52" si="16">A42</f>
        <v>nebraska</v>
      </c>
      <c r="B49" s="34">
        <f t="shared" ref="B49:K52" si="17">$D42+B$47*ABS($E42-$D42)/9</f>
        <v>0</v>
      </c>
      <c r="C49" s="34">
        <f t="shared" si="17"/>
        <v>330757.70933333336</v>
      </c>
      <c r="D49" s="34">
        <f t="shared" si="17"/>
        <v>661515.41866666672</v>
      </c>
      <c r="E49" s="34">
        <f t="shared" si="17"/>
        <v>992273.12800000003</v>
      </c>
      <c r="F49" s="34">
        <f t="shared" si="17"/>
        <v>1323030.8373333334</v>
      </c>
      <c r="G49" s="34">
        <f t="shared" si="17"/>
        <v>1653788.5466666666</v>
      </c>
      <c r="H49" s="34">
        <f t="shared" si="17"/>
        <v>1984546.2560000001</v>
      </c>
      <c r="I49" s="34">
        <f t="shared" si="17"/>
        <v>2315303.9653333332</v>
      </c>
      <c r="J49" s="34">
        <f t="shared" si="17"/>
        <v>2646061.6746666669</v>
      </c>
      <c r="K49" s="34">
        <f t="shared" si="17"/>
        <v>2976819.3840000001</v>
      </c>
    </row>
    <row r="50" spans="1:11" x14ac:dyDescent="0.2">
      <c r="A50" t="str">
        <f t="shared" si="16"/>
        <v>ohio</v>
      </c>
      <c r="B50" s="34">
        <f t="shared" si="17"/>
        <v>0</v>
      </c>
      <c r="C50" s="34">
        <f t="shared" si="17"/>
        <v>94502.202666666664</v>
      </c>
      <c r="D50" s="34">
        <f t="shared" si="17"/>
        <v>189004.40533333333</v>
      </c>
      <c r="E50" s="34">
        <f t="shared" si="17"/>
        <v>283506.60800000001</v>
      </c>
      <c r="F50" s="34">
        <f t="shared" si="17"/>
        <v>378008.81066666666</v>
      </c>
      <c r="G50" s="34">
        <f t="shared" si="17"/>
        <v>472511.01333333337</v>
      </c>
      <c r="H50" s="34">
        <f t="shared" si="17"/>
        <v>567013.21600000001</v>
      </c>
      <c r="I50" s="34">
        <f t="shared" si="17"/>
        <v>661515.41866666672</v>
      </c>
      <c r="J50" s="34">
        <f t="shared" si="17"/>
        <v>756017.62133333331</v>
      </c>
      <c r="K50" s="34">
        <f t="shared" si="17"/>
        <v>850519.82400000002</v>
      </c>
    </row>
    <row r="51" spans="1:11" x14ac:dyDescent="0.2">
      <c r="A51" t="str">
        <f t="shared" si="16"/>
        <v>minnesota</v>
      </c>
      <c r="B51" s="34">
        <f>$D44+B$47*ABS($E44-$D44)/9</f>
        <v>0</v>
      </c>
      <c r="C51" s="34">
        <f t="shared" si="17"/>
        <v>47251.101333333332</v>
      </c>
      <c r="D51" s="34">
        <f t="shared" si="17"/>
        <v>94502.202666666664</v>
      </c>
      <c r="E51" s="34">
        <f t="shared" si="17"/>
        <v>141753.304</v>
      </c>
      <c r="F51" s="34">
        <f t="shared" si="17"/>
        <v>189004.40533333333</v>
      </c>
      <c r="G51" s="34">
        <f t="shared" si="17"/>
        <v>236255.50666666668</v>
      </c>
      <c r="H51" s="34">
        <f t="shared" si="17"/>
        <v>283506.60800000001</v>
      </c>
      <c r="I51" s="34">
        <f t="shared" si="17"/>
        <v>330757.70933333336</v>
      </c>
      <c r="J51" s="34">
        <f t="shared" si="17"/>
        <v>378008.81066666666</v>
      </c>
      <c r="K51" s="34">
        <f t="shared" si="17"/>
        <v>425259.91200000001</v>
      </c>
    </row>
    <row r="52" spans="1:11" x14ac:dyDescent="0.2">
      <c r="A52" t="str">
        <f t="shared" si="16"/>
        <v>texas</v>
      </c>
      <c r="B52" s="34">
        <f t="shared" si="17"/>
        <v>0</v>
      </c>
      <c r="C52" s="34">
        <f>$D45+C$47*ABS($E45-$D45)/9</f>
        <v>661515.41866666672</v>
      </c>
      <c r="D52" s="34">
        <f t="shared" si="17"/>
        <v>1323030.8373333334</v>
      </c>
      <c r="E52" s="34">
        <f t="shared" si="17"/>
        <v>1984546.2560000001</v>
      </c>
      <c r="F52" s="34">
        <f t="shared" si="17"/>
        <v>2646061.6746666669</v>
      </c>
      <c r="G52" s="34">
        <f t="shared" si="17"/>
        <v>3307577.0933333333</v>
      </c>
      <c r="H52" s="34">
        <f t="shared" si="17"/>
        <v>3969092.5120000001</v>
      </c>
      <c r="I52" s="34">
        <f t="shared" si="17"/>
        <v>4630607.9306666665</v>
      </c>
      <c r="J52" s="34">
        <f t="shared" si="17"/>
        <v>5292123.3493333338</v>
      </c>
      <c r="K52" s="34">
        <f t="shared" si="17"/>
        <v>5953638.7680000002</v>
      </c>
    </row>
    <row r="54" spans="1:11" x14ac:dyDescent="0.2">
      <c r="A54" t="s">
        <v>200</v>
      </c>
      <c r="B54">
        <v>0</v>
      </c>
      <c r="C54" s="35">
        <v>1</v>
      </c>
      <c r="D54">
        <v>2</v>
      </c>
      <c r="E54" s="35">
        <v>3</v>
      </c>
      <c r="F54">
        <v>4</v>
      </c>
      <c r="G54" s="35">
        <v>5</v>
      </c>
      <c r="H54">
        <v>6</v>
      </c>
      <c r="I54" s="35">
        <v>7</v>
      </c>
      <c r="J54">
        <v>8</v>
      </c>
      <c r="K54" s="35">
        <v>9</v>
      </c>
    </row>
    <row r="55" spans="1:11" x14ac:dyDescent="0.2">
      <c r="A55" t="str">
        <f>A48</f>
        <v>illinois</v>
      </c>
      <c r="B55" s="34">
        <f>$F41+B$47*ABS($G41-$F41)/9</f>
        <v>0</v>
      </c>
      <c r="C55" s="34">
        <f t="shared" ref="C55:K55" si="18">$F41+C$47*ABS($G41-$F41)/9</f>
        <v>30169.402666666669</v>
      </c>
      <c r="D55" s="34">
        <f t="shared" si="18"/>
        <v>60338.805333333337</v>
      </c>
      <c r="E55" s="34">
        <f t="shared" si="18"/>
        <v>90508.207999999999</v>
      </c>
      <c r="F55" s="34">
        <f t="shared" si="18"/>
        <v>120677.61066666667</v>
      </c>
      <c r="G55" s="34">
        <f t="shared" si="18"/>
        <v>150847.01333333334</v>
      </c>
      <c r="H55" s="34">
        <f t="shared" si="18"/>
        <v>181016.416</v>
      </c>
      <c r="I55" s="34">
        <f t="shared" si="18"/>
        <v>211185.81866666666</v>
      </c>
      <c r="J55" s="34">
        <f t="shared" si="18"/>
        <v>241355.22133333335</v>
      </c>
      <c r="K55" s="34">
        <f t="shared" si="18"/>
        <v>271524.62400000001</v>
      </c>
    </row>
    <row r="56" spans="1:11" x14ac:dyDescent="0.2">
      <c r="A56" t="str">
        <f t="shared" ref="A56:A59" si="19">A49</f>
        <v>nebraska</v>
      </c>
      <c r="B56" s="34">
        <f t="shared" ref="B56:K59" si="20">$F42+B$47*ABS($G42-$F42)/9</f>
        <v>0</v>
      </c>
      <c r="C56" s="34">
        <f t="shared" si="20"/>
        <v>105592.90933333333</v>
      </c>
      <c r="D56" s="34">
        <f t="shared" si="20"/>
        <v>211185.81866666666</v>
      </c>
      <c r="E56" s="34">
        <f t="shared" si="20"/>
        <v>316778.728</v>
      </c>
      <c r="F56" s="34">
        <f t="shared" si="20"/>
        <v>422371.63733333332</v>
      </c>
      <c r="G56" s="34">
        <f t="shared" si="20"/>
        <v>527964.54666666663</v>
      </c>
      <c r="H56" s="34">
        <f t="shared" si="20"/>
        <v>633557.45600000001</v>
      </c>
      <c r="I56" s="34">
        <f t="shared" si="20"/>
        <v>739150.36533333326</v>
      </c>
      <c r="J56" s="34">
        <f t="shared" si="20"/>
        <v>844743.27466666664</v>
      </c>
      <c r="K56" s="34">
        <f t="shared" si="20"/>
        <v>950336.18399999989</v>
      </c>
    </row>
    <row r="57" spans="1:11" x14ac:dyDescent="0.2">
      <c r="A57" t="str">
        <f t="shared" si="19"/>
        <v>ohio</v>
      </c>
      <c r="B57" s="34">
        <f t="shared" si="20"/>
        <v>0</v>
      </c>
      <c r="C57" s="34">
        <f t="shared" si="20"/>
        <v>30169.402666666669</v>
      </c>
      <c r="D57" s="34">
        <f t="shared" si="20"/>
        <v>60338.805333333337</v>
      </c>
      <c r="E57" s="34">
        <f t="shared" si="20"/>
        <v>90508.207999999999</v>
      </c>
      <c r="F57" s="34">
        <f t="shared" si="20"/>
        <v>120677.61066666667</v>
      </c>
      <c r="G57" s="34">
        <f t="shared" si="20"/>
        <v>150847.01333333334</v>
      </c>
      <c r="H57" s="34">
        <f t="shared" si="20"/>
        <v>181016.416</v>
      </c>
      <c r="I57" s="34">
        <f t="shared" si="20"/>
        <v>211185.81866666666</v>
      </c>
      <c r="J57" s="34">
        <f t="shared" si="20"/>
        <v>241355.22133333335</v>
      </c>
      <c r="K57" s="34">
        <f t="shared" si="20"/>
        <v>271524.62400000001</v>
      </c>
    </row>
    <row r="58" spans="1:11" x14ac:dyDescent="0.2">
      <c r="A58" t="str">
        <f t="shared" si="19"/>
        <v>minnesota</v>
      </c>
      <c r="B58" s="34">
        <f t="shared" si="20"/>
        <v>0</v>
      </c>
      <c r="C58" s="34">
        <f t="shared" si="20"/>
        <v>15084.701333333334</v>
      </c>
      <c r="D58" s="34">
        <f t="shared" si="20"/>
        <v>30169.402666666669</v>
      </c>
      <c r="E58" s="34">
        <f t="shared" si="20"/>
        <v>45254.103999999999</v>
      </c>
      <c r="F58" s="34">
        <f t="shared" si="20"/>
        <v>60338.805333333337</v>
      </c>
      <c r="G58" s="34">
        <f t="shared" si="20"/>
        <v>75423.506666666668</v>
      </c>
      <c r="H58" s="34">
        <f t="shared" si="20"/>
        <v>90508.207999999999</v>
      </c>
      <c r="I58" s="34">
        <f t="shared" si="20"/>
        <v>105592.90933333333</v>
      </c>
      <c r="J58" s="34">
        <f t="shared" si="20"/>
        <v>120677.61066666667</v>
      </c>
      <c r="K58" s="34">
        <f t="shared" si="20"/>
        <v>135762.31200000001</v>
      </c>
    </row>
    <row r="59" spans="1:11" x14ac:dyDescent="0.2">
      <c r="A59" t="str">
        <f t="shared" si="19"/>
        <v>texas</v>
      </c>
      <c r="B59" s="34">
        <f t="shared" si="20"/>
        <v>0</v>
      </c>
      <c r="C59" s="34">
        <f t="shared" si="20"/>
        <v>211185.81866666666</v>
      </c>
      <c r="D59" s="34">
        <f t="shared" si="20"/>
        <v>422371.63733333332</v>
      </c>
      <c r="E59" s="34">
        <f t="shared" si="20"/>
        <v>633557.45600000001</v>
      </c>
      <c r="F59" s="34">
        <f t="shared" si="20"/>
        <v>844743.27466666664</v>
      </c>
      <c r="G59" s="34">
        <f t="shared" si="20"/>
        <v>1055929.0933333333</v>
      </c>
      <c r="H59" s="34">
        <f t="shared" si="20"/>
        <v>1267114.912</v>
      </c>
      <c r="I59" s="34">
        <f t="shared" si="20"/>
        <v>1478300.7306666665</v>
      </c>
      <c r="J59" s="34">
        <f t="shared" si="20"/>
        <v>1689486.5493333333</v>
      </c>
      <c r="K59" s="34">
        <f t="shared" si="20"/>
        <v>1900672.3679999998</v>
      </c>
    </row>
    <row r="61" spans="1:11" x14ac:dyDescent="0.2">
      <c r="A61" t="s">
        <v>201</v>
      </c>
      <c r="B61">
        <v>0</v>
      </c>
      <c r="C61" s="35">
        <v>1</v>
      </c>
      <c r="D61">
        <v>2</v>
      </c>
      <c r="E61" s="35">
        <v>3</v>
      </c>
      <c r="F61">
        <v>4</v>
      </c>
      <c r="G61" s="35">
        <v>5</v>
      </c>
      <c r="H61">
        <v>6</v>
      </c>
      <c r="I61" s="35">
        <v>7</v>
      </c>
      <c r="J61">
        <v>8</v>
      </c>
      <c r="K61" s="35">
        <v>9</v>
      </c>
    </row>
    <row r="62" spans="1:11" x14ac:dyDescent="0.2">
      <c r="A62" t="str">
        <f>A55</f>
        <v>illinois</v>
      </c>
      <c r="B62" s="34">
        <f>$H41+B$47*ABS($I41-$H41)/9</f>
        <v>0</v>
      </c>
      <c r="C62" s="34">
        <f t="shared" ref="C62:K62" si="21">$H41+C$47*ABS($I41-$H41)/9</f>
        <v>62335.802666666656</v>
      </c>
      <c r="D62" s="34">
        <f t="shared" si="21"/>
        <v>124671.60533333331</v>
      </c>
      <c r="E62" s="34">
        <f t="shared" si="21"/>
        <v>187007.40799999997</v>
      </c>
      <c r="F62" s="34">
        <f t="shared" si="21"/>
        <v>249343.21066666662</v>
      </c>
      <c r="G62" s="34">
        <f t="shared" si="21"/>
        <v>311679.01333333331</v>
      </c>
      <c r="H62" s="34">
        <f t="shared" si="21"/>
        <v>374014.81599999993</v>
      </c>
      <c r="I62" s="34">
        <f t="shared" si="21"/>
        <v>436350.61866666662</v>
      </c>
      <c r="J62" s="34">
        <f t="shared" si="21"/>
        <v>498686.42133333324</v>
      </c>
      <c r="K62" s="34">
        <f t="shared" si="21"/>
        <v>561022.22399999993</v>
      </c>
    </row>
    <row r="63" spans="1:11" x14ac:dyDescent="0.2">
      <c r="A63" t="str">
        <f t="shared" ref="A63:A66" si="22">A56</f>
        <v>nebraska</v>
      </c>
      <c r="B63" s="34">
        <f t="shared" ref="B63:K66" si="23">$H42+B$47*ABS($I42-$H42)/9</f>
        <v>0</v>
      </c>
      <c r="C63" s="34">
        <f t="shared" si="23"/>
        <v>218175.30933333331</v>
      </c>
      <c r="D63" s="34">
        <f t="shared" si="23"/>
        <v>436350.61866666662</v>
      </c>
      <c r="E63" s="34">
        <f t="shared" si="23"/>
        <v>654525.92799999984</v>
      </c>
      <c r="F63" s="34">
        <f t="shared" si="23"/>
        <v>872701.23733333324</v>
      </c>
      <c r="G63" s="34">
        <f t="shared" si="23"/>
        <v>1090876.5466666664</v>
      </c>
      <c r="H63" s="34">
        <f t="shared" si="23"/>
        <v>1309051.8559999997</v>
      </c>
      <c r="I63" s="34">
        <f t="shared" si="23"/>
        <v>1527227.1653333332</v>
      </c>
      <c r="J63" s="34">
        <f t="shared" si="23"/>
        <v>1745402.4746666665</v>
      </c>
      <c r="K63" s="34">
        <f t="shared" si="23"/>
        <v>1963577.7839999998</v>
      </c>
    </row>
    <row r="64" spans="1:11" x14ac:dyDescent="0.2">
      <c r="A64" t="str">
        <f t="shared" si="22"/>
        <v>ohio</v>
      </c>
      <c r="B64" s="34">
        <f t="shared" si="23"/>
        <v>0</v>
      </c>
      <c r="C64" s="34">
        <f t="shared" si="23"/>
        <v>62335.802666666656</v>
      </c>
      <c r="D64" s="34">
        <f t="shared" si="23"/>
        <v>124671.60533333331</v>
      </c>
      <c r="E64" s="34">
        <f t="shared" si="23"/>
        <v>187007.40799999997</v>
      </c>
      <c r="F64" s="34">
        <f t="shared" si="23"/>
        <v>249343.21066666662</v>
      </c>
      <c r="G64" s="34">
        <f t="shared" si="23"/>
        <v>311679.01333333331</v>
      </c>
      <c r="H64" s="34">
        <f t="shared" si="23"/>
        <v>374014.81599999993</v>
      </c>
      <c r="I64" s="34">
        <f t="shared" si="23"/>
        <v>436350.61866666662</v>
      </c>
      <c r="J64" s="34">
        <f t="shared" si="23"/>
        <v>498686.42133333324</v>
      </c>
      <c r="K64" s="34">
        <f t="shared" si="23"/>
        <v>561022.22399999993</v>
      </c>
    </row>
    <row r="65" spans="1:11" x14ac:dyDescent="0.2">
      <c r="A65" t="str">
        <f t="shared" si="22"/>
        <v>minnesota</v>
      </c>
      <c r="B65" s="34">
        <f t="shared" si="23"/>
        <v>0</v>
      </c>
      <c r="C65" s="34">
        <f t="shared" si="23"/>
        <v>31167.901333333328</v>
      </c>
      <c r="D65" s="34">
        <f t="shared" si="23"/>
        <v>62335.802666666656</v>
      </c>
      <c r="E65" s="34">
        <f t="shared" si="23"/>
        <v>93503.703999999983</v>
      </c>
      <c r="F65" s="34">
        <f t="shared" si="23"/>
        <v>124671.60533333331</v>
      </c>
      <c r="G65" s="34">
        <f t="shared" si="23"/>
        <v>155839.50666666665</v>
      </c>
      <c r="H65" s="34">
        <f t="shared" si="23"/>
        <v>187007.40799999997</v>
      </c>
      <c r="I65" s="34">
        <f t="shared" si="23"/>
        <v>218175.30933333331</v>
      </c>
      <c r="J65" s="34">
        <f t="shared" si="23"/>
        <v>249343.21066666662</v>
      </c>
      <c r="K65" s="34">
        <f t="shared" si="23"/>
        <v>280511.11199999996</v>
      </c>
    </row>
    <row r="66" spans="1:11" x14ac:dyDescent="0.2">
      <c r="A66" t="str">
        <f t="shared" si="22"/>
        <v>texas</v>
      </c>
      <c r="B66" s="34">
        <f t="shared" si="23"/>
        <v>0</v>
      </c>
      <c r="C66" s="34">
        <f t="shared" si="23"/>
        <v>436350.61866666662</v>
      </c>
      <c r="D66" s="34">
        <f t="shared" si="23"/>
        <v>872701.23733333324</v>
      </c>
      <c r="E66" s="34">
        <f t="shared" si="23"/>
        <v>1309051.8559999997</v>
      </c>
      <c r="F66" s="34">
        <f t="shared" si="23"/>
        <v>1745402.4746666665</v>
      </c>
      <c r="G66" s="34">
        <f t="shared" si="23"/>
        <v>2181753.0933333328</v>
      </c>
      <c r="H66" s="34">
        <f t="shared" si="23"/>
        <v>2618103.7119999994</v>
      </c>
      <c r="I66" s="34">
        <f t="shared" si="23"/>
        <v>3054454.3306666664</v>
      </c>
      <c r="J66" s="34">
        <f t="shared" si="23"/>
        <v>3490804.9493333329</v>
      </c>
      <c r="K66" s="34">
        <f t="shared" si="23"/>
        <v>3927155.5679999995</v>
      </c>
    </row>
  </sheetData>
  <mergeCells count="5">
    <mergeCell ref="A12:A13"/>
    <mergeCell ref="B12:B13"/>
    <mergeCell ref="C12:D12"/>
    <mergeCell ref="E12:F12"/>
    <mergeCell ref="G12:H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62179-2135-43B7-98DA-D4A6A7868310}">
  <dimension ref="A1:H8"/>
  <sheetViews>
    <sheetView workbookViewId="0">
      <selection activeCell="H15" sqref="H15"/>
    </sheetView>
  </sheetViews>
  <sheetFormatPr baseColWidth="10" defaultColWidth="8.83203125" defaultRowHeight="15" x14ac:dyDescent="0.2"/>
  <cols>
    <col min="1" max="1" width="8.6640625" style="1"/>
    <col min="2" max="2" width="85.6640625" bestFit="1" customWidth="1"/>
  </cols>
  <sheetData>
    <row r="1" spans="1:8" x14ac:dyDescent="0.2">
      <c r="A1" s="1" t="s">
        <v>11</v>
      </c>
      <c r="B1" t="s">
        <v>1</v>
      </c>
      <c r="C1" t="s">
        <v>10</v>
      </c>
    </row>
    <row r="2" spans="1:8" x14ac:dyDescent="0.2">
      <c r="A2" s="38" t="s">
        <v>2</v>
      </c>
      <c r="B2" s="38"/>
      <c r="C2" t="s">
        <v>4</v>
      </c>
      <c r="F2" t="s">
        <v>14</v>
      </c>
      <c r="G2" t="s">
        <v>4</v>
      </c>
      <c r="H2" t="s">
        <v>19</v>
      </c>
    </row>
    <row r="3" spans="1:8" x14ac:dyDescent="0.2">
      <c r="A3" s="1" t="s">
        <v>5</v>
      </c>
      <c r="B3" t="s">
        <v>3</v>
      </c>
      <c r="C3">
        <v>15</v>
      </c>
      <c r="F3" t="s">
        <v>15</v>
      </c>
      <c r="G3">
        <v>7</v>
      </c>
      <c r="H3">
        <v>49.222000000000001</v>
      </c>
    </row>
    <row r="4" spans="1:8" x14ac:dyDescent="0.2">
      <c r="A4" s="1" t="s">
        <v>6</v>
      </c>
      <c r="B4" t="s">
        <v>7</v>
      </c>
      <c r="C4">
        <v>10</v>
      </c>
      <c r="F4" t="s">
        <v>16</v>
      </c>
      <c r="G4">
        <v>15</v>
      </c>
      <c r="H4">
        <v>49.24</v>
      </c>
    </row>
    <row r="5" spans="1:8" x14ac:dyDescent="0.2">
      <c r="A5" s="1" t="s">
        <v>20</v>
      </c>
      <c r="B5" t="s">
        <v>9</v>
      </c>
      <c r="C5">
        <v>7</v>
      </c>
      <c r="F5" t="s">
        <v>17</v>
      </c>
      <c r="G5">
        <v>20</v>
      </c>
      <c r="H5">
        <v>49.220999999999997</v>
      </c>
    </row>
    <row r="6" spans="1:8" x14ac:dyDescent="0.2">
      <c r="A6" s="1" t="s">
        <v>12</v>
      </c>
      <c r="B6" t="s">
        <v>13</v>
      </c>
      <c r="C6">
        <v>15</v>
      </c>
      <c r="E6" t="s">
        <v>34</v>
      </c>
      <c r="F6" t="s">
        <v>18</v>
      </c>
      <c r="G6">
        <v>20</v>
      </c>
      <c r="H6">
        <v>49.220999999999997</v>
      </c>
    </row>
    <row r="7" spans="1:8" x14ac:dyDescent="0.2">
      <c r="A7" s="1" t="s">
        <v>8</v>
      </c>
      <c r="B7" t="s">
        <v>21</v>
      </c>
      <c r="C7">
        <v>20</v>
      </c>
    </row>
    <row r="8" spans="1:8" x14ac:dyDescent="0.2">
      <c r="A8" s="1" t="s">
        <v>22</v>
      </c>
      <c r="B8" t="s">
        <v>23</v>
      </c>
      <c r="C8">
        <v>5</v>
      </c>
    </row>
  </sheetData>
  <mergeCells count="1">
    <mergeCell ref="A2:B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ACCEB-6613-41C3-AB8E-7E632C9D30FD}">
  <dimension ref="A1:H20"/>
  <sheetViews>
    <sheetView zoomScale="120" zoomScaleNormal="120" workbookViewId="0">
      <selection activeCell="C21" sqref="C21"/>
    </sheetView>
  </sheetViews>
  <sheetFormatPr baseColWidth="10" defaultColWidth="8.83203125" defaultRowHeight="15" x14ac:dyDescent="0.2"/>
  <cols>
    <col min="1" max="1" width="9.5" bestFit="1" customWidth="1"/>
    <col min="2" max="2" width="12.1640625" bestFit="1" customWidth="1"/>
    <col min="4" max="4" width="10.33203125" bestFit="1" customWidth="1"/>
  </cols>
  <sheetData>
    <row r="1" spans="1:8" x14ac:dyDescent="0.2">
      <c r="A1" t="s">
        <v>11</v>
      </c>
    </row>
    <row r="2" spans="1:8" x14ac:dyDescent="0.2">
      <c r="A2" t="s">
        <v>15</v>
      </c>
      <c r="B2" s="18" t="s">
        <v>92</v>
      </c>
    </row>
    <row r="3" spans="1:8" x14ac:dyDescent="0.2">
      <c r="A3" t="s">
        <v>17</v>
      </c>
      <c r="B3" s="18" t="s">
        <v>93</v>
      </c>
    </row>
    <row r="4" spans="1:8" x14ac:dyDescent="0.2">
      <c r="B4" s="18"/>
    </row>
    <row r="5" spans="1:8" x14ac:dyDescent="0.2">
      <c r="A5" s="38" t="s">
        <v>61</v>
      </c>
      <c r="B5" s="38"/>
      <c r="C5" s="38"/>
      <c r="D5" s="38"/>
      <c r="E5" s="38"/>
      <c r="F5" s="38"/>
      <c r="G5" s="38"/>
    </row>
    <row r="6" spans="1:8" x14ac:dyDescent="0.2">
      <c r="A6" s="38" t="s">
        <v>62</v>
      </c>
      <c r="B6" s="38"/>
      <c r="C6" s="38"/>
      <c r="D6" s="38"/>
      <c r="E6" s="38"/>
      <c r="F6" s="38"/>
      <c r="G6" s="38"/>
    </row>
    <row r="7" spans="1:8" x14ac:dyDescent="0.2">
      <c r="A7" t="s">
        <v>63</v>
      </c>
      <c r="B7">
        <v>1580</v>
      </c>
      <c r="C7" t="s">
        <v>67</v>
      </c>
      <c r="D7" s="3">
        <f>B7*1000/(24*3600)</f>
        <v>18.287037037037038</v>
      </c>
      <c r="E7" s="4" t="s">
        <v>72</v>
      </c>
      <c r="F7" s="5">
        <f>B7*1000/24</f>
        <v>65833.333333333328</v>
      </c>
      <c r="G7" t="s">
        <v>74</v>
      </c>
    </row>
    <row r="8" spans="1:8" x14ac:dyDescent="0.2">
      <c r="A8" t="s">
        <v>64</v>
      </c>
      <c r="B8">
        <v>255</v>
      </c>
      <c r="C8" t="s">
        <v>67</v>
      </c>
      <c r="D8" s="3">
        <f>B8*1000/(24*3600)</f>
        <v>2.9513888888888888</v>
      </c>
      <c r="E8" s="4" t="s">
        <v>72</v>
      </c>
      <c r="F8" s="5">
        <f>B8*1000/24</f>
        <v>10625</v>
      </c>
      <c r="G8" t="s">
        <v>74</v>
      </c>
    </row>
    <row r="9" spans="1:8" x14ac:dyDescent="0.2">
      <c r="A9" t="s">
        <v>65</v>
      </c>
      <c r="B9">
        <v>14.9</v>
      </c>
      <c r="C9" t="s">
        <v>66</v>
      </c>
      <c r="D9" s="2" t="s">
        <v>76</v>
      </c>
      <c r="E9" t="s">
        <v>77</v>
      </c>
      <c r="F9" s="2"/>
      <c r="H9" s="2"/>
    </row>
    <row r="10" spans="1:8" x14ac:dyDescent="0.2">
      <c r="A10" s="38" t="s">
        <v>68</v>
      </c>
      <c r="B10" s="38"/>
      <c r="C10" s="38"/>
      <c r="D10" s="38"/>
      <c r="E10" s="38"/>
      <c r="F10" s="38"/>
      <c r="G10" s="38"/>
    </row>
    <row r="11" spans="1:8" x14ac:dyDescent="0.2">
      <c r="A11" t="s">
        <v>69</v>
      </c>
      <c r="B11">
        <v>176</v>
      </c>
      <c r="C11" t="s">
        <v>67</v>
      </c>
      <c r="D11" s="3">
        <f>B11*1000/(24*3600)</f>
        <v>2.0370370370370372</v>
      </c>
      <c r="E11" s="4" t="s">
        <v>72</v>
      </c>
      <c r="F11" s="5">
        <f>B11*1000/24</f>
        <v>7333.333333333333</v>
      </c>
      <c r="G11" t="s">
        <v>74</v>
      </c>
    </row>
    <row r="12" spans="1:8" x14ac:dyDescent="0.2">
      <c r="A12" t="s">
        <v>70</v>
      </c>
      <c r="B12">
        <v>213</v>
      </c>
      <c r="C12" t="s">
        <v>67</v>
      </c>
      <c r="D12" s="3">
        <f t="shared" ref="D12:D13" si="0">B12*1000/(24*3600)</f>
        <v>2.4652777777777777</v>
      </c>
      <c r="E12" s="4" t="s">
        <v>72</v>
      </c>
      <c r="F12" s="5">
        <f t="shared" ref="F12:F13" si="1">B12*1000/24</f>
        <v>8875</v>
      </c>
      <c r="G12" t="s">
        <v>74</v>
      </c>
    </row>
    <row r="13" spans="1:8" x14ac:dyDescent="0.2">
      <c r="A13" t="s">
        <v>71</v>
      </c>
      <c r="B13">
        <v>118</v>
      </c>
      <c r="C13" t="s">
        <v>67</v>
      </c>
      <c r="D13" s="3">
        <f t="shared" si="0"/>
        <v>1.3657407407407407</v>
      </c>
      <c r="E13" s="4" t="s">
        <v>72</v>
      </c>
      <c r="F13" s="5">
        <f t="shared" si="1"/>
        <v>4916.666666666667</v>
      </c>
      <c r="G13" t="s">
        <v>74</v>
      </c>
    </row>
    <row r="15" spans="1:8" x14ac:dyDescent="0.2">
      <c r="A15" s="38" t="s">
        <v>17</v>
      </c>
      <c r="B15" s="38"/>
      <c r="C15" s="38"/>
      <c r="D15" s="38"/>
      <c r="E15" s="38"/>
      <c r="F15" s="38"/>
      <c r="G15" s="38"/>
    </row>
    <row r="16" spans="1:8" x14ac:dyDescent="0.2">
      <c r="A16" s="38" t="s">
        <v>62</v>
      </c>
      <c r="B16" s="38"/>
      <c r="C16" s="38"/>
    </row>
    <row r="17" spans="1:3" x14ac:dyDescent="0.2">
      <c r="A17" t="s">
        <v>65</v>
      </c>
      <c r="B17">
        <v>39.799999999999997</v>
      </c>
      <c r="C17" t="s">
        <v>73</v>
      </c>
    </row>
    <row r="18" spans="1:3" x14ac:dyDescent="0.2">
      <c r="A18" s="38" t="s">
        <v>68</v>
      </c>
      <c r="B18" s="38"/>
      <c r="C18" s="38"/>
    </row>
    <row r="19" spans="1:3" x14ac:dyDescent="0.2">
      <c r="A19" t="s">
        <v>64</v>
      </c>
      <c r="B19" s="6">
        <f>1/B17</f>
        <v>2.5125628140703519E-2</v>
      </c>
      <c r="C19" t="s">
        <v>75</v>
      </c>
    </row>
    <row r="20" spans="1:3" x14ac:dyDescent="0.2">
      <c r="B20">
        <f>B19*1000</f>
        <v>25.125628140703519</v>
      </c>
      <c r="C20" t="s">
        <v>131</v>
      </c>
    </row>
  </sheetData>
  <mergeCells count="6">
    <mergeCell ref="A16:C16"/>
    <mergeCell ref="A18:C18"/>
    <mergeCell ref="A6:G6"/>
    <mergeCell ref="A10:G10"/>
    <mergeCell ref="A5:G5"/>
    <mergeCell ref="A15:G15"/>
  </mergeCells>
  <hyperlinks>
    <hyperlink ref="B2" r:id="rId1" xr:uid="{D47EE4A2-649A-42B4-8738-DF2E48262124}"/>
    <hyperlink ref="B3" r:id="rId2" xr:uid="{49708E60-D8BD-48F2-8030-EEB685223FB9}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15393-90AE-4217-9780-C6903F6FBFD3}">
  <dimension ref="A1:C16"/>
  <sheetViews>
    <sheetView workbookViewId="0">
      <selection activeCell="H35" sqref="H35"/>
    </sheetView>
  </sheetViews>
  <sheetFormatPr baseColWidth="10" defaultColWidth="8.83203125" defaultRowHeight="15" x14ac:dyDescent="0.2"/>
  <cols>
    <col min="1" max="1" width="29" bestFit="1" customWidth="1"/>
    <col min="2" max="2" width="15.33203125" customWidth="1"/>
    <col min="3" max="3" width="12.1640625" bestFit="1" customWidth="1"/>
  </cols>
  <sheetData>
    <row r="1" spans="1:3" ht="16" thickBot="1" x14ac:dyDescent="0.25">
      <c r="A1" t="s">
        <v>0</v>
      </c>
      <c r="B1" t="s">
        <v>24</v>
      </c>
    </row>
    <row r="2" spans="1:3" x14ac:dyDescent="0.2">
      <c r="A2" s="10" t="s">
        <v>26</v>
      </c>
      <c r="B2" s="11" t="s">
        <v>27</v>
      </c>
      <c r="C2" s="12" t="s">
        <v>28</v>
      </c>
    </row>
    <row r="3" spans="1:3" x14ac:dyDescent="0.2">
      <c r="A3" s="13" t="s">
        <v>25</v>
      </c>
      <c r="B3" s="9">
        <v>36.799999999999997</v>
      </c>
      <c r="C3" s="14" t="s">
        <v>29</v>
      </c>
    </row>
    <row r="4" spans="1:3" x14ac:dyDescent="0.2">
      <c r="A4" s="13"/>
      <c r="B4" s="9">
        <f>1/B3</f>
        <v>2.7173913043478264E-2</v>
      </c>
      <c r="C4" s="14" t="s">
        <v>79</v>
      </c>
    </row>
    <row r="5" spans="1:3" x14ac:dyDescent="0.2">
      <c r="A5" s="13" t="s">
        <v>30</v>
      </c>
      <c r="B5">
        <v>6.4</v>
      </c>
      <c r="C5" s="14" t="s">
        <v>31</v>
      </c>
    </row>
    <row r="6" spans="1:3" x14ac:dyDescent="0.2">
      <c r="A6" s="13" t="s">
        <v>36</v>
      </c>
      <c r="B6">
        <v>590</v>
      </c>
      <c r="C6" s="14" t="s">
        <v>33</v>
      </c>
    </row>
    <row r="7" spans="1:3" x14ac:dyDescent="0.2">
      <c r="A7" s="13" t="s">
        <v>37</v>
      </c>
      <c r="B7">
        <v>763</v>
      </c>
      <c r="C7" s="14" t="s">
        <v>33</v>
      </c>
    </row>
    <row r="8" spans="1:3" x14ac:dyDescent="0.2">
      <c r="A8" s="13" t="s">
        <v>32</v>
      </c>
      <c r="B8">
        <v>544</v>
      </c>
      <c r="C8" s="14" t="s">
        <v>33</v>
      </c>
    </row>
    <row r="9" spans="1:3" x14ac:dyDescent="0.2">
      <c r="A9" s="13" t="s">
        <v>35</v>
      </c>
      <c r="B9" s="9">
        <v>703</v>
      </c>
      <c r="C9" s="14" t="s">
        <v>33</v>
      </c>
    </row>
    <row r="10" spans="1:3" x14ac:dyDescent="0.2">
      <c r="A10" s="13" t="s">
        <v>38</v>
      </c>
      <c r="B10">
        <v>20</v>
      </c>
      <c r="C10" s="14" t="s">
        <v>39</v>
      </c>
    </row>
    <row r="11" spans="1:3" x14ac:dyDescent="0.2">
      <c r="A11" s="13" t="s">
        <v>40</v>
      </c>
      <c r="B11" s="9">
        <v>32.64</v>
      </c>
      <c r="C11" s="14" t="s">
        <v>41</v>
      </c>
    </row>
    <row r="12" spans="1:3" x14ac:dyDescent="0.2">
      <c r="A12" s="13" t="s">
        <v>42</v>
      </c>
      <c r="B12" s="9">
        <v>3.41</v>
      </c>
      <c r="C12" s="14" t="s">
        <v>43</v>
      </c>
    </row>
    <row r="13" spans="1:3" x14ac:dyDescent="0.2">
      <c r="A13" s="13" t="s">
        <v>44</v>
      </c>
      <c r="B13">
        <v>10</v>
      </c>
      <c r="C13" s="14" t="s">
        <v>45</v>
      </c>
    </row>
    <row r="14" spans="1:3" ht="16" thickBot="1" x14ac:dyDescent="0.25">
      <c r="A14" s="15" t="s">
        <v>46</v>
      </c>
      <c r="B14" s="16">
        <v>20</v>
      </c>
      <c r="C14" s="17" t="s">
        <v>39</v>
      </c>
    </row>
    <row r="16" spans="1:3" x14ac:dyDescent="0.2">
      <c r="A16" s="7" t="s">
        <v>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19D22-7A01-ED42-B8B2-84358A3D7717}">
  <dimension ref="A1:P25"/>
  <sheetViews>
    <sheetView zoomScale="120" zoomScaleNormal="120" workbookViewId="0">
      <selection activeCell="F10" sqref="F10"/>
    </sheetView>
  </sheetViews>
  <sheetFormatPr baseColWidth="10" defaultRowHeight="15" x14ac:dyDescent="0.2"/>
  <cols>
    <col min="1" max="1" width="24.1640625" bestFit="1" customWidth="1"/>
    <col min="2" max="2" width="31.6640625" customWidth="1"/>
    <col min="13" max="13" width="43.5" bestFit="1" customWidth="1"/>
    <col min="14" max="14" width="22.6640625" customWidth="1"/>
    <col min="15" max="15" width="18.6640625" customWidth="1"/>
    <col min="16" max="16" width="16.83203125" customWidth="1"/>
  </cols>
  <sheetData>
    <row r="1" spans="1:16" ht="16" thickBot="1" x14ac:dyDescent="0.25">
      <c r="A1" t="s">
        <v>103</v>
      </c>
      <c r="M1" t="s">
        <v>0</v>
      </c>
      <c r="N1" t="s">
        <v>80</v>
      </c>
    </row>
    <row r="2" spans="1:16" ht="16" thickBot="1" x14ac:dyDescent="0.25">
      <c r="A2" t="s">
        <v>11</v>
      </c>
      <c r="B2" t="s">
        <v>104</v>
      </c>
      <c r="M2" s="27" t="s">
        <v>26</v>
      </c>
      <c r="N2" s="25" t="s">
        <v>151</v>
      </c>
      <c r="O2" s="25" t="s">
        <v>27</v>
      </c>
      <c r="P2" s="26" t="s">
        <v>28</v>
      </c>
    </row>
    <row r="3" spans="1:16" ht="17" customHeight="1" x14ac:dyDescent="0.2">
      <c r="B3" s="8" t="s">
        <v>80</v>
      </c>
      <c r="M3" s="28" t="s">
        <v>152</v>
      </c>
      <c r="N3" t="s">
        <v>153</v>
      </c>
      <c r="O3" s="22">
        <v>257800644</v>
      </c>
      <c r="P3" s="14" t="s">
        <v>154</v>
      </c>
    </row>
    <row r="4" spans="1:16" x14ac:dyDescent="0.2">
      <c r="A4" t="s">
        <v>105</v>
      </c>
      <c r="M4" s="28" t="s">
        <v>155</v>
      </c>
      <c r="N4" t="s">
        <v>156</v>
      </c>
      <c r="O4" s="22">
        <v>5156012.88</v>
      </c>
      <c r="P4" s="14" t="s">
        <v>154</v>
      </c>
    </row>
    <row r="5" spans="1:16" x14ac:dyDescent="0.2">
      <c r="A5" t="s">
        <v>106</v>
      </c>
      <c r="B5">
        <v>2019</v>
      </c>
      <c r="H5" t="s">
        <v>124</v>
      </c>
      <c r="M5" s="28"/>
      <c r="N5" t="s">
        <v>157</v>
      </c>
      <c r="O5" s="22">
        <v>25780064.399999999</v>
      </c>
      <c r="P5" s="14" t="s">
        <v>154</v>
      </c>
    </row>
    <row r="6" spans="1:16" x14ac:dyDescent="0.2">
      <c r="A6" t="s">
        <v>107</v>
      </c>
      <c r="B6" t="s">
        <v>108</v>
      </c>
      <c r="H6" t="s">
        <v>125</v>
      </c>
      <c r="I6">
        <v>100</v>
      </c>
      <c r="J6">
        <v>400</v>
      </c>
      <c r="K6">
        <v>1000</v>
      </c>
      <c r="M6" s="28"/>
      <c r="N6" t="s">
        <v>158</v>
      </c>
      <c r="O6" s="22">
        <v>38670096.600000001</v>
      </c>
      <c r="P6" s="14" t="s">
        <v>154</v>
      </c>
    </row>
    <row r="7" spans="1:16" x14ac:dyDescent="0.2">
      <c r="A7" t="s">
        <v>109</v>
      </c>
      <c r="B7">
        <v>1.9E-2</v>
      </c>
      <c r="H7" t="s">
        <v>81</v>
      </c>
      <c r="I7">
        <v>68968000</v>
      </c>
      <c r="J7">
        <v>155155000</v>
      </c>
      <c r="K7">
        <v>293926000</v>
      </c>
      <c r="M7" s="28"/>
      <c r="N7" t="s">
        <v>159</v>
      </c>
      <c r="O7" s="22">
        <v>12251143</v>
      </c>
      <c r="P7" s="14" t="s">
        <v>154</v>
      </c>
    </row>
    <row r="8" spans="1:16" x14ac:dyDescent="0.2">
      <c r="A8" t="s">
        <v>110</v>
      </c>
      <c r="B8" t="s">
        <v>111</v>
      </c>
      <c r="H8" t="s">
        <v>82</v>
      </c>
      <c r="I8">
        <f>I6/J6</f>
        <v>0.25</v>
      </c>
      <c r="J8">
        <v>1</v>
      </c>
      <c r="K8">
        <f>K6/J6</f>
        <v>2.5</v>
      </c>
      <c r="M8" s="28"/>
      <c r="N8" t="s">
        <v>160</v>
      </c>
      <c r="O8" s="22">
        <v>38670096.600000001</v>
      </c>
      <c r="P8" s="14" t="s">
        <v>154</v>
      </c>
    </row>
    <row r="9" spans="1:16" x14ac:dyDescent="0.2">
      <c r="A9" t="s">
        <v>121</v>
      </c>
      <c r="B9" t="s">
        <v>122</v>
      </c>
      <c r="H9" t="s">
        <v>83</v>
      </c>
      <c r="I9">
        <f>LOG(I8)</f>
        <v>-0.6020599913279624</v>
      </c>
      <c r="J9">
        <f t="shared" ref="J9:K9" si="0">LOG(J8)</f>
        <v>0</v>
      </c>
      <c r="K9">
        <f t="shared" si="0"/>
        <v>0.3979400086720376</v>
      </c>
      <c r="M9" s="28" t="s">
        <v>161</v>
      </c>
      <c r="O9" s="22">
        <v>120527413.48</v>
      </c>
      <c r="P9" s="14" t="s">
        <v>154</v>
      </c>
    </row>
    <row r="10" spans="1:16" ht="16" thickBot="1" x14ac:dyDescent="0.25">
      <c r="H10" t="s">
        <v>126</v>
      </c>
      <c r="I10">
        <f>LOG(I7)</f>
        <v>7.8386476320849576</v>
      </c>
      <c r="J10">
        <f t="shared" ref="J10:K10" si="1">LOG(J7)</f>
        <v>8.1907657756496093</v>
      </c>
      <c r="K10">
        <f t="shared" si="1"/>
        <v>8.4682380044363352</v>
      </c>
      <c r="M10" s="28" t="s">
        <v>162</v>
      </c>
      <c r="N10" t="s">
        <v>163</v>
      </c>
      <c r="O10" s="22">
        <v>550360</v>
      </c>
      <c r="P10" s="14" t="s">
        <v>154</v>
      </c>
    </row>
    <row r="11" spans="1:16" ht="16" thickBot="1" x14ac:dyDescent="0.25">
      <c r="A11" s="27" t="s">
        <v>112</v>
      </c>
      <c r="B11" s="30"/>
      <c r="C11" s="30"/>
      <c r="D11" s="30"/>
      <c r="E11" s="31"/>
      <c r="M11" s="28" t="s">
        <v>81</v>
      </c>
      <c r="N11" t="s">
        <v>164</v>
      </c>
      <c r="O11" s="23">
        <v>378878417.48000002</v>
      </c>
      <c r="P11" s="14" t="s">
        <v>154</v>
      </c>
    </row>
    <row r="12" spans="1:16" x14ac:dyDescent="0.2">
      <c r="A12" s="13" t="s">
        <v>116</v>
      </c>
      <c r="B12" t="s">
        <v>117</v>
      </c>
      <c r="C12" t="s">
        <v>118</v>
      </c>
      <c r="D12" t="s">
        <v>0</v>
      </c>
      <c r="E12" s="14"/>
      <c r="M12" s="28" t="s">
        <v>165</v>
      </c>
      <c r="N12" t="s">
        <v>166</v>
      </c>
      <c r="O12" s="22">
        <v>9607972</v>
      </c>
      <c r="P12" s="14" t="s">
        <v>167</v>
      </c>
    </row>
    <row r="13" spans="1:16" x14ac:dyDescent="0.2">
      <c r="A13" s="13" t="s">
        <v>113</v>
      </c>
      <c r="B13" t="s">
        <v>114</v>
      </c>
      <c r="E13" s="14"/>
      <c r="M13" s="28" t="s">
        <v>168</v>
      </c>
      <c r="N13" t="s">
        <v>169</v>
      </c>
      <c r="O13" s="22">
        <v>1921594.4</v>
      </c>
      <c r="P13" s="14" t="s">
        <v>167</v>
      </c>
    </row>
    <row r="14" spans="1:16" x14ac:dyDescent="0.2">
      <c r="A14" s="13" t="s">
        <v>115</v>
      </c>
      <c r="B14">
        <v>10625</v>
      </c>
      <c r="C14" s="1" t="s">
        <v>119</v>
      </c>
      <c r="D14" t="s">
        <v>120</v>
      </c>
      <c r="E14" s="14"/>
      <c r="M14" s="28" t="s">
        <v>170</v>
      </c>
      <c r="N14" t="s">
        <v>171</v>
      </c>
      <c r="O14" s="22">
        <v>7577568.3499999996</v>
      </c>
      <c r="P14" s="14" t="s">
        <v>167</v>
      </c>
    </row>
    <row r="15" spans="1:16" x14ac:dyDescent="0.2">
      <c r="A15" s="13" t="s">
        <v>123</v>
      </c>
      <c r="B15">
        <f>155155000*(1+B7)</f>
        <v>158102945</v>
      </c>
      <c r="C15" s="1" t="s">
        <v>130</v>
      </c>
      <c r="E15" s="14"/>
      <c r="M15" s="28" t="s">
        <v>172</v>
      </c>
      <c r="O15" s="22">
        <v>1049006</v>
      </c>
      <c r="P15" s="14" t="s">
        <v>167</v>
      </c>
    </row>
    <row r="16" spans="1:16" x14ac:dyDescent="0.2">
      <c r="A16" s="13" t="s">
        <v>85</v>
      </c>
      <c r="B16">
        <v>0.626</v>
      </c>
      <c r="C16" s="1"/>
      <c r="E16" s="14"/>
      <c r="M16" s="28" t="s">
        <v>173</v>
      </c>
      <c r="O16" s="23">
        <v>20156140.75</v>
      </c>
      <c r="P16" s="14" t="s">
        <v>167</v>
      </c>
    </row>
    <row r="17" spans="1:16" x14ac:dyDescent="0.2">
      <c r="A17" s="13" t="s">
        <v>86</v>
      </c>
      <c r="B17">
        <v>20</v>
      </c>
      <c r="C17" s="1" t="s">
        <v>39</v>
      </c>
      <c r="E17" s="14"/>
      <c r="M17" s="28" t="s">
        <v>174</v>
      </c>
      <c r="O17" s="22">
        <v>7085933</v>
      </c>
      <c r="P17" s="14" t="s">
        <v>167</v>
      </c>
    </row>
    <row r="18" spans="1:16" ht="16" thickBot="1" x14ac:dyDescent="0.25">
      <c r="A18" s="13"/>
      <c r="E18" s="14"/>
      <c r="M18" s="28" t="s">
        <v>175</v>
      </c>
      <c r="O18" s="23">
        <v>7085933</v>
      </c>
      <c r="P18" s="14" t="s">
        <v>167</v>
      </c>
    </row>
    <row r="19" spans="1:16" ht="16" thickBot="1" x14ac:dyDescent="0.25">
      <c r="A19" s="27" t="s">
        <v>127</v>
      </c>
      <c r="B19" t="s">
        <v>128</v>
      </c>
      <c r="E19" s="14"/>
      <c r="M19" s="29" t="s">
        <v>176</v>
      </c>
      <c r="N19" s="24" t="s">
        <v>4</v>
      </c>
      <c r="O19" s="24">
        <v>20</v>
      </c>
      <c r="P19" s="17" t="s">
        <v>39</v>
      </c>
    </row>
    <row r="20" spans="1:16" x14ac:dyDescent="0.2">
      <c r="A20" s="13" t="s">
        <v>113</v>
      </c>
      <c r="B20">
        <v>1</v>
      </c>
      <c r="E20" s="14"/>
    </row>
    <row r="21" spans="1:16" x14ac:dyDescent="0.2">
      <c r="A21" s="13" t="s">
        <v>123</v>
      </c>
      <c r="B21" s="32">
        <f>POWER(1+B7,4)*O18</f>
        <v>7640007.3719816608</v>
      </c>
      <c r="E21" s="14"/>
    </row>
    <row r="22" spans="1:16" ht="16" thickBot="1" x14ac:dyDescent="0.25">
      <c r="A22" s="13"/>
      <c r="E22" s="14"/>
    </row>
    <row r="23" spans="1:16" ht="16" thickBot="1" x14ac:dyDescent="0.25">
      <c r="A23" s="27" t="s">
        <v>40</v>
      </c>
      <c r="E23" s="14"/>
    </row>
    <row r="24" spans="1:16" x14ac:dyDescent="0.2">
      <c r="A24" s="13" t="s">
        <v>113</v>
      </c>
      <c r="B24">
        <v>1</v>
      </c>
      <c r="E24" s="14"/>
    </row>
    <row r="25" spans="1:16" ht="16" thickBot="1" x14ac:dyDescent="0.25">
      <c r="A25" s="15" t="s">
        <v>123</v>
      </c>
      <c r="B25" s="33">
        <f>POWER(1+B7,4)*O16</f>
        <v>21732221.278510533</v>
      </c>
      <c r="C25" s="24" t="s">
        <v>129</v>
      </c>
      <c r="D25" s="24"/>
      <c r="E25" s="17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147DE-C2D1-4559-861B-2B8673B56208}">
  <dimension ref="A1:C15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30.1640625" bestFit="1" customWidth="1"/>
    <col min="2" max="2" width="33.1640625" bestFit="1" customWidth="1"/>
  </cols>
  <sheetData>
    <row r="1" spans="1:3" x14ac:dyDescent="0.2">
      <c r="A1" t="s">
        <v>87</v>
      </c>
      <c r="B1" t="s">
        <v>91</v>
      </c>
    </row>
    <row r="2" spans="1:3" x14ac:dyDescent="0.2">
      <c r="A2" t="s">
        <v>47</v>
      </c>
    </row>
    <row r="3" spans="1:3" x14ac:dyDescent="0.2">
      <c r="A3" t="s">
        <v>48</v>
      </c>
      <c r="B3" t="s">
        <v>49</v>
      </c>
      <c r="C3" t="s">
        <v>51</v>
      </c>
    </row>
    <row r="4" spans="1:3" x14ac:dyDescent="0.2">
      <c r="A4" t="s">
        <v>55</v>
      </c>
      <c r="B4">
        <v>164.77</v>
      </c>
      <c r="C4">
        <v>1.395</v>
      </c>
    </row>
    <row r="5" spans="1:3" x14ac:dyDescent="0.2">
      <c r="A5" t="s">
        <v>54</v>
      </c>
      <c r="B5">
        <v>100</v>
      </c>
      <c r="C5">
        <v>1.395</v>
      </c>
    </row>
    <row r="6" spans="1:3" x14ac:dyDescent="0.2">
      <c r="A6" t="s">
        <v>53</v>
      </c>
      <c r="B6">
        <v>76.53</v>
      </c>
      <c r="C6">
        <v>1.395</v>
      </c>
    </row>
    <row r="7" spans="1:3" x14ac:dyDescent="0.2">
      <c r="A7" t="s">
        <v>52</v>
      </c>
      <c r="B7">
        <v>140</v>
      </c>
      <c r="C7">
        <v>1.395</v>
      </c>
    </row>
    <row r="8" spans="1:3" x14ac:dyDescent="0.2">
      <c r="A8" t="s">
        <v>90</v>
      </c>
      <c r="B8">
        <f>AVERAGE(B4:B7)</f>
        <v>120.32499999999999</v>
      </c>
    </row>
    <row r="10" spans="1:3" x14ac:dyDescent="0.2">
      <c r="A10" t="s">
        <v>89</v>
      </c>
    </row>
    <row r="11" spans="1:3" x14ac:dyDescent="0.2">
      <c r="A11" t="s">
        <v>56</v>
      </c>
    </row>
    <row r="12" spans="1:3" x14ac:dyDescent="0.2">
      <c r="A12" t="s">
        <v>57</v>
      </c>
    </row>
    <row r="13" spans="1:3" x14ac:dyDescent="0.2">
      <c r="A13" t="s">
        <v>88</v>
      </c>
    </row>
    <row r="14" spans="1:3" x14ac:dyDescent="0.2">
      <c r="A14" t="s">
        <v>50</v>
      </c>
      <c r="B14" t="s">
        <v>58</v>
      </c>
    </row>
    <row r="15" spans="1:3" x14ac:dyDescent="0.2">
      <c r="A15" t="s">
        <v>59</v>
      </c>
      <c r="B15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6045A-41A7-AF40-95B6-DBF867B04F6F}">
  <dimension ref="A1:E10"/>
  <sheetViews>
    <sheetView workbookViewId="0">
      <selection activeCell="I12" sqref="I12"/>
    </sheetView>
  </sheetViews>
  <sheetFormatPr baseColWidth="10" defaultRowHeight="15" x14ac:dyDescent="0.2"/>
  <cols>
    <col min="1" max="1" width="20.6640625" bestFit="1" customWidth="1"/>
  </cols>
  <sheetData>
    <row r="1" spans="1:5" x14ac:dyDescent="0.2">
      <c r="A1" s="6" t="s">
        <v>177</v>
      </c>
      <c r="B1" s="6" t="s">
        <v>133</v>
      </c>
      <c r="C1" s="6" t="s">
        <v>134</v>
      </c>
      <c r="D1" s="6" t="s">
        <v>135</v>
      </c>
      <c r="E1" s="6" t="s">
        <v>149</v>
      </c>
    </row>
    <row r="2" spans="1:5" x14ac:dyDescent="0.2">
      <c r="A2" t="s">
        <v>178</v>
      </c>
      <c r="B2" t="s">
        <v>136</v>
      </c>
      <c r="C2" t="s">
        <v>137</v>
      </c>
      <c r="D2" s="21">
        <v>9.5000000000000001E-2</v>
      </c>
      <c r="E2" s="19">
        <f>$B$10+D2*(1-$B$10)</f>
        <v>0.28505000000000003</v>
      </c>
    </row>
    <row r="3" spans="1:5" x14ac:dyDescent="0.2">
      <c r="A3" t="s">
        <v>179</v>
      </c>
      <c r="B3" t="s">
        <v>136</v>
      </c>
      <c r="C3" t="s">
        <v>138</v>
      </c>
      <c r="D3" s="21">
        <v>0</v>
      </c>
      <c r="E3" s="19">
        <f t="shared" ref="E3:E8" si="0">$B$10+D3*(1-$B$10)</f>
        <v>0.21</v>
      </c>
    </row>
    <row r="4" spans="1:5" x14ac:dyDescent="0.2">
      <c r="A4" t="s">
        <v>180</v>
      </c>
      <c r="B4" t="s">
        <v>139</v>
      </c>
      <c r="C4" t="s">
        <v>140</v>
      </c>
      <c r="D4" s="21">
        <v>0</v>
      </c>
      <c r="E4" s="19">
        <f t="shared" si="0"/>
        <v>0.21</v>
      </c>
    </row>
    <row r="5" spans="1:5" x14ac:dyDescent="0.2">
      <c r="A5" t="s">
        <v>181</v>
      </c>
      <c r="B5" t="s">
        <v>141</v>
      </c>
      <c r="C5" t="s">
        <v>142</v>
      </c>
      <c r="D5" s="21">
        <v>8.8400000000000006E-2</v>
      </c>
      <c r="E5" s="19">
        <f t="shared" si="0"/>
        <v>0.27983599999999997</v>
      </c>
    </row>
    <row r="6" spans="1:5" x14ac:dyDescent="0.2">
      <c r="A6" t="s">
        <v>182</v>
      </c>
      <c r="B6" t="s">
        <v>143</v>
      </c>
      <c r="C6" t="s">
        <v>144</v>
      </c>
      <c r="D6" s="21">
        <v>9.8000000000000004E-2</v>
      </c>
      <c r="E6" s="19">
        <f t="shared" si="0"/>
        <v>0.28742000000000001</v>
      </c>
    </row>
    <row r="7" spans="1:5" x14ac:dyDescent="0.2">
      <c r="A7" t="s">
        <v>183</v>
      </c>
      <c r="B7" t="s">
        <v>145</v>
      </c>
      <c r="C7" t="s">
        <v>146</v>
      </c>
      <c r="D7" s="21">
        <v>7.8100000000000003E-2</v>
      </c>
      <c r="E7" s="19">
        <f t="shared" si="0"/>
        <v>0.27169900000000002</v>
      </c>
    </row>
    <row r="8" spans="1:5" x14ac:dyDescent="0.2">
      <c r="A8" t="s">
        <v>184</v>
      </c>
      <c r="B8" t="s">
        <v>147</v>
      </c>
      <c r="C8" t="s">
        <v>148</v>
      </c>
      <c r="D8" s="21">
        <v>4.9000000000000002E-2</v>
      </c>
      <c r="E8" s="19">
        <f t="shared" si="0"/>
        <v>0.24870999999999999</v>
      </c>
    </row>
    <row r="9" spans="1:5" x14ac:dyDescent="0.2">
      <c r="C9" s="18"/>
    </row>
    <row r="10" spans="1:5" x14ac:dyDescent="0.2">
      <c r="A10" t="s">
        <v>150</v>
      </c>
      <c r="B10" s="20">
        <v>0.21</v>
      </c>
      <c r="C10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SMR</vt:lpstr>
      <vt:lpstr>Boundaries</vt:lpstr>
      <vt:lpstr>MACRS</vt:lpstr>
      <vt:lpstr>Transfer_rates</vt:lpstr>
      <vt:lpstr>HTSE</vt:lpstr>
      <vt:lpstr>FT</vt:lpstr>
      <vt:lpstr>Capacity_Market</vt:lpstr>
      <vt:lpstr>Tax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Marisol Garrouste</dc:creator>
  <cp:lastModifiedBy>Microsoft Office User</cp:lastModifiedBy>
  <dcterms:created xsi:type="dcterms:W3CDTF">2022-05-18T16:54:28Z</dcterms:created>
  <dcterms:modified xsi:type="dcterms:W3CDTF">2023-06-28T17:05:23Z</dcterms:modified>
</cp:coreProperties>
</file>