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SMR_FT_2023/data/"/>
    </mc:Choice>
  </mc:AlternateContent>
  <xr:revisionPtr revIDLastSave="0" documentId="13_ncr:1_{EF41FB75-9BC8-8843-BCF2-ADBD1CAB561F}" xr6:coauthVersionLast="47" xr6:coauthVersionMax="47" xr10:uidLastSave="{00000000-0000-0000-0000-000000000000}"/>
  <bookViews>
    <workbookView xWindow="-460" yWindow="600" windowWidth="35840" windowHeight="20200" activeTab="1" xr2:uid="{3CE7F202-39F9-48AF-B0C7-575379157397}"/>
  </bookViews>
  <sheets>
    <sheet name="Boundaries" sheetId="10" r:id="rId1"/>
    <sheet name="SMR" sheetId="13" r:id="rId2"/>
    <sheet name="MACRS" sheetId="1" r:id="rId3"/>
    <sheet name="Transfer_rates" sheetId="4" r:id="rId4"/>
    <sheet name="HTSE" sheetId="2" r:id="rId5"/>
    <sheet name="FT" sheetId="11" r:id="rId6"/>
    <sheet name="Capacity_Market" sheetId="3" r:id="rId7"/>
    <sheet name="Tax rates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3" l="1"/>
  <c r="J4" i="13"/>
  <c r="K4" i="13"/>
  <c r="L4" i="13"/>
  <c r="H4" i="13"/>
  <c r="C61" i="10"/>
  <c r="D61" i="10"/>
  <c r="E61" i="10"/>
  <c r="F61" i="10"/>
  <c r="G61" i="10"/>
  <c r="H61" i="10"/>
  <c r="I61" i="10"/>
  <c r="J61" i="10"/>
  <c r="K61" i="10"/>
  <c r="C62" i="10"/>
  <c r="D62" i="10"/>
  <c r="E62" i="10"/>
  <c r="F62" i="10"/>
  <c r="G62" i="10"/>
  <c r="H62" i="10"/>
  <c r="I62" i="10"/>
  <c r="J62" i="10"/>
  <c r="K62" i="10"/>
  <c r="C63" i="10"/>
  <c r="D63" i="10"/>
  <c r="E63" i="10"/>
  <c r="F63" i="10"/>
  <c r="G63" i="10"/>
  <c r="H63" i="10"/>
  <c r="I63" i="10"/>
  <c r="J63" i="10"/>
  <c r="K63" i="10"/>
  <c r="C64" i="10"/>
  <c r="D64" i="10"/>
  <c r="E64" i="10"/>
  <c r="F64" i="10"/>
  <c r="G64" i="10"/>
  <c r="H64" i="10"/>
  <c r="I64" i="10"/>
  <c r="J64" i="10"/>
  <c r="K64" i="10"/>
  <c r="C65" i="10"/>
  <c r="D65" i="10"/>
  <c r="E65" i="10"/>
  <c r="F65" i="10"/>
  <c r="G65" i="10"/>
  <c r="H65" i="10"/>
  <c r="I65" i="10"/>
  <c r="J65" i="10"/>
  <c r="K65" i="10"/>
  <c r="B62" i="10"/>
  <c r="B63" i="10"/>
  <c r="B64" i="10"/>
  <c r="B65" i="10"/>
  <c r="B61" i="10"/>
  <c r="C54" i="10"/>
  <c r="D54" i="10"/>
  <c r="E54" i="10"/>
  <c r="F54" i="10"/>
  <c r="G54" i="10"/>
  <c r="H54" i="10"/>
  <c r="I54" i="10"/>
  <c r="J54" i="10"/>
  <c r="K54" i="10"/>
  <c r="C55" i="10"/>
  <c r="D55" i="10"/>
  <c r="E55" i="10"/>
  <c r="F55" i="10"/>
  <c r="G55" i="10"/>
  <c r="H55" i="10"/>
  <c r="I55" i="10"/>
  <c r="J55" i="10"/>
  <c r="K55" i="10"/>
  <c r="C56" i="10"/>
  <c r="D56" i="10"/>
  <c r="E56" i="10"/>
  <c r="F56" i="10"/>
  <c r="G56" i="10"/>
  <c r="H56" i="10"/>
  <c r="I56" i="10"/>
  <c r="J56" i="10"/>
  <c r="K56" i="10"/>
  <c r="C57" i="10"/>
  <c r="D57" i="10"/>
  <c r="E57" i="10"/>
  <c r="F57" i="10"/>
  <c r="G57" i="10"/>
  <c r="H57" i="10"/>
  <c r="I57" i="10"/>
  <c r="J57" i="10"/>
  <c r="K57" i="10"/>
  <c r="C58" i="10"/>
  <c r="D58" i="10"/>
  <c r="E58" i="10"/>
  <c r="F58" i="10"/>
  <c r="G58" i="10"/>
  <c r="H58" i="10"/>
  <c r="I58" i="10"/>
  <c r="J58" i="10"/>
  <c r="K58" i="10"/>
  <c r="B55" i="10"/>
  <c r="B56" i="10"/>
  <c r="B57" i="10"/>
  <c r="B58" i="10"/>
  <c r="B54" i="10"/>
  <c r="A65" i="10"/>
  <c r="A64" i="10"/>
  <c r="A63" i="10"/>
  <c r="A62" i="10"/>
  <c r="A61" i="10"/>
  <c r="A58" i="10"/>
  <c r="A57" i="10"/>
  <c r="A56" i="10"/>
  <c r="A55" i="10"/>
  <c r="A54" i="10"/>
  <c r="C35" i="10"/>
  <c r="C51" i="10"/>
  <c r="C47" i="10"/>
  <c r="D47" i="10"/>
  <c r="E47" i="10"/>
  <c r="F47" i="10"/>
  <c r="G47" i="10"/>
  <c r="H47" i="10"/>
  <c r="I47" i="10"/>
  <c r="J47" i="10"/>
  <c r="K47" i="10"/>
  <c r="C48" i="10"/>
  <c r="D48" i="10"/>
  <c r="E48" i="10"/>
  <c r="F48" i="10"/>
  <c r="G48" i="10"/>
  <c r="H48" i="10"/>
  <c r="I48" i="10"/>
  <c r="J48" i="10"/>
  <c r="K48" i="10"/>
  <c r="C49" i="10"/>
  <c r="D49" i="10"/>
  <c r="E49" i="10"/>
  <c r="F49" i="10"/>
  <c r="G49" i="10"/>
  <c r="H49" i="10"/>
  <c r="I49" i="10"/>
  <c r="J49" i="10"/>
  <c r="K49" i="10"/>
  <c r="C50" i="10"/>
  <c r="D50" i="10"/>
  <c r="E50" i="10"/>
  <c r="F50" i="10"/>
  <c r="G50" i="10"/>
  <c r="H50" i="10"/>
  <c r="I50" i="10"/>
  <c r="J50" i="10"/>
  <c r="K50" i="10"/>
  <c r="D51" i="10"/>
  <c r="E51" i="10"/>
  <c r="F51" i="10"/>
  <c r="G51" i="10"/>
  <c r="H51" i="10"/>
  <c r="I51" i="10"/>
  <c r="J51" i="10"/>
  <c r="K51" i="10"/>
  <c r="B48" i="10"/>
  <c r="B49" i="10"/>
  <c r="B50" i="10"/>
  <c r="B51" i="10"/>
  <c r="A48" i="10"/>
  <c r="A49" i="10"/>
  <c r="A50" i="10"/>
  <c r="A51" i="10"/>
  <c r="A47" i="10"/>
  <c r="H38" i="10"/>
  <c r="F38" i="10"/>
  <c r="D38" i="10"/>
  <c r="D22" i="10"/>
  <c r="D23" i="10"/>
  <c r="D21" i="10"/>
  <c r="B40" i="10"/>
  <c r="B41" i="10"/>
  <c r="B42" i="10"/>
  <c r="B43" i="10"/>
  <c r="A34" i="10"/>
  <c r="A35" i="10"/>
  <c r="A33" i="10"/>
  <c r="A28" i="10"/>
  <c r="A29" i="10"/>
  <c r="A27" i="10"/>
  <c r="B23" i="10"/>
  <c r="B13" i="10"/>
  <c r="C13" i="10" s="1"/>
  <c r="D13" i="10" s="1"/>
  <c r="B14" i="10"/>
  <c r="C14" i="10" s="1"/>
  <c r="D14" i="10" s="1"/>
  <c r="B15" i="10"/>
  <c r="C15" i="10" s="1"/>
  <c r="D15" i="10" s="1"/>
  <c r="B16" i="10"/>
  <c r="C16" i="10" s="1"/>
  <c r="D16" i="10" s="1"/>
  <c r="B12" i="10"/>
  <c r="C12" i="10" s="1"/>
  <c r="D12" i="10" s="1"/>
  <c r="B25" i="11"/>
  <c r="B21" i="11"/>
  <c r="E3" i="12"/>
  <c r="E4" i="12"/>
  <c r="E5" i="12"/>
  <c r="E6" i="12"/>
  <c r="E7" i="12"/>
  <c r="E8" i="12"/>
  <c r="E2" i="12"/>
  <c r="B20" i="4"/>
  <c r="B15" i="11"/>
  <c r="J10" i="11"/>
  <c r="K10" i="11"/>
  <c r="I10" i="11"/>
  <c r="J9" i="11"/>
  <c r="I8" i="11"/>
  <c r="I9" i="11" s="1"/>
  <c r="K8" i="11"/>
  <c r="K9" i="11" s="1"/>
  <c r="B8" i="3"/>
  <c r="B4" i="2"/>
  <c r="B19" i="4"/>
  <c r="F12" i="4"/>
  <c r="F13" i="4"/>
  <c r="F11" i="4"/>
  <c r="F8" i="4"/>
  <c r="F7" i="4"/>
  <c r="D7" i="4"/>
  <c r="D8" i="4"/>
  <c r="D11" i="4"/>
  <c r="D12" i="4"/>
  <c r="D13" i="4"/>
  <c r="C21" i="10" l="1"/>
  <c r="F21" i="10"/>
  <c r="C22" i="10"/>
  <c r="F22" i="10"/>
  <c r="F23" i="10"/>
  <c r="C23" i="10"/>
  <c r="E22" i="10"/>
  <c r="J34" i="10" l="1"/>
  <c r="G44" i="10"/>
  <c r="E34" i="10"/>
  <c r="B34" i="10"/>
  <c r="H34" i="10"/>
  <c r="K34" i="10"/>
  <c r="G41" i="10"/>
  <c r="G42" i="10"/>
  <c r="G43" i="10"/>
  <c r="G40" i="10"/>
  <c r="C34" i="10"/>
  <c r="D34" i="10"/>
  <c r="I34" i="10"/>
  <c r="F34" i="10"/>
  <c r="G34" i="10"/>
  <c r="E29" i="10"/>
  <c r="I29" i="10"/>
  <c r="K29" i="10"/>
  <c r="D29" i="10"/>
  <c r="F29" i="10"/>
  <c r="J29" i="10"/>
  <c r="G29" i="10"/>
  <c r="H29" i="10"/>
  <c r="B29" i="10"/>
  <c r="C29" i="10"/>
  <c r="D28" i="10"/>
  <c r="C28" i="10"/>
  <c r="E28" i="10"/>
  <c r="F28" i="10"/>
  <c r="K28" i="10"/>
  <c r="H28" i="10"/>
  <c r="I28" i="10"/>
  <c r="B28" i="10"/>
  <c r="J28" i="10"/>
  <c r="G28" i="10"/>
  <c r="G27" i="10"/>
  <c r="H27" i="10"/>
  <c r="J27" i="10"/>
  <c r="K27" i="10"/>
  <c r="B27" i="10"/>
  <c r="E27" i="10"/>
  <c r="I27" i="10"/>
  <c r="D27" i="10"/>
  <c r="C27" i="10"/>
  <c r="F27" i="10"/>
  <c r="E21" i="10"/>
  <c r="E23" i="10"/>
  <c r="D35" i="10" l="1"/>
  <c r="F35" i="10"/>
  <c r="G35" i="10"/>
  <c r="J35" i="10"/>
  <c r="K35" i="10"/>
  <c r="I41" i="10"/>
  <c r="I42" i="10"/>
  <c r="I35" i="10"/>
  <c r="B35" i="10"/>
  <c r="E35" i="10"/>
  <c r="H35" i="10"/>
  <c r="I40" i="10"/>
  <c r="I43" i="10"/>
  <c r="I44" i="10"/>
  <c r="C33" i="10"/>
  <c r="J33" i="10"/>
  <c r="D33" i="10"/>
  <c r="G33" i="10"/>
  <c r="H33" i="10"/>
  <c r="B33" i="10"/>
  <c r="E33" i="10"/>
  <c r="F33" i="10"/>
  <c r="I33" i="10"/>
  <c r="K33" i="10"/>
  <c r="E41" i="10"/>
  <c r="E42" i="10"/>
  <c r="E40" i="10"/>
  <c r="E43" i="10"/>
  <c r="E44" i="10"/>
  <c r="B47" i="10" l="1"/>
</calcChain>
</file>

<file path=xl/sharedStrings.xml><?xml version="1.0" encoding="utf-8"?>
<sst xmlns="http://schemas.openxmlformats.org/spreadsheetml/2006/main" count="299" uniqueCount="222">
  <si>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</si>
  <si>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</si>
  <si>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</si>
  <si>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</si>
  <si>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</si>
  <si>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</si>
  <si>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</si>
  <si>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</si>
  <si>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</si>
  <si>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</si>
  <si>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</si>
  <si>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</si>
  <si>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</si>
  <si>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</si>
  <si>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</si>
  <si>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</si>
  <si>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</si>
  <si>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</si>
  <si>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</si>
  <si>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</si>
  <si>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</si>
  <si>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</si>
  <si>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</si>
  <si>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</si>
  <si>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</si>
  <si>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</si>
  <si>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</si>
  <si>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</si>
  <si>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</si>
  <si>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</si>
  <si>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</si>
  <si>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</si>
  <si>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</si>
  <si>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</si>
  <si>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</si>
  <si>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</si>
  <si>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</si>
  <si>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</si>
  <si>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</si>
  <si>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</si>
  <si>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</si>
  <si>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</si>
  <si>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</si>
  <si>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</si>
  <si>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</si>
  <si>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</si>
  <si>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</si>
  <si>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</si>
  <si>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</si>
  <si>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</si>
  <si>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</si>
  <si>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</si>
  <si>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</si>
  <si>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</si>
  <si>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</si>
  <si>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</si>
  <si>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</si>
  <si>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</si>
  <si>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</si>
  <si>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</si>
  <si>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</si>
  <si>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</si>
  <si>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</si>
  <si>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</si>
  <si>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</si>
  <si>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</si>
  <si>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</si>
  <si>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</si>
  <si>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</si>
  <si>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</si>
  <si>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</si>
  <si>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</si>
  <si>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</si>
  <si>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kWh/kg-H2</t>
  </si>
  <si>
    <t>kg/h</t>
  </si>
  <si>
    <t>kg-H2/kWh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</si>
  <si>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</si>
  <si>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</si>
  <si>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</si>
  <si>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</si>
  <si>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</si>
  <si>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TCI</t>
  </si>
  <si>
    <t>Size factor</t>
  </si>
  <si>
    <t>Log size factor</t>
  </si>
  <si>
    <t>Name</t>
  </si>
  <si>
    <t>scaling factor</t>
  </si>
  <si>
    <t>depreciate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</si>
  <si>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</si>
  <si>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</si>
  <si>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</si>
  <si>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</si>
  <si>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</si>
  <si>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</si>
  <si>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</si>
  <si>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</si>
  <si>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</si>
  <si>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</si>
  <si>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</si>
  <si>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 xml:space="preserve">Capacity  </t>
  </si>
  <si>
    <t>ft_elec_consumption</t>
  </si>
  <si>
    <t>jet_fuel_market</t>
  </si>
  <si>
    <t>diesel_market</t>
  </si>
  <si>
    <t>naphtha_market</t>
  </si>
  <si>
    <t>Update from ANL August 2022</t>
  </si>
  <si>
    <t>The Modeling of the Synfuel Production Process, H.E Delgado and all, June 2022</t>
  </si>
  <si>
    <t>Financial assumptions</t>
  </si>
  <si>
    <t xml:space="preserve">Basis year </t>
  </si>
  <si>
    <t xml:space="preserve">Depreciation </t>
  </si>
  <si>
    <t>20 year MACRS</t>
  </si>
  <si>
    <t xml:space="preserve">Inflation </t>
  </si>
  <si>
    <t xml:space="preserve">Plant life </t>
  </si>
  <si>
    <t>40 years</t>
  </si>
  <si>
    <t>CAPEX</t>
  </si>
  <si>
    <t>driver</t>
  </si>
  <si>
    <t>ft_capacity</t>
  </si>
  <si>
    <t>reference driver</t>
  </si>
  <si>
    <t>Node</t>
  </si>
  <si>
    <t>value</t>
  </si>
  <si>
    <t>unit</t>
  </si>
  <si>
    <t>kg-H2/h</t>
  </si>
  <si>
    <t>Table 3 (255MT-h2/day)</t>
  </si>
  <si>
    <t>Data</t>
  </si>
  <si>
    <t>FT-400</t>
  </si>
  <si>
    <t>reference price</t>
  </si>
  <si>
    <t>Total Capital Cost TCI</t>
  </si>
  <si>
    <t>Size (MW)</t>
  </si>
  <si>
    <t xml:space="preserve">Log TCI </t>
  </si>
  <si>
    <t>VOM</t>
  </si>
  <si>
    <t>Not considering H2 cost, CO2 taken into account in supply curve, utilities only</t>
  </si>
  <si>
    <t>convert $2016 to $2020 using inflation rate</t>
  </si>
  <si>
    <t>$(2020)</t>
  </si>
  <si>
    <t>kg-H2/MWh</t>
  </si>
  <si>
    <t>elec_market</t>
  </si>
  <si>
    <t>Market</t>
  </si>
  <si>
    <t>State</t>
  </si>
  <si>
    <t>State corporate income tax rate (%)</t>
  </si>
  <si>
    <t>PJM</t>
  </si>
  <si>
    <t>Illinois</t>
  </si>
  <si>
    <t>Ohio</t>
  </si>
  <si>
    <t>ERCOT</t>
  </si>
  <si>
    <t>Texas</t>
  </si>
  <si>
    <t>CAISO</t>
  </si>
  <si>
    <t>California</t>
  </si>
  <si>
    <t>MISO</t>
  </si>
  <si>
    <t>Minnesota</t>
  </si>
  <si>
    <t>SPP</t>
  </si>
  <si>
    <t>Nebraska</t>
  </si>
  <si>
    <t>Southwest, Arizona</t>
  </si>
  <si>
    <t>Arizona</t>
  </si>
  <si>
    <t>Effective tax rate</t>
  </si>
  <si>
    <t>Federal corporate tax rate</t>
  </si>
  <si>
    <t>HTSE Lower (MWe)</t>
  </si>
  <si>
    <t>FT Lower (kg-H2)</t>
  </si>
  <si>
    <t>H2 storage Upper (kg-h2)</t>
  </si>
  <si>
    <t>Description</t>
  </si>
  <si>
    <t>TDCC</t>
  </si>
  <si>
    <t>Total Direct Capital Costs, sum of equipment installed costs</t>
  </si>
  <si>
    <t>$USD (2016)</t>
  </si>
  <si>
    <t>Depreciable Capital Costs</t>
  </si>
  <si>
    <t>Site preparation</t>
  </si>
  <si>
    <t>Eng and design</t>
  </si>
  <si>
    <t>Project contingency</t>
  </si>
  <si>
    <t>Catalyst first fill fee</t>
  </si>
  <si>
    <t>Upfront permitting costs</t>
  </si>
  <si>
    <t>Total depreciable capital costs</t>
  </si>
  <si>
    <t>Non-depreciable Capital Costs</t>
  </si>
  <si>
    <t>Land</t>
  </si>
  <si>
    <t>Total Capital Investment</t>
  </si>
  <si>
    <t>LC</t>
  </si>
  <si>
    <t>Labor Cost</t>
  </si>
  <si>
    <t>$USD (2016)/year</t>
  </si>
  <si>
    <t>Gen and admin</t>
  </si>
  <si>
    <t>20% LC</t>
  </si>
  <si>
    <t>Property taxes and insurance</t>
  </si>
  <si>
    <t>2% TCI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</si>
  <si>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</si>
  <si>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</si>
  <si>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</si>
  <si>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</si>
  <si>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</si>
  <si>
    <t>SMR Capacity (MWe)</t>
  </si>
  <si>
    <t>Storage max capacity (FT prod)</t>
  </si>
  <si>
    <t>48h</t>
  </si>
  <si>
    <t>Case name</t>
  </si>
  <si>
    <t>illinois</t>
  </si>
  <si>
    <t>ohio</t>
  </si>
  <si>
    <t>texas</t>
  </si>
  <si>
    <t>california</t>
  </si>
  <si>
    <t>minnesota</t>
  </si>
  <si>
    <t>nebraska</t>
  </si>
  <si>
    <t>arizona</t>
  </si>
  <si>
    <t>Plant</t>
  </si>
  <si>
    <t>Capacity (MWe)</t>
  </si>
  <si>
    <t>HTSE (MWe)</t>
  </si>
  <si>
    <t>FT (kg-H2)</t>
  </si>
  <si>
    <t>Lower</t>
  </si>
  <si>
    <t>Upper</t>
  </si>
  <si>
    <t>Days FT prod. for sto max cap.</t>
  </si>
  <si>
    <t>Max elec. Price</t>
  </si>
  <si>
    <t>Braidwood</t>
  </si>
  <si>
    <t>Cooper</t>
  </si>
  <si>
    <t>Davis-Besse</t>
  </si>
  <si>
    <t>South Texas Project</t>
  </si>
  <si>
    <t>HTSE Steps</t>
  </si>
  <si>
    <t>FT Steps</t>
  </si>
  <si>
    <t>Ref</t>
  </si>
  <si>
    <t>Low</t>
  </si>
  <si>
    <t>High</t>
  </si>
  <si>
    <t>H2 Storage</t>
  </si>
  <si>
    <t>Location elec. Prices</t>
  </si>
  <si>
    <t>Prairie-Island</t>
  </si>
  <si>
    <t>6 units</t>
  </si>
  <si>
    <t>18 units</t>
  </si>
  <si>
    <t>Find Abdalla's report citation</t>
  </si>
  <si>
    <t>Med</t>
  </si>
  <si>
    <t>CAPEX ($/MWe)</t>
  </si>
  <si>
    <t>720MWe ((2020)$ USD)</t>
  </si>
  <si>
    <t>OPEX ($/MWh)</t>
  </si>
  <si>
    <t>SA Capacity</t>
  </si>
  <si>
    <t># modules</t>
  </si>
  <si>
    <t>Unit capacity (MWe)</t>
  </si>
  <si>
    <t>Total capacity (MWe)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</si>
</sst>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1" fillId="2" borderId="0" xfId="1"/>
    <xf numFmtId="0" fontId="0" fillId="0" borderId="0" xfId="0" applyAlignment="1">
      <alignment wrapText="1"/>
    </xf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4" fillId="0" borderId="0" xfId="2"/>
    <xf numFmtId="10" fontId="0" fillId="0" borderId="0" xfId="0" applyNumberFormat="1"/>
    <xf numFmtId="9" fontId="0" fillId="0" borderId="0" xfId="3" applyFont="1"/>
    <xf numFmtId="10" fontId="0" fillId="0" borderId="0" xfId="3" applyNumberFormat="1" applyFont="1"/>
    <xf numFmtId="44" fontId="0" fillId="0" borderId="0" xfId="4" applyFont="1" applyBorder="1"/>
    <xf numFmtId="44" fontId="6" fillId="0" borderId="0" xfId="4" applyFont="1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4" fontId="0" fillId="0" borderId="0" xfId="0" applyNumberFormat="1"/>
    <xf numFmtId="44" fontId="0" fillId="0" borderId="7" xfId="0" applyNumberFormat="1" applyBorder="1"/>
    <xf numFmtId="1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7" fillId="0" borderId="0" xfId="0" applyFont="1"/>
    <xf numFmtId="44" fontId="0" fillId="0" borderId="0" xfId="4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Currency" xfId="4" builtinId="4"/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logrithmic regression</a:t>
            </a:r>
          </a:p>
          <a:p>
            <a:pPr>
              <a:defRPr/>
            </a:pPr>
            <a:r>
              <a:rPr lang="en-US"/>
              <a:t>Goal:</a:t>
            </a:r>
            <a:r>
              <a:rPr lang="en-US" baseline="0"/>
              <a:t> Compute scaling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FT!$H$10</c:f>
              <c:strCache>
                <c:ptCount val="1"/>
                <c:pt idx="0">
                  <c:v>Log TCI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FT!$I$9:$K$9</c:f>
              <c:numCache>
                <c:formatCode>General</c:formatCode>
                <c:ptCount val="3"/>
                <c:pt idx="0">
                  <c:v>-0.6020599913279624</c:v>
                </c:pt>
                <c:pt idx="1">
                  <c:v>0</c:v>
                </c:pt>
                <c:pt idx="2">
                  <c:v>0.3979400086720376</c:v>
                </c:pt>
              </c:numCache>
            </c:numRef>
          </c:xVal>
          <c:yVal>
            <c:numRef>
              <c:f>FT!$I$10:$K$10</c:f>
              <c:numCache>
                <c:formatCode>General</c:formatCode>
                <c:ptCount val="3"/>
                <c:pt idx="0">
                  <c:v>7.8386476320849576</c:v>
                </c:pt>
                <c:pt idx="1">
                  <c:v>8.1907657756496093</c:v>
                </c:pt>
                <c:pt idx="2">
                  <c:v>8.4682380044363352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5-2841-B186-F8BEF29C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6783"/>
        <c:axId val="2098178431"/>
      </c:scatterChart>
      <c:valAx>
        <c:axId val="2098176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8431"/>
        <c:crosses val="autoZero"/>
        <c:crossBetween val="midCat"/>
      </c:valAx>
      <c:valAx>
        <c:axId val="2098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534459</xdr:colOff>
      <xdr:row>22</xdr:row>
      <xdr:rowOff>9525</xdr:rowOff>
    </xdr:from>
    <xdr:to>
      <xdr:col>12</xdr:col>
      <xdr:colOff>1333500</xdr:colOff>
      <xdr:row>41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A9670-7B55-8F7C-E0DA-99E95918D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L65"/>
  <sheetViews>
    <sheetView topLeftCell="A22" zoomScale="120" zoomScaleNormal="120" workbookViewId="0">
      <selection activeCell="B70" sqref="B70"/>
    </sheetView>
  </sheetViews>
  <sheetFormatPr baseColWidth="10" defaultColWidth="8.83203125" defaultRowHeight="15" x14ac:dyDescent="0.2"/>
  <cols>
    <col min="1" max="1" width="19" bestFit="1" customWidth="1"/>
    <col min="2" max="2" width="21.33203125" customWidth="1"/>
    <col min="3" max="3" width="15.1640625" bestFit="1" customWidth="1"/>
    <col min="4" max="5" width="13.5" bestFit="1" customWidth="1"/>
    <col min="6" max="6" width="20" bestFit="1" customWidth="1"/>
    <col min="7" max="8" width="15.1640625" bestFit="1" customWidth="1"/>
    <col min="9" max="9" width="13.5" bestFit="1" customWidth="1"/>
    <col min="10" max="10" width="9" customWidth="1"/>
    <col min="11" max="11" width="13.6640625" customWidth="1"/>
    <col min="12" max="12" width="11.83203125" customWidth="1"/>
  </cols>
  <sheetData>
    <row r="1" spans="1:4" x14ac:dyDescent="0.2">
      <c r="A1" t="s">
        <v>96</v>
      </c>
      <c r="B1" t="s">
        <v>94</v>
      </c>
    </row>
    <row r="2" spans="1:4" x14ac:dyDescent="0.2">
      <c r="A2" t="s">
        <v>87</v>
      </c>
      <c r="B2" t="s">
        <v>97</v>
      </c>
    </row>
    <row r="3" spans="1:4" x14ac:dyDescent="0.2">
      <c r="A3" t="s">
        <v>95</v>
      </c>
    </row>
    <row r="4" spans="1:4" x14ac:dyDescent="0.2">
      <c r="A4" t="s">
        <v>84</v>
      </c>
      <c r="B4" t="s">
        <v>98</v>
      </c>
      <c r="C4" t="s">
        <v>28</v>
      </c>
    </row>
    <row r="5" spans="1:4" x14ac:dyDescent="0.2">
      <c r="A5" t="s">
        <v>99</v>
      </c>
      <c r="B5">
        <v>14.9</v>
      </c>
      <c r="C5" t="s">
        <v>66</v>
      </c>
    </row>
    <row r="6" spans="1:4" x14ac:dyDescent="0.2">
      <c r="A6" t="s">
        <v>132</v>
      </c>
      <c r="B6" s="2">
        <v>-9.9999999999999997E+199</v>
      </c>
      <c r="C6" t="s">
        <v>66</v>
      </c>
    </row>
    <row r="7" spans="1:4" x14ac:dyDescent="0.2">
      <c r="A7" t="s">
        <v>100</v>
      </c>
      <c r="B7" s="2">
        <v>-9.9999999999999997E+199</v>
      </c>
      <c r="C7" t="s">
        <v>66</v>
      </c>
    </row>
    <row r="8" spans="1:4" x14ac:dyDescent="0.2">
      <c r="A8" t="s">
        <v>101</v>
      </c>
      <c r="B8" s="2">
        <v>-9.9999999999999997E+199</v>
      </c>
      <c r="C8" t="s">
        <v>66</v>
      </c>
    </row>
    <row r="9" spans="1:4" x14ac:dyDescent="0.2">
      <c r="A9" t="s">
        <v>102</v>
      </c>
      <c r="B9" s="2">
        <v>-9.9999999999999997E+199</v>
      </c>
      <c r="C9" t="s">
        <v>66</v>
      </c>
    </row>
    <row r="10" spans="1:4" x14ac:dyDescent="0.2">
      <c r="B10" s="2"/>
    </row>
    <row r="11" spans="1:4" x14ac:dyDescent="0.2">
      <c r="A11" s="6" t="s">
        <v>180</v>
      </c>
      <c r="B11" t="s">
        <v>151</v>
      </c>
      <c r="C11" t="s">
        <v>152</v>
      </c>
      <c r="D11" t="s">
        <v>153</v>
      </c>
    </row>
    <row r="12" spans="1:4" x14ac:dyDescent="0.2">
      <c r="A12">
        <v>60</v>
      </c>
      <c r="B12">
        <f>-A12+14.9</f>
        <v>-45.1</v>
      </c>
      <c r="C12" s="34">
        <f>B12*25.13</f>
        <v>-1133.3630000000001</v>
      </c>
      <c r="D12" s="34">
        <f>ABS(C12)*48</f>
        <v>54401.423999999999</v>
      </c>
    </row>
    <row r="13" spans="1:4" x14ac:dyDescent="0.2">
      <c r="A13">
        <v>360</v>
      </c>
      <c r="B13">
        <f t="shared" ref="B13:B16" si="0">-A13+14.9</f>
        <v>-345.1</v>
      </c>
      <c r="C13" s="34">
        <f>B13*25.13</f>
        <v>-8672.3629999999994</v>
      </c>
      <c r="D13" s="34">
        <f t="shared" ref="D13:D16" si="1">ABS(C13)*48</f>
        <v>416273.424</v>
      </c>
    </row>
    <row r="14" spans="1:4" x14ac:dyDescent="0.2">
      <c r="A14">
        <v>720</v>
      </c>
      <c r="B14">
        <f t="shared" si="0"/>
        <v>-705.1</v>
      </c>
      <c r="C14" s="34">
        <f>B14*25.13</f>
        <v>-17719.163</v>
      </c>
      <c r="D14" s="34">
        <f t="shared" si="1"/>
        <v>850519.82400000002</v>
      </c>
    </row>
    <row r="15" spans="1:4" x14ac:dyDescent="0.2">
      <c r="A15">
        <v>1080</v>
      </c>
      <c r="B15">
        <f t="shared" si="0"/>
        <v>-1065.0999999999999</v>
      </c>
      <c r="C15" s="34">
        <f>B15*25.13</f>
        <v>-26765.962999999996</v>
      </c>
      <c r="D15" s="34">
        <f t="shared" si="1"/>
        <v>1284766.2239999999</v>
      </c>
    </row>
    <row r="16" spans="1:4" x14ac:dyDescent="0.2">
      <c r="A16">
        <v>1440</v>
      </c>
      <c r="B16">
        <f t="shared" si="0"/>
        <v>-1425.1</v>
      </c>
      <c r="C16" s="34">
        <f>B16*25.13</f>
        <v>-35812.762999999999</v>
      </c>
      <c r="D16" s="34">
        <f t="shared" si="1"/>
        <v>1719012.6239999998</v>
      </c>
    </row>
    <row r="18" spans="1:11" x14ac:dyDescent="0.2">
      <c r="A18" t="s">
        <v>181</v>
      </c>
      <c r="B18" t="s">
        <v>182</v>
      </c>
    </row>
    <row r="19" spans="1:11" x14ac:dyDescent="0.2">
      <c r="A19" s="39" t="s">
        <v>191</v>
      </c>
      <c r="B19" s="39" t="s">
        <v>192</v>
      </c>
      <c r="C19" s="40" t="s">
        <v>193</v>
      </c>
      <c r="D19" s="40"/>
      <c r="E19" s="40" t="s">
        <v>194</v>
      </c>
      <c r="F19" s="40"/>
      <c r="G19" s="40"/>
      <c r="H19" s="40"/>
    </row>
    <row r="20" spans="1:11" x14ac:dyDescent="0.2">
      <c r="A20" s="39"/>
      <c r="B20" s="39"/>
      <c r="C20" t="s">
        <v>195</v>
      </c>
      <c r="D20" t="s">
        <v>196</v>
      </c>
      <c r="E20" t="s">
        <v>195</v>
      </c>
      <c r="F20" t="s">
        <v>196</v>
      </c>
    </row>
    <row r="21" spans="1:11" x14ac:dyDescent="0.2">
      <c r="A21" t="s">
        <v>205</v>
      </c>
      <c r="B21">
        <v>720</v>
      </c>
      <c r="C21">
        <f>MAX(-B21+$B$15, -1000+$B$15)</f>
        <v>-1785.1</v>
      </c>
      <c r="D21">
        <f>-100+$B$5</f>
        <v>-85.1</v>
      </c>
      <c r="E21">
        <f>C21*25.13</f>
        <v>-44859.562999999995</v>
      </c>
      <c r="F21">
        <f>D21*25.13</f>
        <v>-2138.5629999999996</v>
      </c>
    </row>
    <row r="22" spans="1:11" x14ac:dyDescent="0.2">
      <c r="A22" t="s">
        <v>211</v>
      </c>
      <c r="B22">
        <v>360</v>
      </c>
      <c r="C22">
        <f t="shared" ref="C22:C23" si="2">MAX(-B22+$B$15, -1000+$B$15)</f>
        <v>-1425.1</v>
      </c>
      <c r="D22">
        <f t="shared" ref="D22:D23" si="3">-100+$B$5</f>
        <v>-85.1</v>
      </c>
      <c r="E22">
        <f t="shared" ref="E22:F22" si="4">C22*25.13</f>
        <v>-35812.762999999999</v>
      </c>
      <c r="F22">
        <f t="shared" si="4"/>
        <v>-2138.5629999999996</v>
      </c>
    </row>
    <row r="23" spans="1:11" x14ac:dyDescent="0.2">
      <c r="A23" t="s">
        <v>212</v>
      </c>
      <c r="B23">
        <f>18*60</f>
        <v>1080</v>
      </c>
      <c r="C23">
        <f t="shared" si="2"/>
        <v>-2065.1</v>
      </c>
      <c r="D23">
        <f t="shared" si="3"/>
        <v>-85.1</v>
      </c>
      <c r="E23">
        <f>C23*25.13</f>
        <v>-51895.962999999996</v>
      </c>
      <c r="F23">
        <f>D23*25.13</f>
        <v>-2138.5629999999996</v>
      </c>
    </row>
    <row r="25" spans="1:11" x14ac:dyDescent="0.2">
      <c r="A25" t="s">
        <v>203</v>
      </c>
    </row>
    <row r="26" spans="1:11" x14ac:dyDescent="0.2">
      <c r="A26" s="6" t="s">
        <v>191</v>
      </c>
      <c r="B26" s="35">
        <v>0</v>
      </c>
      <c r="C26">
        <v>1</v>
      </c>
      <c r="D26" s="35">
        <v>2</v>
      </c>
      <c r="E26">
        <v>3</v>
      </c>
      <c r="F26" s="35">
        <v>4</v>
      </c>
      <c r="G26">
        <v>5</v>
      </c>
      <c r="H26" s="35">
        <v>6</v>
      </c>
      <c r="I26">
        <v>7</v>
      </c>
      <c r="J26" s="35">
        <v>8</v>
      </c>
      <c r="K26">
        <v>9</v>
      </c>
    </row>
    <row r="27" spans="1:11" x14ac:dyDescent="0.2">
      <c r="A27" t="str">
        <f>A21</f>
        <v>Ref</v>
      </c>
      <c r="B27" s="36">
        <f>$C21+B$26*ABS($C21-$D21)/9</f>
        <v>-1785.1</v>
      </c>
      <c r="C27" s="34">
        <f t="shared" ref="C27:K27" si="5">$C21+C$26*ABS($C21-$D21)/9</f>
        <v>-1596.211111111111</v>
      </c>
      <c r="D27" s="36">
        <f t="shared" si="5"/>
        <v>-1407.3222222222221</v>
      </c>
      <c r="E27" s="34">
        <f t="shared" si="5"/>
        <v>-1218.4333333333334</v>
      </c>
      <c r="F27" s="36">
        <f t="shared" si="5"/>
        <v>-1029.5444444444443</v>
      </c>
      <c r="G27" s="34">
        <f t="shared" si="5"/>
        <v>-840.65555555555545</v>
      </c>
      <c r="H27" s="36">
        <f t="shared" si="5"/>
        <v>-651.76666666666665</v>
      </c>
      <c r="I27" s="34">
        <f t="shared" si="5"/>
        <v>-462.87777777777774</v>
      </c>
      <c r="J27" s="36">
        <f t="shared" si="5"/>
        <v>-273.98888888888882</v>
      </c>
      <c r="K27" s="34">
        <f t="shared" si="5"/>
        <v>-85.099999999999909</v>
      </c>
    </row>
    <row r="28" spans="1:11" x14ac:dyDescent="0.2">
      <c r="A28" t="str">
        <f t="shared" ref="A28:A29" si="6">A22</f>
        <v>6 units</v>
      </c>
      <c r="B28" s="36">
        <f>$C22+B$26*ABS($C22-$D22)/9</f>
        <v>-1425.1</v>
      </c>
      <c r="C28" s="34">
        <f t="shared" ref="C28:K28" si="7">$C22+C$26*ABS($C22-$D22)/9</f>
        <v>-1276.211111111111</v>
      </c>
      <c r="D28" s="36">
        <f t="shared" si="7"/>
        <v>-1127.3222222222221</v>
      </c>
      <c r="E28" s="34">
        <f t="shared" si="7"/>
        <v>-978.43333333333317</v>
      </c>
      <c r="F28" s="36">
        <f t="shared" si="7"/>
        <v>-829.54444444444437</v>
      </c>
      <c r="G28" s="34">
        <f t="shared" si="7"/>
        <v>-680.65555555555545</v>
      </c>
      <c r="H28" s="36">
        <f t="shared" si="7"/>
        <v>-531.76666666666654</v>
      </c>
      <c r="I28" s="34">
        <f t="shared" si="7"/>
        <v>-382.87777777777774</v>
      </c>
      <c r="J28" s="36">
        <f t="shared" si="7"/>
        <v>-233.98888888888882</v>
      </c>
      <c r="K28" s="34">
        <f t="shared" si="7"/>
        <v>-85.099999999999909</v>
      </c>
    </row>
    <row r="29" spans="1:11" x14ac:dyDescent="0.2">
      <c r="A29" t="str">
        <f t="shared" si="6"/>
        <v>18 units</v>
      </c>
      <c r="B29" s="36">
        <f>$C23+B$26*ABS($C23-$D23)/9</f>
        <v>-2065.1</v>
      </c>
      <c r="C29" s="34">
        <f t="shared" ref="C29:K29" si="8">$C23+C$26*ABS($C23-$D23)/9</f>
        <v>-1845.1</v>
      </c>
      <c r="D29" s="36">
        <f t="shared" si="8"/>
        <v>-1625.1</v>
      </c>
      <c r="E29" s="34">
        <f t="shared" si="8"/>
        <v>-1405.1</v>
      </c>
      <c r="F29" s="36">
        <f t="shared" si="8"/>
        <v>-1185.0999999999999</v>
      </c>
      <c r="G29" s="34">
        <f t="shared" si="8"/>
        <v>-965.09999999999991</v>
      </c>
      <c r="H29" s="36">
        <f t="shared" si="8"/>
        <v>-745.09999999999991</v>
      </c>
      <c r="I29" s="34">
        <f t="shared" si="8"/>
        <v>-525.09999999999991</v>
      </c>
      <c r="J29" s="36">
        <f t="shared" si="8"/>
        <v>-305.09999999999991</v>
      </c>
      <c r="K29" s="34">
        <f t="shared" si="8"/>
        <v>-85.099999999999909</v>
      </c>
    </row>
    <row r="31" spans="1:11" x14ac:dyDescent="0.2">
      <c r="A31" t="s">
        <v>204</v>
      </c>
    </row>
    <row r="32" spans="1:11" x14ac:dyDescent="0.2">
      <c r="A32" s="6" t="s">
        <v>191</v>
      </c>
      <c r="B32" s="35">
        <v>0</v>
      </c>
      <c r="C32">
        <v>1</v>
      </c>
      <c r="D32" s="35">
        <v>2</v>
      </c>
      <c r="E32">
        <v>3</v>
      </c>
      <c r="F32" s="35">
        <v>4</v>
      </c>
      <c r="G32">
        <v>5</v>
      </c>
      <c r="H32" s="35">
        <v>6</v>
      </c>
      <c r="I32">
        <v>7</v>
      </c>
      <c r="J32" s="35">
        <v>8</v>
      </c>
      <c r="K32">
        <v>9</v>
      </c>
    </row>
    <row r="33" spans="1:12" x14ac:dyDescent="0.2">
      <c r="A33" t="str">
        <f>A21</f>
        <v>Ref</v>
      </c>
      <c r="B33" s="36">
        <f>$E21+B$32*ABS($E21-$F21)/9</f>
        <v>-44859.562999999995</v>
      </c>
      <c r="C33" s="34">
        <f t="shared" ref="C33:K33" si="9">$E21+C$32*ABS($E21-$F21)/9</f>
        <v>-40112.785222222214</v>
      </c>
      <c r="D33" s="36">
        <f t="shared" si="9"/>
        <v>-35366.00744444444</v>
      </c>
      <c r="E33" s="34">
        <f t="shared" si="9"/>
        <v>-30619.229666666666</v>
      </c>
      <c r="F33" s="36">
        <f t="shared" si="9"/>
        <v>-25872.451888888885</v>
      </c>
      <c r="G33" s="34">
        <f t="shared" si="9"/>
        <v>-21125.674111111108</v>
      </c>
      <c r="H33" s="36">
        <f t="shared" si="9"/>
        <v>-16378.896333333334</v>
      </c>
      <c r="I33" s="34">
        <f t="shared" si="9"/>
        <v>-11632.118555555557</v>
      </c>
      <c r="J33" s="36">
        <f t="shared" si="9"/>
        <v>-6885.3407777777757</v>
      </c>
      <c r="K33" s="34">
        <f t="shared" si="9"/>
        <v>-2138.5630000000019</v>
      </c>
    </row>
    <row r="34" spans="1:12" x14ac:dyDescent="0.2">
      <c r="A34" t="str">
        <f t="shared" ref="A34:A35" si="10">A22</f>
        <v>6 units</v>
      </c>
      <c r="B34" s="36">
        <f>$E22+B$32*ABS($E22-$F22)/9</f>
        <v>-35812.762999999999</v>
      </c>
      <c r="C34" s="34">
        <f t="shared" ref="C34:K34" si="11">$E22+C$32*ABS($E22-$F22)/9</f>
        <v>-32071.185222222222</v>
      </c>
      <c r="D34" s="36">
        <f t="shared" si="11"/>
        <v>-28329.607444444446</v>
      </c>
      <c r="E34" s="34">
        <f t="shared" si="11"/>
        <v>-24588.029666666669</v>
      </c>
      <c r="F34" s="36">
        <f t="shared" si="11"/>
        <v>-20846.451888888889</v>
      </c>
      <c r="G34" s="34">
        <f t="shared" si="11"/>
        <v>-17104.874111111109</v>
      </c>
      <c r="H34" s="36">
        <f t="shared" si="11"/>
        <v>-13363.296333333335</v>
      </c>
      <c r="I34" s="34">
        <f t="shared" si="11"/>
        <v>-9621.7185555555589</v>
      </c>
      <c r="J34" s="36">
        <f t="shared" si="11"/>
        <v>-5880.1407777777786</v>
      </c>
      <c r="K34" s="34">
        <f t="shared" si="11"/>
        <v>-2138.5630000000019</v>
      </c>
      <c r="L34" s="34"/>
    </row>
    <row r="35" spans="1:12" x14ac:dyDescent="0.2">
      <c r="A35" t="str">
        <f t="shared" si="10"/>
        <v>18 units</v>
      </c>
      <c r="B35" s="36">
        <f>$E23+B$32*ABS($E23-$F23)/9</f>
        <v>-51895.962999999996</v>
      </c>
      <c r="C35" s="34">
        <f>$E23+C$32*ABS($E23-$F23)/9</f>
        <v>-46367.362999999998</v>
      </c>
      <c r="D35" s="36">
        <f t="shared" ref="D35:K35" si="12">$E23+D$32*ABS($E23-$F23)/9</f>
        <v>-40838.762999999999</v>
      </c>
      <c r="E35" s="34">
        <f t="shared" si="12"/>
        <v>-35310.163</v>
      </c>
      <c r="F35" s="36">
        <f t="shared" si="12"/>
        <v>-29781.562999999998</v>
      </c>
      <c r="G35" s="34">
        <f t="shared" si="12"/>
        <v>-24252.963</v>
      </c>
      <c r="H35" s="36">
        <f t="shared" si="12"/>
        <v>-18724.362999999998</v>
      </c>
      <c r="I35" s="34">
        <f t="shared" si="12"/>
        <v>-13195.763000000006</v>
      </c>
      <c r="J35" s="36">
        <f t="shared" si="12"/>
        <v>-7667.1630000000005</v>
      </c>
      <c r="K35" s="34">
        <f t="shared" si="12"/>
        <v>-2138.5630000000019</v>
      </c>
    </row>
    <row r="36" spans="1:12" x14ac:dyDescent="0.2"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8" spans="1:12" x14ac:dyDescent="0.2">
      <c r="A38" t="s">
        <v>208</v>
      </c>
      <c r="D38" t="str">
        <f>A21</f>
        <v>Ref</v>
      </c>
      <c r="F38" t="str">
        <f>A22</f>
        <v>6 units</v>
      </c>
      <c r="H38" t="str">
        <f>A23</f>
        <v>18 units</v>
      </c>
    </row>
    <row r="39" spans="1:12" x14ac:dyDescent="0.2">
      <c r="A39" t="s">
        <v>209</v>
      </c>
      <c r="B39" s="37" t="s">
        <v>197</v>
      </c>
      <c r="C39" s="37" t="s">
        <v>198</v>
      </c>
      <c r="D39" t="s">
        <v>195</v>
      </c>
      <c r="E39" t="s">
        <v>196</v>
      </c>
      <c r="F39" t="s">
        <v>195</v>
      </c>
      <c r="G39" t="s">
        <v>196</v>
      </c>
      <c r="H39" t="s">
        <v>195</v>
      </c>
      <c r="I39" t="s">
        <v>196</v>
      </c>
    </row>
    <row r="40" spans="1:12" x14ac:dyDescent="0.2">
      <c r="A40" t="s">
        <v>199</v>
      </c>
      <c r="B40" s="37">
        <f t="shared" ref="B40:B42" si="13">ROUNDUP(C40*$B$44/$C$44,0)</f>
        <v>2</v>
      </c>
      <c r="C40" s="37">
        <v>934</v>
      </c>
      <c r="D40">
        <v>0</v>
      </c>
      <c r="E40" s="34">
        <f>ABS($E$21)*24*B40</f>
        <v>2153259.0239999997</v>
      </c>
      <c r="F40" s="34">
        <v>0</v>
      </c>
      <c r="G40" s="34">
        <f>ABS($E$22)*24*$B40</f>
        <v>1719012.6239999998</v>
      </c>
      <c r="H40" s="34">
        <v>0</v>
      </c>
      <c r="I40" s="34">
        <f>ABS($E$23)*24*$B40</f>
        <v>2491006.2239999999</v>
      </c>
      <c r="J40" s="34"/>
      <c r="K40" s="34"/>
    </row>
    <row r="41" spans="1:12" x14ac:dyDescent="0.2">
      <c r="A41" t="s">
        <v>200</v>
      </c>
      <c r="B41" s="37">
        <f t="shared" si="13"/>
        <v>7</v>
      </c>
      <c r="C41" s="37">
        <v>4231</v>
      </c>
      <c r="D41">
        <v>0</v>
      </c>
      <c r="E41" s="34">
        <f>ABS($E$21)*24*B41</f>
        <v>7536406.5839999989</v>
      </c>
      <c r="F41" s="34">
        <v>0</v>
      </c>
      <c r="G41" s="34">
        <f t="shared" ref="G41:G44" si="14">ABS($E$22)*24*$B41</f>
        <v>6016544.1839999994</v>
      </c>
      <c r="H41" s="34">
        <v>0</v>
      </c>
      <c r="I41" s="34">
        <f t="shared" ref="I41:I44" si="15">ABS($E$23)*24*$B41</f>
        <v>8718521.784</v>
      </c>
      <c r="J41" s="34"/>
      <c r="K41" s="34"/>
    </row>
    <row r="42" spans="1:12" x14ac:dyDescent="0.2">
      <c r="A42" t="s">
        <v>201</v>
      </c>
      <c r="B42" s="37">
        <f t="shared" si="13"/>
        <v>2</v>
      </c>
      <c r="C42" s="37">
        <v>934</v>
      </c>
      <c r="D42">
        <v>0</v>
      </c>
      <c r="E42" s="34">
        <f>ABS($E$21)*24*B42</f>
        <v>2153259.0239999997</v>
      </c>
      <c r="F42" s="34">
        <v>0</v>
      </c>
      <c r="G42" s="34">
        <f t="shared" si="14"/>
        <v>1719012.6239999998</v>
      </c>
      <c r="H42" s="34">
        <v>0</v>
      </c>
      <c r="I42" s="34">
        <f t="shared" si="15"/>
        <v>2491006.2239999999</v>
      </c>
      <c r="J42" s="34"/>
      <c r="K42" s="34"/>
    </row>
    <row r="43" spans="1:12" x14ac:dyDescent="0.2">
      <c r="A43" t="s">
        <v>210</v>
      </c>
      <c r="B43" s="37">
        <f>ROUNDUP(C43*$B$44/$C$44,0)</f>
        <v>1</v>
      </c>
      <c r="C43" s="37">
        <v>97</v>
      </c>
      <c r="D43">
        <v>0</v>
      </c>
      <c r="E43" s="34">
        <f>ABS($E$21)*24*B43</f>
        <v>1076629.5119999999</v>
      </c>
      <c r="F43" s="34">
        <v>0</v>
      </c>
      <c r="G43" s="34">
        <f t="shared" si="14"/>
        <v>859506.31199999992</v>
      </c>
      <c r="H43" s="34">
        <v>0</v>
      </c>
      <c r="I43" s="34">
        <f t="shared" si="15"/>
        <v>1245503.112</v>
      </c>
    </row>
    <row r="44" spans="1:12" x14ac:dyDescent="0.2">
      <c r="A44" t="s">
        <v>202</v>
      </c>
      <c r="B44" s="37">
        <v>14</v>
      </c>
      <c r="C44" s="37">
        <v>8997</v>
      </c>
      <c r="D44">
        <v>0</v>
      </c>
      <c r="E44" s="34">
        <f>ABS($E$21)*24*B44</f>
        <v>15072813.167999998</v>
      </c>
      <c r="F44" s="34">
        <v>0</v>
      </c>
      <c r="G44" s="34">
        <f t="shared" si="14"/>
        <v>12033088.367999999</v>
      </c>
      <c r="H44" s="34">
        <v>0</v>
      </c>
      <c r="I44" s="34">
        <f t="shared" si="15"/>
        <v>17437043.568</v>
      </c>
    </row>
    <row r="46" spans="1:12" x14ac:dyDescent="0.2">
      <c r="A46" t="s">
        <v>205</v>
      </c>
      <c r="B46">
        <v>0</v>
      </c>
      <c r="C46" s="37">
        <v>1</v>
      </c>
      <c r="D46">
        <v>2</v>
      </c>
      <c r="E46" s="37">
        <v>3</v>
      </c>
      <c r="F46">
        <v>4</v>
      </c>
      <c r="G46" s="37">
        <v>5</v>
      </c>
      <c r="H46">
        <v>6</v>
      </c>
      <c r="I46" s="37">
        <v>7</v>
      </c>
      <c r="J46">
        <v>8</v>
      </c>
      <c r="K46" s="37">
        <v>9</v>
      </c>
    </row>
    <row r="47" spans="1:12" x14ac:dyDescent="0.2">
      <c r="A47" t="str">
        <f>A40</f>
        <v>Braidwood</v>
      </c>
      <c r="B47" s="34">
        <f>$D40+B$46*ABS($E40-$D40)/9</f>
        <v>0</v>
      </c>
      <c r="C47" s="34">
        <f t="shared" ref="C47:K47" si="16">$D40+C$46*ABS($E40-$D40)/9</f>
        <v>239251.00266666664</v>
      </c>
      <c r="D47" s="34">
        <f t="shared" si="16"/>
        <v>478502.00533333328</v>
      </c>
      <c r="E47" s="34">
        <f t="shared" si="16"/>
        <v>717753.00799999991</v>
      </c>
      <c r="F47" s="34">
        <f t="shared" si="16"/>
        <v>957004.01066666655</v>
      </c>
      <c r="G47" s="34">
        <f t="shared" si="16"/>
        <v>1196255.0133333332</v>
      </c>
      <c r="H47" s="34">
        <f t="shared" si="16"/>
        <v>1435506.0159999998</v>
      </c>
      <c r="I47" s="34">
        <f t="shared" si="16"/>
        <v>1674757.0186666665</v>
      </c>
      <c r="J47" s="34">
        <f t="shared" si="16"/>
        <v>1914008.0213333331</v>
      </c>
      <c r="K47" s="34">
        <f t="shared" si="16"/>
        <v>2153259.0239999997</v>
      </c>
    </row>
    <row r="48" spans="1:12" x14ac:dyDescent="0.2">
      <c r="A48" t="str">
        <f t="shared" ref="A48:A51" si="17">A41</f>
        <v>Cooper</v>
      </c>
      <c r="B48" s="34">
        <f t="shared" ref="B48:K51" si="18">$D41+B$46*ABS($E41-$D41)/9</f>
        <v>0</v>
      </c>
      <c r="C48" s="34">
        <f t="shared" si="18"/>
        <v>837378.50933333323</v>
      </c>
      <c r="D48" s="34">
        <f t="shared" si="18"/>
        <v>1674757.0186666665</v>
      </c>
      <c r="E48" s="34">
        <f t="shared" si="18"/>
        <v>2512135.5279999995</v>
      </c>
      <c r="F48" s="34">
        <f t="shared" si="18"/>
        <v>3349514.0373333329</v>
      </c>
      <c r="G48" s="34">
        <f t="shared" si="18"/>
        <v>4186892.5466666659</v>
      </c>
      <c r="H48" s="34">
        <f t="shared" si="18"/>
        <v>5024271.0559999989</v>
      </c>
      <c r="I48" s="34">
        <f t="shared" si="18"/>
        <v>5861649.5653333329</v>
      </c>
      <c r="J48" s="34">
        <f t="shared" si="18"/>
        <v>6699028.0746666659</v>
      </c>
      <c r="K48" s="34">
        <f t="shared" si="18"/>
        <v>7536406.5839999979</v>
      </c>
    </row>
    <row r="49" spans="1:11" x14ac:dyDescent="0.2">
      <c r="A49" t="str">
        <f t="shared" si="17"/>
        <v>Davis-Besse</v>
      </c>
      <c r="B49" s="34">
        <f t="shared" si="18"/>
        <v>0</v>
      </c>
      <c r="C49" s="34">
        <f t="shared" si="18"/>
        <v>239251.00266666664</v>
      </c>
      <c r="D49" s="34">
        <f t="shared" si="18"/>
        <v>478502.00533333328</v>
      </c>
      <c r="E49" s="34">
        <f t="shared" si="18"/>
        <v>717753.00799999991</v>
      </c>
      <c r="F49" s="34">
        <f t="shared" si="18"/>
        <v>957004.01066666655</v>
      </c>
      <c r="G49" s="34">
        <f t="shared" si="18"/>
        <v>1196255.0133333332</v>
      </c>
      <c r="H49" s="34">
        <f t="shared" si="18"/>
        <v>1435506.0159999998</v>
      </c>
      <c r="I49" s="34">
        <f t="shared" si="18"/>
        <v>1674757.0186666665</v>
      </c>
      <c r="J49" s="34">
        <f t="shared" si="18"/>
        <v>1914008.0213333331</v>
      </c>
      <c r="K49" s="34">
        <f t="shared" si="18"/>
        <v>2153259.0239999997</v>
      </c>
    </row>
    <row r="50" spans="1:11" x14ac:dyDescent="0.2">
      <c r="A50" t="str">
        <f t="shared" si="17"/>
        <v>Prairie-Island</v>
      </c>
      <c r="B50" s="34">
        <f t="shared" si="18"/>
        <v>0</v>
      </c>
      <c r="C50" s="34">
        <f t="shared" si="18"/>
        <v>119625.50133333332</v>
      </c>
      <c r="D50" s="34">
        <f t="shared" si="18"/>
        <v>239251.00266666664</v>
      </c>
      <c r="E50" s="34">
        <f t="shared" si="18"/>
        <v>358876.50399999996</v>
      </c>
      <c r="F50" s="34">
        <f t="shared" si="18"/>
        <v>478502.00533333328</v>
      </c>
      <c r="G50" s="34">
        <f t="shared" si="18"/>
        <v>598127.5066666666</v>
      </c>
      <c r="H50" s="34">
        <f t="shared" si="18"/>
        <v>717753.00799999991</v>
      </c>
      <c r="I50" s="34">
        <f t="shared" si="18"/>
        <v>837378.50933333323</v>
      </c>
      <c r="J50" s="34">
        <f t="shared" si="18"/>
        <v>957004.01066666655</v>
      </c>
      <c r="K50" s="34">
        <f t="shared" si="18"/>
        <v>1076629.5119999999</v>
      </c>
    </row>
    <row r="51" spans="1:11" x14ac:dyDescent="0.2">
      <c r="A51" t="str">
        <f t="shared" si="17"/>
        <v>South Texas Project</v>
      </c>
      <c r="B51" s="34">
        <f t="shared" si="18"/>
        <v>0</v>
      </c>
      <c r="C51" s="34">
        <f>$D44+C$46*ABS($E44-$D44)/9</f>
        <v>1674757.0186666665</v>
      </c>
      <c r="D51" s="34">
        <f t="shared" si="18"/>
        <v>3349514.0373333329</v>
      </c>
      <c r="E51" s="34">
        <f t="shared" si="18"/>
        <v>5024271.0559999989</v>
      </c>
      <c r="F51" s="34">
        <f t="shared" si="18"/>
        <v>6699028.0746666659</v>
      </c>
      <c r="G51" s="34">
        <f t="shared" si="18"/>
        <v>8373785.0933333319</v>
      </c>
      <c r="H51" s="34">
        <f t="shared" si="18"/>
        <v>10048542.111999998</v>
      </c>
      <c r="I51" s="34">
        <f t="shared" si="18"/>
        <v>11723299.130666666</v>
      </c>
      <c r="J51" s="34">
        <f t="shared" si="18"/>
        <v>13398056.149333332</v>
      </c>
      <c r="K51" s="34">
        <f t="shared" si="18"/>
        <v>15072813.167999996</v>
      </c>
    </row>
    <row r="53" spans="1:11" x14ac:dyDescent="0.2">
      <c r="A53" t="s">
        <v>211</v>
      </c>
      <c r="B53">
        <v>0</v>
      </c>
      <c r="C53" s="37">
        <v>1</v>
      </c>
      <c r="D53">
        <v>2</v>
      </c>
      <c r="E53" s="37">
        <v>3</v>
      </c>
      <c r="F53">
        <v>4</v>
      </c>
      <c r="G53" s="37">
        <v>5</v>
      </c>
      <c r="H53">
        <v>6</v>
      </c>
      <c r="I53" s="37">
        <v>7</v>
      </c>
      <c r="J53">
        <v>8</v>
      </c>
      <c r="K53" s="37">
        <v>9</v>
      </c>
    </row>
    <row r="54" spans="1:11" x14ac:dyDescent="0.2">
      <c r="A54" t="str">
        <f>A47</f>
        <v>Braidwood</v>
      </c>
      <c r="B54" s="34">
        <f>$F40+B$46*ABS($G40-$F40)/9</f>
        <v>0</v>
      </c>
      <c r="C54" s="34">
        <f t="shared" ref="C54:K54" si="19">$F40+C$46*ABS($G40-$F40)/9</f>
        <v>191001.40266666666</v>
      </c>
      <c r="D54" s="34">
        <f t="shared" si="19"/>
        <v>382002.80533333332</v>
      </c>
      <c r="E54" s="34">
        <f t="shared" si="19"/>
        <v>573004.20799999998</v>
      </c>
      <c r="F54" s="34">
        <f t="shared" si="19"/>
        <v>764005.61066666665</v>
      </c>
      <c r="G54" s="34">
        <f t="shared" si="19"/>
        <v>955007.01333333319</v>
      </c>
      <c r="H54" s="34">
        <f t="shared" si="19"/>
        <v>1146008.416</v>
      </c>
      <c r="I54" s="34">
        <f t="shared" si="19"/>
        <v>1337009.8186666665</v>
      </c>
      <c r="J54" s="34">
        <f t="shared" si="19"/>
        <v>1528011.2213333333</v>
      </c>
      <c r="K54" s="34">
        <f t="shared" si="19"/>
        <v>1719012.6239999998</v>
      </c>
    </row>
    <row r="55" spans="1:11" x14ac:dyDescent="0.2">
      <c r="A55" t="str">
        <f t="shared" ref="A55:A58" si="20">A48</f>
        <v>Cooper</v>
      </c>
      <c r="B55" s="34">
        <f t="shared" ref="B55:K58" si="21">$F41+B$46*ABS($G41-$F41)/9</f>
        <v>0</v>
      </c>
      <c r="C55" s="34">
        <f t="shared" si="21"/>
        <v>668504.90933333326</v>
      </c>
      <c r="D55" s="34">
        <f t="shared" si="21"/>
        <v>1337009.8186666665</v>
      </c>
      <c r="E55" s="34">
        <f t="shared" si="21"/>
        <v>2005514.7279999997</v>
      </c>
      <c r="F55" s="34">
        <f t="shared" si="21"/>
        <v>2674019.637333333</v>
      </c>
      <c r="G55" s="34">
        <f t="shared" si="21"/>
        <v>3342524.5466666664</v>
      </c>
      <c r="H55" s="34">
        <f t="shared" si="21"/>
        <v>4011029.4559999993</v>
      </c>
      <c r="I55" s="34">
        <f t="shared" si="21"/>
        <v>4679534.3653333327</v>
      </c>
      <c r="J55" s="34">
        <f t="shared" si="21"/>
        <v>5348039.2746666661</v>
      </c>
      <c r="K55" s="34">
        <f t="shared" si="21"/>
        <v>6016544.1839999994</v>
      </c>
    </row>
    <row r="56" spans="1:11" x14ac:dyDescent="0.2">
      <c r="A56" t="str">
        <f t="shared" si="20"/>
        <v>Davis-Besse</v>
      </c>
      <c r="B56" s="34">
        <f t="shared" si="21"/>
        <v>0</v>
      </c>
      <c r="C56" s="34">
        <f t="shared" si="21"/>
        <v>191001.40266666666</v>
      </c>
      <c r="D56" s="34">
        <f t="shared" si="21"/>
        <v>382002.80533333332</v>
      </c>
      <c r="E56" s="34">
        <f t="shared" si="21"/>
        <v>573004.20799999998</v>
      </c>
      <c r="F56" s="34">
        <f t="shared" si="21"/>
        <v>764005.61066666665</v>
      </c>
      <c r="G56" s="34">
        <f t="shared" si="21"/>
        <v>955007.01333333319</v>
      </c>
      <c r="H56" s="34">
        <f t="shared" si="21"/>
        <v>1146008.416</v>
      </c>
      <c r="I56" s="34">
        <f t="shared" si="21"/>
        <v>1337009.8186666665</v>
      </c>
      <c r="J56" s="34">
        <f t="shared" si="21"/>
        <v>1528011.2213333333</v>
      </c>
      <c r="K56" s="34">
        <f t="shared" si="21"/>
        <v>1719012.6239999998</v>
      </c>
    </row>
    <row r="57" spans="1:11" x14ac:dyDescent="0.2">
      <c r="A57" t="str">
        <f t="shared" si="20"/>
        <v>Prairie-Island</v>
      </c>
      <c r="B57" s="34">
        <f t="shared" si="21"/>
        <v>0</v>
      </c>
      <c r="C57" s="34">
        <f t="shared" si="21"/>
        <v>95500.701333333331</v>
      </c>
      <c r="D57" s="34">
        <f t="shared" si="21"/>
        <v>191001.40266666666</v>
      </c>
      <c r="E57" s="34">
        <f t="shared" si="21"/>
        <v>286502.10399999999</v>
      </c>
      <c r="F57" s="34">
        <f t="shared" si="21"/>
        <v>382002.80533333332</v>
      </c>
      <c r="G57" s="34">
        <f t="shared" si="21"/>
        <v>477503.5066666666</v>
      </c>
      <c r="H57" s="34">
        <f t="shared" si="21"/>
        <v>573004.20799999998</v>
      </c>
      <c r="I57" s="34">
        <f t="shared" si="21"/>
        <v>668504.90933333326</v>
      </c>
      <c r="J57" s="34">
        <f t="shared" si="21"/>
        <v>764005.61066666665</v>
      </c>
      <c r="K57" s="34">
        <f t="shared" si="21"/>
        <v>859506.31199999992</v>
      </c>
    </row>
    <row r="58" spans="1:11" x14ac:dyDescent="0.2">
      <c r="A58" t="str">
        <f t="shared" si="20"/>
        <v>South Texas Project</v>
      </c>
      <c r="B58" s="34">
        <f t="shared" si="21"/>
        <v>0</v>
      </c>
      <c r="C58" s="34">
        <f t="shared" si="21"/>
        <v>1337009.8186666665</v>
      </c>
      <c r="D58" s="34">
        <f t="shared" si="21"/>
        <v>2674019.637333333</v>
      </c>
      <c r="E58" s="34">
        <f t="shared" si="21"/>
        <v>4011029.4559999993</v>
      </c>
      <c r="F58" s="34">
        <f t="shared" si="21"/>
        <v>5348039.2746666661</v>
      </c>
      <c r="G58" s="34">
        <f t="shared" si="21"/>
        <v>6685049.0933333328</v>
      </c>
      <c r="H58" s="34">
        <f t="shared" si="21"/>
        <v>8022058.9119999986</v>
      </c>
      <c r="I58" s="34">
        <f t="shared" si="21"/>
        <v>9359068.7306666654</v>
      </c>
      <c r="J58" s="34">
        <f t="shared" si="21"/>
        <v>10696078.549333332</v>
      </c>
      <c r="K58" s="34">
        <f t="shared" si="21"/>
        <v>12033088.367999999</v>
      </c>
    </row>
    <row r="60" spans="1:11" x14ac:dyDescent="0.2">
      <c r="A60" t="s">
        <v>212</v>
      </c>
      <c r="B60">
        <v>0</v>
      </c>
      <c r="C60" s="37">
        <v>1</v>
      </c>
      <c r="D60">
        <v>2</v>
      </c>
      <c r="E60" s="37">
        <v>3</v>
      </c>
      <c r="F60">
        <v>4</v>
      </c>
      <c r="G60" s="37">
        <v>5</v>
      </c>
      <c r="H60">
        <v>6</v>
      </c>
      <c r="I60" s="37">
        <v>7</v>
      </c>
      <c r="J60">
        <v>8</v>
      </c>
      <c r="K60" s="37">
        <v>9</v>
      </c>
    </row>
    <row r="61" spans="1:11" x14ac:dyDescent="0.2">
      <c r="A61" t="str">
        <f>A54</f>
        <v>Braidwood</v>
      </c>
      <c r="B61" s="34">
        <f>$H40+B$46*ABS($I40-$H40)/9</f>
        <v>0</v>
      </c>
      <c r="C61" s="34">
        <f t="shared" ref="C61:K61" si="22">$H40+C$46*ABS($I40-$H40)/9</f>
        <v>276778.46933333331</v>
      </c>
      <c r="D61" s="34">
        <f t="shared" si="22"/>
        <v>553556.93866666663</v>
      </c>
      <c r="E61" s="34">
        <f t="shared" si="22"/>
        <v>830335.40800000005</v>
      </c>
      <c r="F61" s="34">
        <f t="shared" si="22"/>
        <v>1107113.8773333333</v>
      </c>
      <c r="G61" s="34">
        <f t="shared" si="22"/>
        <v>1383892.3466666667</v>
      </c>
      <c r="H61" s="34">
        <f t="shared" si="22"/>
        <v>1660670.8160000001</v>
      </c>
      <c r="I61" s="34">
        <f t="shared" si="22"/>
        <v>1937449.2853333333</v>
      </c>
      <c r="J61" s="34">
        <f t="shared" si="22"/>
        <v>2214227.7546666665</v>
      </c>
      <c r="K61" s="34">
        <f t="shared" si="22"/>
        <v>2491006.2239999999</v>
      </c>
    </row>
    <row r="62" spans="1:11" x14ac:dyDescent="0.2">
      <c r="A62" t="str">
        <f t="shared" ref="A62:A65" si="23">A55</f>
        <v>Cooper</v>
      </c>
      <c r="B62" s="34">
        <f t="shared" ref="B62:K65" si="24">$H41+B$46*ABS($I41-$H41)/9</f>
        <v>0</v>
      </c>
      <c r="C62" s="34">
        <f t="shared" si="24"/>
        <v>968724.64266666665</v>
      </c>
      <c r="D62" s="34">
        <f t="shared" si="24"/>
        <v>1937449.2853333333</v>
      </c>
      <c r="E62" s="34">
        <f t="shared" si="24"/>
        <v>2906173.9279999998</v>
      </c>
      <c r="F62" s="34">
        <f t="shared" si="24"/>
        <v>3874898.5706666666</v>
      </c>
      <c r="G62" s="34">
        <f t="shared" si="24"/>
        <v>4843623.2133333338</v>
      </c>
      <c r="H62" s="34">
        <f t="shared" si="24"/>
        <v>5812347.8559999997</v>
      </c>
      <c r="I62" s="34">
        <f t="shared" si="24"/>
        <v>6781072.4986666664</v>
      </c>
      <c r="J62" s="34">
        <f t="shared" si="24"/>
        <v>7749797.1413333332</v>
      </c>
      <c r="K62" s="34">
        <f t="shared" si="24"/>
        <v>8718521.784</v>
      </c>
    </row>
    <row r="63" spans="1:11" x14ac:dyDescent="0.2">
      <c r="A63" t="str">
        <f t="shared" si="23"/>
        <v>Davis-Besse</v>
      </c>
      <c r="B63" s="34">
        <f t="shared" si="24"/>
        <v>0</v>
      </c>
      <c r="C63" s="34">
        <f t="shared" si="24"/>
        <v>276778.46933333331</v>
      </c>
      <c r="D63" s="34">
        <f t="shared" si="24"/>
        <v>553556.93866666663</v>
      </c>
      <c r="E63" s="34">
        <f t="shared" si="24"/>
        <v>830335.40800000005</v>
      </c>
      <c r="F63" s="34">
        <f t="shared" si="24"/>
        <v>1107113.8773333333</v>
      </c>
      <c r="G63" s="34">
        <f t="shared" si="24"/>
        <v>1383892.3466666667</v>
      </c>
      <c r="H63" s="34">
        <f t="shared" si="24"/>
        <v>1660670.8160000001</v>
      </c>
      <c r="I63" s="34">
        <f t="shared" si="24"/>
        <v>1937449.2853333333</v>
      </c>
      <c r="J63" s="34">
        <f t="shared" si="24"/>
        <v>2214227.7546666665</v>
      </c>
      <c r="K63" s="34">
        <f t="shared" si="24"/>
        <v>2491006.2239999999</v>
      </c>
    </row>
    <row r="64" spans="1:11" x14ac:dyDescent="0.2">
      <c r="A64" t="str">
        <f t="shared" si="23"/>
        <v>Prairie-Island</v>
      </c>
      <c r="B64" s="34">
        <f t="shared" si="24"/>
        <v>0</v>
      </c>
      <c r="C64" s="34">
        <f t="shared" si="24"/>
        <v>138389.23466666666</v>
      </c>
      <c r="D64" s="34">
        <f t="shared" si="24"/>
        <v>276778.46933333331</v>
      </c>
      <c r="E64" s="34">
        <f t="shared" si="24"/>
        <v>415167.70400000003</v>
      </c>
      <c r="F64" s="34">
        <f t="shared" si="24"/>
        <v>553556.93866666663</v>
      </c>
      <c r="G64" s="34">
        <f t="shared" si="24"/>
        <v>691946.17333333334</v>
      </c>
      <c r="H64" s="34">
        <f t="shared" si="24"/>
        <v>830335.40800000005</v>
      </c>
      <c r="I64" s="34">
        <f t="shared" si="24"/>
        <v>968724.64266666665</v>
      </c>
      <c r="J64" s="34">
        <f t="shared" si="24"/>
        <v>1107113.8773333333</v>
      </c>
      <c r="K64" s="34">
        <f t="shared" si="24"/>
        <v>1245503.112</v>
      </c>
    </row>
    <row r="65" spans="1:11" x14ac:dyDescent="0.2">
      <c r="A65" t="str">
        <f t="shared" si="23"/>
        <v>South Texas Project</v>
      </c>
      <c r="B65" s="34">
        <f t="shared" si="24"/>
        <v>0</v>
      </c>
      <c r="C65" s="34">
        <f t="shared" si="24"/>
        <v>1937449.2853333333</v>
      </c>
      <c r="D65" s="34">
        <f t="shared" si="24"/>
        <v>3874898.5706666666</v>
      </c>
      <c r="E65" s="34">
        <f t="shared" si="24"/>
        <v>5812347.8559999997</v>
      </c>
      <c r="F65" s="34">
        <f t="shared" si="24"/>
        <v>7749797.1413333332</v>
      </c>
      <c r="G65" s="34">
        <f t="shared" si="24"/>
        <v>9687246.4266666677</v>
      </c>
      <c r="H65" s="34">
        <f t="shared" si="24"/>
        <v>11624695.711999999</v>
      </c>
      <c r="I65" s="34">
        <f t="shared" si="24"/>
        <v>13562144.997333333</v>
      </c>
      <c r="J65" s="34">
        <f t="shared" si="24"/>
        <v>15499594.282666666</v>
      </c>
      <c r="K65" s="34">
        <f t="shared" si="24"/>
        <v>17437043.568</v>
      </c>
    </row>
  </sheetData>
  <mergeCells count="5">
    <mergeCell ref="A19:A20"/>
    <mergeCell ref="B19:B20"/>
    <mergeCell ref="C19:D19"/>
    <mergeCell ref="E19:F19"/>
    <mergeCell ref="G19:H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7BA3C-274B-4147-8CC3-A303BF1014EB}">
  <dimension ref="A1:L5"/>
  <sheetViews>
    <sheetView tabSelected="1" zoomScale="120" zoomScaleNormal="120" workbookViewId="0">
      <selection activeCell="N9" sqref="N9"/>
    </sheetView>
  </sheetViews>
  <sheetFormatPr baseColWidth="10" defaultRowHeight="15" x14ac:dyDescent="0.2"/>
  <cols>
    <col min="1" max="1" width="20.33203125" bestFit="1" customWidth="1"/>
    <col min="2" max="3" width="13.6640625" bestFit="1" customWidth="1"/>
    <col min="4" max="4" width="14.6640625" bestFit="1" customWidth="1"/>
  </cols>
  <sheetData>
    <row r="1" spans="1:12" x14ac:dyDescent="0.2">
      <c r="A1" t="s">
        <v>0</v>
      </c>
      <c r="B1" t="s">
        <v>213</v>
      </c>
      <c r="G1" t="s">
        <v>218</v>
      </c>
    </row>
    <row r="2" spans="1:12" x14ac:dyDescent="0.2">
      <c r="G2" t="s">
        <v>219</v>
      </c>
      <c r="H2">
        <v>12</v>
      </c>
    </row>
    <row r="3" spans="1:12" x14ac:dyDescent="0.2">
      <c r="A3" t="s">
        <v>216</v>
      </c>
      <c r="B3" t="s">
        <v>206</v>
      </c>
      <c r="C3" t="s">
        <v>214</v>
      </c>
      <c r="D3" t="s">
        <v>207</v>
      </c>
      <c r="G3" t="s">
        <v>220</v>
      </c>
      <c r="H3">
        <v>60</v>
      </c>
      <c r="I3">
        <v>20</v>
      </c>
      <c r="J3">
        <v>40</v>
      </c>
      <c r="K3">
        <v>80</v>
      </c>
      <c r="L3">
        <v>100</v>
      </c>
    </row>
    <row r="4" spans="1:12" x14ac:dyDescent="0.2">
      <c r="A4" t="s">
        <v>215</v>
      </c>
      <c r="B4" s="38">
        <v>1802460</v>
      </c>
      <c r="C4" s="38">
        <v>5569000</v>
      </c>
      <c r="D4" s="38">
        <v>24646000</v>
      </c>
      <c r="G4" t="s">
        <v>221</v>
      </c>
      <c r="H4">
        <f>H3*$H$2</f>
        <v>720</v>
      </c>
      <c r="I4">
        <f t="shared" ref="I4:L4" si="0">I3*$H$2</f>
        <v>240</v>
      </c>
      <c r="J4">
        <f t="shared" si="0"/>
        <v>480</v>
      </c>
      <c r="K4">
        <f t="shared" si="0"/>
        <v>960</v>
      </c>
      <c r="L4">
        <f t="shared" si="0"/>
        <v>1200</v>
      </c>
    </row>
    <row r="5" spans="1:12" x14ac:dyDescent="0.2">
      <c r="A5" t="s">
        <v>217</v>
      </c>
      <c r="B5" s="38">
        <v>3.71</v>
      </c>
      <c r="C5" s="38">
        <v>23.2</v>
      </c>
      <c r="D5" s="38">
        <v>55.69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40" t="s">
        <v>2</v>
      </c>
      <c r="B2" s="40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20"/>
  <sheetViews>
    <sheetView zoomScale="120" zoomScaleNormal="120" workbookViewId="0">
      <selection activeCell="C21" sqref="C21"/>
    </sheetView>
  </sheetViews>
  <sheetFormatPr baseColWidth="10" defaultColWidth="8.83203125" defaultRowHeight="15" x14ac:dyDescent="0.2"/>
  <cols>
    <col min="1" max="1" width="9.5" bestFit="1" customWidth="1"/>
    <col min="2" max="2" width="12.1640625" bestFit="1" customWidth="1"/>
    <col min="4" max="4" width="10.33203125" bestFit="1" customWidth="1"/>
  </cols>
  <sheetData>
    <row r="1" spans="1:8" x14ac:dyDescent="0.2">
      <c r="A1" t="s">
        <v>11</v>
      </c>
    </row>
    <row r="2" spans="1:8" x14ac:dyDescent="0.2">
      <c r="A2" t="s">
        <v>15</v>
      </c>
      <c r="B2" s="18" t="s">
        <v>92</v>
      </c>
    </row>
    <row r="3" spans="1:8" x14ac:dyDescent="0.2">
      <c r="A3" t="s">
        <v>17</v>
      </c>
      <c r="B3" s="18" t="s">
        <v>93</v>
      </c>
    </row>
    <row r="4" spans="1:8" x14ac:dyDescent="0.2">
      <c r="B4" s="18"/>
    </row>
    <row r="5" spans="1:8" x14ac:dyDescent="0.2">
      <c r="A5" s="40" t="s">
        <v>61</v>
      </c>
      <c r="B5" s="40"/>
      <c r="C5" s="40"/>
      <c r="D5" s="40"/>
      <c r="E5" s="40"/>
      <c r="F5" s="40"/>
      <c r="G5" s="40"/>
    </row>
    <row r="6" spans="1:8" x14ac:dyDescent="0.2">
      <c r="A6" s="40" t="s">
        <v>62</v>
      </c>
      <c r="B6" s="40"/>
      <c r="C6" s="40"/>
      <c r="D6" s="40"/>
      <c r="E6" s="40"/>
      <c r="F6" s="40"/>
      <c r="G6" s="40"/>
    </row>
    <row r="7" spans="1:8" x14ac:dyDescent="0.2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74</v>
      </c>
    </row>
    <row r="8" spans="1:8" x14ac:dyDescent="0.2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74</v>
      </c>
    </row>
    <row r="9" spans="1:8" x14ac:dyDescent="0.2">
      <c r="A9" t="s">
        <v>65</v>
      </c>
      <c r="B9">
        <v>14.9</v>
      </c>
      <c r="C9" t="s">
        <v>66</v>
      </c>
      <c r="D9" s="2" t="s">
        <v>76</v>
      </c>
      <c r="E9" t="s">
        <v>77</v>
      </c>
      <c r="F9" s="2"/>
      <c r="H9" s="2"/>
    </row>
    <row r="10" spans="1:8" x14ac:dyDescent="0.2">
      <c r="A10" s="40" t="s">
        <v>68</v>
      </c>
      <c r="B10" s="40"/>
      <c r="C10" s="40"/>
      <c r="D10" s="40"/>
      <c r="E10" s="40"/>
      <c r="F10" s="40"/>
      <c r="G10" s="40"/>
    </row>
    <row r="11" spans="1:8" x14ac:dyDescent="0.2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74</v>
      </c>
    </row>
    <row r="12" spans="1:8" x14ac:dyDescent="0.2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74</v>
      </c>
    </row>
    <row r="13" spans="1:8" x14ac:dyDescent="0.2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74</v>
      </c>
    </row>
    <row r="15" spans="1:8" x14ac:dyDescent="0.2">
      <c r="A15" s="40" t="s">
        <v>17</v>
      </c>
      <c r="B15" s="40"/>
      <c r="C15" s="40"/>
      <c r="D15" s="40"/>
      <c r="E15" s="40"/>
      <c r="F15" s="40"/>
      <c r="G15" s="40"/>
    </row>
    <row r="16" spans="1:8" x14ac:dyDescent="0.2">
      <c r="A16" s="40" t="s">
        <v>62</v>
      </c>
      <c r="B16" s="40"/>
      <c r="C16" s="40"/>
    </row>
    <row r="17" spans="1:3" x14ac:dyDescent="0.2">
      <c r="A17" t="s">
        <v>65</v>
      </c>
      <c r="B17">
        <v>39.799999999999997</v>
      </c>
      <c r="C17" t="s">
        <v>73</v>
      </c>
    </row>
    <row r="18" spans="1:3" x14ac:dyDescent="0.2">
      <c r="A18" s="40" t="s">
        <v>68</v>
      </c>
      <c r="B18" s="40"/>
      <c r="C18" s="40"/>
    </row>
    <row r="19" spans="1:3" x14ac:dyDescent="0.2">
      <c r="A19" t="s">
        <v>64</v>
      </c>
      <c r="B19" s="6">
        <f>1/B17</f>
        <v>2.5125628140703519E-2</v>
      </c>
      <c r="C19" t="s">
        <v>75</v>
      </c>
    </row>
    <row r="20" spans="1:3" x14ac:dyDescent="0.2">
      <c r="B20">
        <f>B19*1000</f>
        <v>25.125628140703519</v>
      </c>
      <c r="C20" t="s">
        <v>131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10" t="s">
        <v>26</v>
      </c>
      <c r="B2" s="11" t="s">
        <v>27</v>
      </c>
      <c r="C2" s="12" t="s">
        <v>28</v>
      </c>
    </row>
    <row r="3" spans="1:3" x14ac:dyDescent="0.2">
      <c r="A3" s="13" t="s">
        <v>25</v>
      </c>
      <c r="B3" s="9">
        <v>36.799999999999997</v>
      </c>
      <c r="C3" s="14" t="s">
        <v>29</v>
      </c>
    </row>
    <row r="4" spans="1:3" x14ac:dyDescent="0.2">
      <c r="A4" s="13"/>
      <c r="B4" s="9">
        <f>1/B3</f>
        <v>2.7173913043478264E-2</v>
      </c>
      <c r="C4" s="14" t="s">
        <v>79</v>
      </c>
    </row>
    <row r="5" spans="1:3" x14ac:dyDescent="0.2">
      <c r="A5" s="13" t="s">
        <v>30</v>
      </c>
      <c r="B5">
        <v>6.4</v>
      </c>
      <c r="C5" s="14" t="s">
        <v>31</v>
      </c>
    </row>
    <row r="6" spans="1:3" x14ac:dyDescent="0.2">
      <c r="A6" s="13" t="s">
        <v>36</v>
      </c>
      <c r="B6">
        <v>590</v>
      </c>
      <c r="C6" s="14" t="s">
        <v>33</v>
      </c>
    </row>
    <row r="7" spans="1:3" x14ac:dyDescent="0.2">
      <c r="A7" s="13" t="s">
        <v>37</v>
      </c>
      <c r="B7">
        <v>763</v>
      </c>
      <c r="C7" s="14" t="s">
        <v>33</v>
      </c>
    </row>
    <row r="8" spans="1:3" x14ac:dyDescent="0.2">
      <c r="A8" s="13" t="s">
        <v>32</v>
      </c>
      <c r="B8">
        <v>544</v>
      </c>
      <c r="C8" s="14" t="s">
        <v>33</v>
      </c>
    </row>
    <row r="9" spans="1:3" x14ac:dyDescent="0.2">
      <c r="A9" s="13" t="s">
        <v>35</v>
      </c>
      <c r="B9" s="9">
        <v>703</v>
      </c>
      <c r="C9" s="14" t="s">
        <v>33</v>
      </c>
    </row>
    <row r="10" spans="1:3" x14ac:dyDescent="0.2">
      <c r="A10" s="13" t="s">
        <v>38</v>
      </c>
      <c r="B10">
        <v>20</v>
      </c>
      <c r="C10" s="14" t="s">
        <v>39</v>
      </c>
    </row>
    <row r="11" spans="1:3" x14ac:dyDescent="0.2">
      <c r="A11" s="13" t="s">
        <v>40</v>
      </c>
      <c r="B11" s="9">
        <v>32.64</v>
      </c>
      <c r="C11" s="14" t="s">
        <v>41</v>
      </c>
    </row>
    <row r="12" spans="1:3" x14ac:dyDescent="0.2">
      <c r="A12" s="13" t="s">
        <v>42</v>
      </c>
      <c r="B12" s="9">
        <v>3.41</v>
      </c>
      <c r="C12" s="14" t="s">
        <v>43</v>
      </c>
    </row>
    <row r="13" spans="1:3" x14ac:dyDescent="0.2">
      <c r="A13" s="13" t="s">
        <v>44</v>
      </c>
      <c r="B13">
        <v>10</v>
      </c>
      <c r="C13" s="14" t="s">
        <v>45</v>
      </c>
    </row>
    <row r="14" spans="1:3" ht="16" thickBot="1" x14ac:dyDescent="0.25">
      <c r="A14" s="15" t="s">
        <v>46</v>
      </c>
      <c r="B14" s="16">
        <v>20</v>
      </c>
      <c r="C14" s="17" t="s">
        <v>39</v>
      </c>
    </row>
    <row r="16" spans="1:3" x14ac:dyDescent="0.2">
      <c r="A16" s="7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D22-7A01-ED42-B8B2-84358A3D7717}">
  <dimension ref="A1:P25"/>
  <sheetViews>
    <sheetView zoomScale="120" zoomScaleNormal="120" workbookViewId="0">
      <selection activeCell="F10" sqref="F10"/>
    </sheetView>
  </sheetViews>
  <sheetFormatPr baseColWidth="10" defaultRowHeight="15" x14ac:dyDescent="0.2"/>
  <cols>
    <col min="1" max="1" width="24.1640625" bestFit="1" customWidth="1"/>
    <col min="2" max="2" width="31.6640625" customWidth="1"/>
    <col min="13" max="13" width="43.5" bestFit="1" customWidth="1"/>
    <col min="14" max="14" width="22.6640625" customWidth="1"/>
    <col min="15" max="15" width="18.6640625" customWidth="1"/>
    <col min="16" max="16" width="16.83203125" customWidth="1"/>
  </cols>
  <sheetData>
    <row r="1" spans="1:16" ht="16" thickBot="1" x14ac:dyDescent="0.25">
      <c r="A1" t="s">
        <v>103</v>
      </c>
      <c r="M1" t="s">
        <v>0</v>
      </c>
      <c r="N1" t="s">
        <v>80</v>
      </c>
    </row>
    <row r="2" spans="1:16" ht="16" thickBot="1" x14ac:dyDescent="0.25">
      <c r="A2" t="s">
        <v>11</v>
      </c>
      <c r="B2" t="s">
        <v>104</v>
      </c>
      <c r="M2" s="27" t="s">
        <v>26</v>
      </c>
      <c r="N2" s="25" t="s">
        <v>154</v>
      </c>
      <c r="O2" s="25" t="s">
        <v>27</v>
      </c>
      <c r="P2" s="26" t="s">
        <v>28</v>
      </c>
    </row>
    <row r="3" spans="1:16" ht="17" customHeight="1" x14ac:dyDescent="0.2">
      <c r="B3" s="8" t="s">
        <v>80</v>
      </c>
      <c r="M3" s="28" t="s">
        <v>155</v>
      </c>
      <c r="N3" t="s">
        <v>156</v>
      </c>
      <c r="O3" s="22">
        <v>257800644</v>
      </c>
      <c r="P3" s="14" t="s">
        <v>157</v>
      </c>
    </row>
    <row r="4" spans="1:16" x14ac:dyDescent="0.2">
      <c r="A4" t="s">
        <v>105</v>
      </c>
      <c r="M4" s="28" t="s">
        <v>158</v>
      </c>
      <c r="N4" t="s">
        <v>159</v>
      </c>
      <c r="O4" s="22">
        <v>5156012.88</v>
      </c>
      <c r="P4" s="14" t="s">
        <v>157</v>
      </c>
    </row>
    <row r="5" spans="1:16" x14ac:dyDescent="0.2">
      <c r="A5" t="s">
        <v>106</v>
      </c>
      <c r="B5">
        <v>2019</v>
      </c>
      <c r="H5" t="s">
        <v>124</v>
      </c>
      <c r="M5" s="28"/>
      <c r="N5" t="s">
        <v>160</v>
      </c>
      <c r="O5" s="22">
        <v>25780064.399999999</v>
      </c>
      <c r="P5" s="14" t="s">
        <v>157</v>
      </c>
    </row>
    <row r="6" spans="1:16" x14ac:dyDescent="0.2">
      <c r="A6" t="s">
        <v>107</v>
      </c>
      <c r="B6" t="s">
        <v>108</v>
      </c>
      <c r="H6" t="s">
        <v>125</v>
      </c>
      <c r="I6">
        <v>100</v>
      </c>
      <c r="J6">
        <v>400</v>
      </c>
      <c r="K6">
        <v>1000</v>
      </c>
      <c r="M6" s="28"/>
      <c r="N6" t="s">
        <v>161</v>
      </c>
      <c r="O6" s="22">
        <v>38670096.600000001</v>
      </c>
      <c r="P6" s="14" t="s">
        <v>157</v>
      </c>
    </row>
    <row r="7" spans="1:16" x14ac:dyDescent="0.2">
      <c r="A7" t="s">
        <v>109</v>
      </c>
      <c r="B7">
        <v>1.9E-2</v>
      </c>
      <c r="H7" t="s">
        <v>81</v>
      </c>
      <c r="I7">
        <v>68968000</v>
      </c>
      <c r="J7">
        <v>155155000</v>
      </c>
      <c r="K7">
        <v>293926000</v>
      </c>
      <c r="M7" s="28"/>
      <c r="N7" t="s">
        <v>162</v>
      </c>
      <c r="O7" s="22">
        <v>12251143</v>
      </c>
      <c r="P7" s="14" t="s">
        <v>157</v>
      </c>
    </row>
    <row r="8" spans="1:16" x14ac:dyDescent="0.2">
      <c r="A8" t="s">
        <v>110</v>
      </c>
      <c r="B8" t="s">
        <v>111</v>
      </c>
      <c r="H8" t="s">
        <v>82</v>
      </c>
      <c r="I8">
        <f>I6/J6</f>
        <v>0.25</v>
      </c>
      <c r="J8">
        <v>1</v>
      </c>
      <c r="K8">
        <f>K6/J6</f>
        <v>2.5</v>
      </c>
      <c r="M8" s="28"/>
      <c r="N8" t="s">
        <v>163</v>
      </c>
      <c r="O8" s="22">
        <v>38670096.600000001</v>
      </c>
      <c r="P8" s="14" t="s">
        <v>157</v>
      </c>
    </row>
    <row r="9" spans="1:16" x14ac:dyDescent="0.2">
      <c r="A9" t="s">
        <v>121</v>
      </c>
      <c r="B9" t="s">
        <v>122</v>
      </c>
      <c r="H9" t="s">
        <v>83</v>
      </c>
      <c r="I9">
        <f>LOG(I8)</f>
        <v>-0.6020599913279624</v>
      </c>
      <c r="J9">
        <f t="shared" ref="J9:K9" si="0">LOG(J8)</f>
        <v>0</v>
      </c>
      <c r="K9">
        <f t="shared" si="0"/>
        <v>0.3979400086720376</v>
      </c>
      <c r="M9" s="28" t="s">
        <v>164</v>
      </c>
      <c r="O9" s="22">
        <v>120527413.48</v>
      </c>
      <c r="P9" s="14" t="s">
        <v>157</v>
      </c>
    </row>
    <row r="10" spans="1:16" ht="16" thickBot="1" x14ac:dyDescent="0.25">
      <c r="H10" t="s">
        <v>126</v>
      </c>
      <c r="I10">
        <f>LOG(I7)</f>
        <v>7.8386476320849576</v>
      </c>
      <c r="J10">
        <f t="shared" ref="J10:K10" si="1">LOG(J7)</f>
        <v>8.1907657756496093</v>
      </c>
      <c r="K10">
        <f t="shared" si="1"/>
        <v>8.4682380044363352</v>
      </c>
      <c r="M10" s="28" t="s">
        <v>165</v>
      </c>
      <c r="N10" t="s">
        <v>166</v>
      </c>
      <c r="O10" s="22">
        <v>550360</v>
      </c>
      <c r="P10" s="14" t="s">
        <v>157</v>
      </c>
    </row>
    <row r="11" spans="1:16" ht="16" thickBot="1" x14ac:dyDescent="0.25">
      <c r="A11" s="27" t="s">
        <v>112</v>
      </c>
      <c r="B11" s="30"/>
      <c r="C11" s="30"/>
      <c r="D11" s="30"/>
      <c r="E11" s="31"/>
      <c r="M11" s="28" t="s">
        <v>81</v>
      </c>
      <c r="N11" t="s">
        <v>167</v>
      </c>
      <c r="O11" s="23">
        <v>378878417.48000002</v>
      </c>
      <c r="P11" s="14" t="s">
        <v>157</v>
      </c>
    </row>
    <row r="12" spans="1:16" x14ac:dyDescent="0.2">
      <c r="A12" s="13" t="s">
        <v>116</v>
      </c>
      <c r="B12" t="s">
        <v>117</v>
      </c>
      <c r="C12" t="s">
        <v>118</v>
      </c>
      <c r="D12" t="s">
        <v>0</v>
      </c>
      <c r="E12" s="14"/>
      <c r="M12" s="28" t="s">
        <v>168</v>
      </c>
      <c r="N12" t="s">
        <v>169</v>
      </c>
      <c r="O12" s="22">
        <v>9607972</v>
      </c>
      <c r="P12" s="14" t="s">
        <v>170</v>
      </c>
    </row>
    <row r="13" spans="1:16" x14ac:dyDescent="0.2">
      <c r="A13" s="13" t="s">
        <v>113</v>
      </c>
      <c r="B13" t="s">
        <v>114</v>
      </c>
      <c r="E13" s="14"/>
      <c r="M13" s="28" t="s">
        <v>171</v>
      </c>
      <c r="N13" t="s">
        <v>172</v>
      </c>
      <c r="O13" s="22">
        <v>1921594.4</v>
      </c>
      <c r="P13" s="14" t="s">
        <v>170</v>
      </c>
    </row>
    <row r="14" spans="1:16" x14ac:dyDescent="0.2">
      <c r="A14" s="13" t="s">
        <v>115</v>
      </c>
      <c r="B14">
        <v>10625</v>
      </c>
      <c r="C14" s="1" t="s">
        <v>119</v>
      </c>
      <c r="D14" t="s">
        <v>120</v>
      </c>
      <c r="E14" s="14"/>
      <c r="M14" s="28" t="s">
        <v>173</v>
      </c>
      <c r="N14" t="s">
        <v>174</v>
      </c>
      <c r="O14" s="22">
        <v>7577568.3499999996</v>
      </c>
      <c r="P14" s="14" t="s">
        <v>170</v>
      </c>
    </row>
    <row r="15" spans="1:16" x14ac:dyDescent="0.2">
      <c r="A15" s="13" t="s">
        <v>123</v>
      </c>
      <c r="B15">
        <f>155155000*(1+B7)</f>
        <v>158102945</v>
      </c>
      <c r="C15" s="1" t="s">
        <v>130</v>
      </c>
      <c r="E15" s="14"/>
      <c r="M15" s="28" t="s">
        <v>175</v>
      </c>
      <c r="O15" s="22">
        <v>1049006</v>
      </c>
      <c r="P15" s="14" t="s">
        <v>170</v>
      </c>
    </row>
    <row r="16" spans="1:16" x14ac:dyDescent="0.2">
      <c r="A16" s="13" t="s">
        <v>85</v>
      </c>
      <c r="B16">
        <v>0.626</v>
      </c>
      <c r="C16" s="1"/>
      <c r="E16" s="14"/>
      <c r="M16" s="28" t="s">
        <v>176</v>
      </c>
      <c r="O16" s="23">
        <v>20156140.75</v>
      </c>
      <c r="P16" s="14" t="s">
        <v>170</v>
      </c>
    </row>
    <row r="17" spans="1:16" x14ac:dyDescent="0.2">
      <c r="A17" s="13" t="s">
        <v>86</v>
      </c>
      <c r="B17">
        <v>20</v>
      </c>
      <c r="C17" s="1" t="s">
        <v>39</v>
      </c>
      <c r="E17" s="14"/>
      <c r="M17" s="28" t="s">
        <v>177</v>
      </c>
      <c r="O17" s="22">
        <v>7085933</v>
      </c>
      <c r="P17" s="14" t="s">
        <v>170</v>
      </c>
    </row>
    <row r="18" spans="1:16" ht="16" thickBot="1" x14ac:dyDescent="0.25">
      <c r="A18" s="13"/>
      <c r="E18" s="14"/>
      <c r="M18" s="28" t="s">
        <v>178</v>
      </c>
      <c r="O18" s="23">
        <v>7085933</v>
      </c>
      <c r="P18" s="14" t="s">
        <v>170</v>
      </c>
    </row>
    <row r="19" spans="1:16" ht="16" thickBot="1" x14ac:dyDescent="0.25">
      <c r="A19" s="27" t="s">
        <v>127</v>
      </c>
      <c r="B19" t="s">
        <v>128</v>
      </c>
      <c r="E19" s="14"/>
      <c r="M19" s="29" t="s">
        <v>179</v>
      </c>
      <c r="N19" s="24" t="s">
        <v>4</v>
      </c>
      <c r="O19" s="24">
        <v>20</v>
      </c>
      <c r="P19" s="17" t="s">
        <v>39</v>
      </c>
    </row>
    <row r="20" spans="1:16" x14ac:dyDescent="0.2">
      <c r="A20" s="13" t="s">
        <v>113</v>
      </c>
      <c r="B20">
        <v>1</v>
      </c>
      <c r="E20" s="14"/>
    </row>
    <row r="21" spans="1:16" x14ac:dyDescent="0.2">
      <c r="A21" s="13" t="s">
        <v>123</v>
      </c>
      <c r="B21" s="32">
        <f>POWER(1+B7,4)*O18</f>
        <v>7640007.3719816608</v>
      </c>
      <c r="E21" s="14"/>
    </row>
    <row r="22" spans="1:16" ht="16" thickBot="1" x14ac:dyDescent="0.25">
      <c r="A22" s="13"/>
      <c r="E22" s="14"/>
    </row>
    <row r="23" spans="1:16" ht="16" thickBot="1" x14ac:dyDescent="0.25">
      <c r="A23" s="27" t="s">
        <v>40</v>
      </c>
      <c r="E23" s="14"/>
    </row>
    <row r="24" spans="1:16" x14ac:dyDescent="0.2">
      <c r="A24" s="13" t="s">
        <v>113</v>
      </c>
      <c r="B24">
        <v>1</v>
      </c>
      <c r="E24" s="14"/>
    </row>
    <row r="25" spans="1:16" ht="16" thickBot="1" x14ac:dyDescent="0.25">
      <c r="A25" s="15" t="s">
        <v>123</v>
      </c>
      <c r="B25" s="33">
        <f>POWER(1+B7,4)*O16</f>
        <v>21732221.278510533</v>
      </c>
      <c r="C25" s="24" t="s">
        <v>129</v>
      </c>
      <c r="D25" s="24"/>
      <c r="E25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87</v>
      </c>
      <c r="B1" t="s">
        <v>91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90</v>
      </c>
      <c r="B8">
        <f>AVERAGE(B4:B7)</f>
        <v>120.32499999999999</v>
      </c>
    </row>
    <row r="10" spans="1:3" x14ac:dyDescent="0.2">
      <c r="A10" t="s">
        <v>89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88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E10"/>
  <sheetViews>
    <sheetView workbookViewId="0">
      <selection activeCell="I12" sqref="I12"/>
    </sheetView>
  </sheetViews>
  <sheetFormatPr baseColWidth="10" defaultRowHeight="15" x14ac:dyDescent="0.2"/>
  <cols>
    <col min="1" max="1" width="20.6640625" bestFit="1" customWidth="1"/>
  </cols>
  <sheetData>
    <row r="1" spans="1:5" x14ac:dyDescent="0.2">
      <c r="A1" s="6" t="s">
        <v>183</v>
      </c>
      <c r="B1" s="6" t="s">
        <v>133</v>
      </c>
      <c r="C1" s="6" t="s">
        <v>134</v>
      </c>
      <c r="D1" s="6" t="s">
        <v>135</v>
      </c>
      <c r="E1" s="6" t="s">
        <v>149</v>
      </c>
    </row>
    <row r="2" spans="1:5" x14ac:dyDescent="0.2">
      <c r="A2" t="s">
        <v>184</v>
      </c>
      <c r="B2" t="s">
        <v>136</v>
      </c>
      <c r="C2" t="s">
        <v>137</v>
      </c>
      <c r="D2" s="21">
        <v>9.5000000000000001E-2</v>
      </c>
      <c r="E2" s="19">
        <f>$B$10+D2*(1-$B$10)</f>
        <v>0.28505000000000003</v>
      </c>
    </row>
    <row r="3" spans="1:5" x14ac:dyDescent="0.2">
      <c r="A3" t="s">
        <v>185</v>
      </c>
      <c r="B3" t="s">
        <v>136</v>
      </c>
      <c r="C3" t="s">
        <v>138</v>
      </c>
      <c r="D3" s="21">
        <v>0</v>
      </c>
      <c r="E3" s="19">
        <f t="shared" ref="E3:E8" si="0">$B$10+D3*(1-$B$10)</f>
        <v>0.21</v>
      </c>
    </row>
    <row r="4" spans="1:5" x14ac:dyDescent="0.2">
      <c r="A4" t="s">
        <v>186</v>
      </c>
      <c r="B4" t="s">
        <v>139</v>
      </c>
      <c r="C4" t="s">
        <v>140</v>
      </c>
      <c r="D4" s="21">
        <v>0</v>
      </c>
      <c r="E4" s="19">
        <f t="shared" si="0"/>
        <v>0.21</v>
      </c>
    </row>
    <row r="5" spans="1:5" x14ac:dyDescent="0.2">
      <c r="A5" t="s">
        <v>187</v>
      </c>
      <c r="B5" t="s">
        <v>141</v>
      </c>
      <c r="C5" t="s">
        <v>142</v>
      </c>
      <c r="D5" s="21">
        <v>8.8400000000000006E-2</v>
      </c>
      <c r="E5" s="19">
        <f t="shared" si="0"/>
        <v>0.27983599999999997</v>
      </c>
    </row>
    <row r="6" spans="1:5" x14ac:dyDescent="0.2">
      <c r="A6" t="s">
        <v>188</v>
      </c>
      <c r="B6" t="s">
        <v>143</v>
      </c>
      <c r="C6" t="s">
        <v>144</v>
      </c>
      <c r="D6" s="21">
        <v>9.8000000000000004E-2</v>
      </c>
      <c r="E6" s="19">
        <f t="shared" si="0"/>
        <v>0.28742000000000001</v>
      </c>
    </row>
    <row r="7" spans="1:5" x14ac:dyDescent="0.2">
      <c r="A7" t="s">
        <v>189</v>
      </c>
      <c r="B7" t="s">
        <v>145</v>
      </c>
      <c r="C7" t="s">
        <v>146</v>
      </c>
      <c r="D7" s="21">
        <v>7.8100000000000003E-2</v>
      </c>
      <c r="E7" s="19">
        <f t="shared" si="0"/>
        <v>0.27169900000000002</v>
      </c>
    </row>
    <row r="8" spans="1:5" x14ac:dyDescent="0.2">
      <c r="A8" t="s">
        <v>190</v>
      </c>
      <c r="B8" t="s">
        <v>147</v>
      </c>
      <c r="C8" t="s">
        <v>148</v>
      </c>
      <c r="D8" s="21">
        <v>4.9000000000000002E-2</v>
      </c>
      <c r="E8" s="19">
        <f t="shared" si="0"/>
        <v>0.24870999999999999</v>
      </c>
    </row>
    <row r="9" spans="1:5" x14ac:dyDescent="0.2">
      <c r="C9" s="18"/>
    </row>
    <row r="10" spans="1:5" x14ac:dyDescent="0.2">
      <c r="A10" t="s">
        <v>150</v>
      </c>
      <c r="B10" s="20">
        <v>0.21</v>
      </c>
      <c r="C1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Boundaries</vt:lpstr>
      <vt:lpstr>SMR</vt:lpstr>
      <vt:lpstr>MACRS</vt:lpstr>
      <vt:lpstr>Transfer_rates</vt:lpstr>
      <vt:lpstr>HTSE</vt:lpstr>
      <vt:lpstr>FT</vt:lpstr>
      <vt:lpstr>Capacity_Market</vt:lpstr>
      <vt:lpstr>Tax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2023-06-27T13:29:21Z</dcterms:modified>
</cp:coreProperties>
</file>