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SMR_FT_2023/data/"/>
    </mc:Choice>
  </mc:AlternateContent>
  <xr:revisionPtr revIDLastSave="0" documentId="13_ncr:1_{9A94DB64-9635-D541-AD57-9E1F129A7F9A}" xr6:coauthVersionLast="47" xr6:coauthVersionMax="47" xr10:uidLastSave="{00000000-0000-0000-0000-000000000000}"/>
  <bookViews>
    <workbookView xWindow="-20" yWindow="500" windowWidth="30720" windowHeight="17000" activeTab="6" xr2:uid="{3CE7F202-39F9-48AF-B0C7-575379157397}"/>
  </bookViews>
  <sheets>
    <sheet name="MACRS" sheetId="1" r:id="rId1"/>
    <sheet name="Transfer_rates" sheetId="4" r:id="rId2"/>
    <sheet name="HTSE" sheetId="2" r:id="rId3"/>
    <sheet name="FT" sheetId="11" r:id="rId4"/>
    <sheet name="Boundaries" sheetId="10" r:id="rId5"/>
    <sheet name="Capacity_Market" sheetId="3" r:id="rId6"/>
    <sheet name="Tax rate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0" l="1"/>
  <c r="D14" i="10"/>
  <c r="D15" i="10"/>
  <c r="D16" i="10"/>
  <c r="D12" i="10"/>
  <c r="C12" i="10"/>
  <c r="B13" i="10"/>
  <c r="C13" i="10" s="1"/>
  <c r="B14" i="10"/>
  <c r="C14" i="10" s="1"/>
  <c r="B15" i="10"/>
  <c r="C15" i="10" s="1"/>
  <c r="B16" i="10"/>
  <c r="C16" i="10" s="1"/>
  <c r="B12" i="10"/>
  <c r="B25" i="11"/>
  <c r="B21" i="11"/>
  <c r="E3" i="12"/>
  <c r="E4" i="12"/>
  <c r="E5" i="12"/>
  <c r="E6" i="12"/>
  <c r="E7" i="12"/>
  <c r="E8" i="12"/>
  <c r="E2" i="12"/>
  <c r="B20" i="4"/>
  <c r="B15" i="11"/>
  <c r="J10" i="11"/>
  <c r="K10" i="11"/>
  <c r="I10" i="11"/>
  <c r="J9" i="11"/>
  <c r="I8" i="11"/>
  <c r="I9" i="11" s="1"/>
  <c r="K8" i="11"/>
  <c r="K9" i="11" s="1"/>
  <c r="B8" i="3"/>
  <c r="B4" i="2"/>
  <c r="B19" i="4"/>
  <c r="F12" i="4"/>
  <c r="F13" i="4"/>
  <c r="F11" i="4"/>
  <c r="F8" i="4"/>
  <c r="F7" i="4"/>
  <c r="D7" i="4"/>
  <c r="D8" i="4"/>
  <c r="D11" i="4"/>
  <c r="D12" i="4"/>
  <c r="D13" i="4"/>
</calcChain>
</file>

<file path=xl/sharedStrings.xml><?xml version="1.0" encoding="utf-8"?>
<sst xmlns="http://schemas.openxmlformats.org/spreadsheetml/2006/main" count="254" uniqueCount="191">
  <si>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</si>
  <si>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</si>
  <si>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</si>
  <si>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</si>
  <si>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</si>
  <si>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</si>
  <si>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</si>
  <si>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</si>
  <si>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</si>
  <si>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</si>
  <si>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</si>
  <si>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</si>
  <si>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</si>
  <si>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</si>
  <si>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</si>
  <si>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</si>
  <si>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</si>
  <si>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</si>
  <si>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</si>
  <si>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</si>
  <si>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</si>
  <si>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</si>
  <si>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</si>
  <si>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</si>
  <si>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</si>
  <si>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</si>
  <si>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</si>
  <si>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</si>
  <si>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</si>
  <si>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</si>
  <si>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</si>
  <si>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</si>
  <si>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</si>
  <si>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</si>
  <si>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</si>
  <si>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</si>
  <si>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</si>
  <si>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</si>
  <si>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</si>
  <si>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</si>
  <si>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</si>
  <si>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</si>
  <si>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</si>
  <si>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</si>
  <si>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</si>
  <si>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</si>
  <si>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</si>
  <si>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</si>
  <si>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</si>
  <si>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</si>
  <si>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</si>
  <si>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</si>
  <si>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</si>
  <si>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</si>
  <si>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</si>
  <si>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</si>
  <si>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</si>
  <si>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</si>
  <si>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</si>
  <si>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</si>
  <si>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</si>
  <si>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</si>
  <si>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</si>
  <si>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</si>
  <si>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</si>
  <si>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</si>
  <si>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</si>
  <si>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</si>
  <si>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</si>
  <si>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</si>
  <si>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</si>
  <si>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</si>
  <si>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</si>
  <si>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kWh/kg-H2</t>
  </si>
  <si>
    <t>kg/h</t>
  </si>
  <si>
    <t>kg-H2/kWh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</si>
  <si>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</si>
  <si>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</si>
  <si>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</si>
  <si>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</si>
  <si>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</si>
  <si>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TCI</t>
  </si>
  <si>
    <t>Size factor</t>
  </si>
  <si>
    <t>Log size factor</t>
  </si>
  <si>
    <t>Name</t>
  </si>
  <si>
    <t>scaling factor</t>
  </si>
  <si>
    <t>depreciate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</si>
  <si>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</si>
  <si>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</si>
  <si>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</si>
  <si>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</si>
  <si>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</si>
  <si>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</si>
  <si>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</si>
  <si>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</si>
  <si>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</si>
  <si>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</si>
  <si>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</si>
  <si>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 xml:space="preserve">Capacity  </t>
  </si>
  <si>
    <t>ft_elec_consumption</t>
  </si>
  <si>
    <t>jet_fuel_market</t>
  </si>
  <si>
    <t>diesel_market</t>
  </si>
  <si>
    <t>naphtha_market</t>
  </si>
  <si>
    <t>Update from ANL August 2022</t>
  </si>
  <si>
    <t>The Modeling of the Synfuel Production Process, H.E Delgado and all, June 2022</t>
  </si>
  <si>
    <t>Financial assumptions</t>
  </si>
  <si>
    <t xml:space="preserve">Basis year </t>
  </si>
  <si>
    <t xml:space="preserve">Depreciation </t>
  </si>
  <si>
    <t>20 year MACRS</t>
  </si>
  <si>
    <t xml:space="preserve">Inflation </t>
  </si>
  <si>
    <t xml:space="preserve">Plant life </t>
  </si>
  <si>
    <t>40 years</t>
  </si>
  <si>
    <t>CAPEX</t>
  </si>
  <si>
    <t>driver</t>
  </si>
  <si>
    <t>ft_capacity</t>
  </si>
  <si>
    <t>reference driver</t>
  </si>
  <si>
    <t>Node</t>
  </si>
  <si>
    <t>value</t>
  </si>
  <si>
    <t>unit</t>
  </si>
  <si>
    <t>kg-H2/h</t>
  </si>
  <si>
    <t>Table 3 (255MT-h2/day)</t>
  </si>
  <si>
    <t>Data</t>
  </si>
  <si>
    <t>FT-400</t>
  </si>
  <si>
    <t>reference price</t>
  </si>
  <si>
    <t>Total Capital Cost TCI</t>
  </si>
  <si>
    <t>Size (MW)</t>
  </si>
  <si>
    <t xml:space="preserve">Log TCI </t>
  </si>
  <si>
    <t>VOM</t>
  </si>
  <si>
    <t>Not considering H2 cost, CO2 taken into account in supply curve, utilities only</t>
  </si>
  <si>
    <t>convert $2016 to $2020 using inflation rate</t>
  </si>
  <si>
    <t>$(2020)</t>
  </si>
  <si>
    <t>kg-H2/MWh</t>
  </si>
  <si>
    <t>elec_market</t>
  </si>
  <si>
    <t>Market</t>
  </si>
  <si>
    <t>State</t>
  </si>
  <si>
    <t>State corporate income tax rate (%)</t>
  </si>
  <si>
    <t>PJM</t>
  </si>
  <si>
    <t>Illinois</t>
  </si>
  <si>
    <t>Ohio</t>
  </si>
  <si>
    <t>ERCOT</t>
  </si>
  <si>
    <t>Texas</t>
  </si>
  <si>
    <t>CAISO</t>
  </si>
  <si>
    <t>California</t>
  </si>
  <si>
    <t>MISO</t>
  </si>
  <si>
    <t>Minnesota</t>
  </si>
  <si>
    <t>SPP</t>
  </si>
  <si>
    <t>Nebraska</t>
  </si>
  <si>
    <t>Southwest, Arizona</t>
  </si>
  <si>
    <t>Arizona</t>
  </si>
  <si>
    <t>Effective tax rate</t>
  </si>
  <si>
    <t>Federal corporate tax rate</t>
  </si>
  <si>
    <t>HTSE Lower (MWe)</t>
  </si>
  <si>
    <t>FT Lower (kg-H2)</t>
  </si>
  <si>
    <t>H2 storage Upper (kg-h2)</t>
  </si>
  <si>
    <t>Description</t>
  </si>
  <si>
    <t>TDCC</t>
  </si>
  <si>
    <t>Total Direct Capital Costs, sum of equipment installed costs</t>
  </si>
  <si>
    <t>$USD (2016)</t>
  </si>
  <si>
    <t>Depreciable Capital Costs</t>
  </si>
  <si>
    <t>Site preparation</t>
  </si>
  <si>
    <t>Eng and design</t>
  </si>
  <si>
    <t>Project contingency</t>
  </si>
  <si>
    <t>Catalyst first fill fee</t>
  </si>
  <si>
    <t>Upfront permitting costs</t>
  </si>
  <si>
    <t>Total depreciable capital costs</t>
  </si>
  <si>
    <t>Non-depreciable Capital Costs</t>
  </si>
  <si>
    <t>Land</t>
  </si>
  <si>
    <t>Total Capital Investment</t>
  </si>
  <si>
    <t>LC</t>
  </si>
  <si>
    <t>Labor Cost</t>
  </si>
  <si>
    <t>$USD (2016)/year</t>
  </si>
  <si>
    <t>Gen and admin</t>
  </si>
  <si>
    <t>20% LC</t>
  </si>
  <si>
    <t>Property taxes and insurance</t>
  </si>
  <si>
    <t>2% TCI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</si>
  <si>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</si>
  <si>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</si>
  <si>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</si>
  <si>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</si>
  <si>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</si>
  <si>
    <t>SMR Capacity (MWe)</t>
  </si>
  <si>
    <t>Storage max capacity (FT prod)</t>
  </si>
  <si>
    <t>48h</t>
  </si>
  <si>
    <t>Case name</t>
  </si>
  <si>
    <t>illinois</t>
  </si>
  <si>
    <t>ohio</t>
  </si>
  <si>
    <t>texas</t>
  </si>
  <si>
    <t>california</t>
  </si>
  <si>
    <t>minnesota</t>
  </si>
  <si>
    <t>nebraska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</si>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</sst>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6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1" fillId="2" borderId="0" xfId="1"/>
    <xf numFmtId="0" fontId="0" fillId="0" borderId="0" xfId="0" applyAlignment="1">
      <alignment wrapText="1"/>
    </xf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4" fillId="0" borderId="0" xfId="2"/>
    <xf numFmtId="10" fontId="0" fillId="0" borderId="0" xfId="0" applyNumberFormat="1"/>
    <xf numFmtId="9" fontId="0" fillId="0" borderId="0" xfId="3" applyFont="1"/>
    <xf numFmtId="10" fontId="0" fillId="0" borderId="0" xfId="3" applyNumberFormat="1" applyFont="1"/>
    <xf numFmtId="44" fontId="0" fillId="0" borderId="0" xfId="4" applyFont="1" applyBorder="1"/>
    <xf numFmtId="44" fontId="6" fillId="0" borderId="0" xfId="4" applyFont="1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4" fontId="0" fillId="0" borderId="0" xfId="0" applyNumberFormat="1"/>
    <xf numFmtId="44" fontId="0" fillId="0" borderId="7" xfId="0" applyNumberFormat="1" applyBorder="1"/>
    <xf numFmtId="0" fontId="0" fillId="0" borderId="0" xfId="0" applyAlignment="1">
      <alignment horizontal="center"/>
    </xf>
    <xf numFmtId="1" fontId="0" fillId="0" borderId="0" xfId="0" applyNumberFormat="1"/>
  </cellXfs>
  <cellStyles count="5">
    <cellStyle name="Currency" xfId="4" builtinId="4"/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logrithmic regression</a:t>
            </a:r>
          </a:p>
          <a:p>
            <a:pPr>
              <a:defRPr/>
            </a:pPr>
            <a:r>
              <a:rPr lang="en-US"/>
              <a:t>Goal:</a:t>
            </a:r>
            <a:r>
              <a:rPr lang="en-US" baseline="0"/>
              <a:t> Compute scaling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FT!$H$10</c:f>
              <c:strCache>
                <c:ptCount val="1"/>
                <c:pt idx="0">
                  <c:v>Log TCI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FT!$I$9:$K$9</c:f>
              <c:numCache>
                <c:formatCode>General</c:formatCode>
                <c:ptCount val="3"/>
                <c:pt idx="0">
                  <c:v>-0.6020599913279624</c:v>
                </c:pt>
                <c:pt idx="1">
                  <c:v>0</c:v>
                </c:pt>
                <c:pt idx="2">
                  <c:v>0.3979400086720376</c:v>
                </c:pt>
              </c:numCache>
            </c:numRef>
          </c:xVal>
          <c:yVal>
            <c:numRef>
              <c:f>FT!$I$10:$K$10</c:f>
              <c:numCache>
                <c:formatCode>General</c:formatCode>
                <c:ptCount val="3"/>
                <c:pt idx="0">
                  <c:v>7.8386476320849576</c:v>
                </c:pt>
                <c:pt idx="1">
                  <c:v>8.1907657756496093</c:v>
                </c:pt>
                <c:pt idx="2">
                  <c:v>8.4682380044363352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5-2841-B186-F8BEF29C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6783"/>
        <c:axId val="2098178431"/>
      </c:scatterChart>
      <c:valAx>
        <c:axId val="2098176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8431"/>
        <c:crosses val="autoZero"/>
        <c:crossBetween val="midCat"/>
      </c:valAx>
      <c:valAx>
        <c:axId val="2098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534459</xdr:colOff>
      <xdr:row>22</xdr:row>
      <xdr:rowOff>9525</xdr:rowOff>
    </xdr:from>
    <xdr:to>
      <xdr:col>12</xdr:col>
      <xdr:colOff>1333500</xdr:colOff>
      <xdr:row>41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A9670-7B55-8F7C-E0DA-99E95918D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34" t="s">
        <v>2</v>
      </c>
      <c r="B2" s="34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20"/>
  <sheetViews>
    <sheetView zoomScale="120" zoomScaleNormal="120" workbookViewId="0">
      <selection activeCell="C21" sqref="C21"/>
    </sheetView>
  </sheetViews>
  <sheetFormatPr baseColWidth="10" defaultColWidth="8.83203125" defaultRowHeight="15" x14ac:dyDescent="0.2"/>
  <cols>
    <col min="1" max="1" width="9.5" bestFit="1" customWidth="1"/>
    <col min="2" max="2" width="12.1640625" bestFit="1" customWidth="1"/>
    <col min="4" max="4" width="10.33203125" bestFit="1" customWidth="1"/>
  </cols>
  <sheetData>
    <row r="1" spans="1:8" x14ac:dyDescent="0.2">
      <c r="A1" t="s">
        <v>11</v>
      </c>
    </row>
    <row r="2" spans="1:8" x14ac:dyDescent="0.2">
      <c r="A2" t="s">
        <v>15</v>
      </c>
      <c r="B2" s="18" t="s">
        <v>92</v>
      </c>
    </row>
    <row r="3" spans="1:8" x14ac:dyDescent="0.2">
      <c r="A3" t="s">
        <v>17</v>
      </c>
      <c r="B3" s="18" t="s">
        <v>93</v>
      </c>
    </row>
    <row r="4" spans="1:8" x14ac:dyDescent="0.2">
      <c r="B4" s="18"/>
    </row>
    <row r="5" spans="1:8" x14ac:dyDescent="0.2">
      <c r="A5" s="34" t="s">
        <v>61</v>
      </c>
      <c r="B5" s="34"/>
      <c r="C5" s="34"/>
      <c r="D5" s="34"/>
      <c r="E5" s="34"/>
      <c r="F5" s="34"/>
      <c r="G5" s="34"/>
    </row>
    <row r="6" spans="1:8" x14ac:dyDescent="0.2">
      <c r="A6" s="34" t="s">
        <v>62</v>
      </c>
      <c r="B6" s="34"/>
      <c r="C6" s="34"/>
      <c r="D6" s="34"/>
      <c r="E6" s="34"/>
      <c r="F6" s="34"/>
      <c r="G6" s="34"/>
    </row>
    <row r="7" spans="1:8" x14ac:dyDescent="0.2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74</v>
      </c>
    </row>
    <row r="8" spans="1:8" x14ac:dyDescent="0.2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74</v>
      </c>
    </row>
    <row r="9" spans="1:8" x14ac:dyDescent="0.2">
      <c r="A9" t="s">
        <v>65</v>
      </c>
      <c r="B9">
        <v>14.9</v>
      </c>
      <c r="C9" t="s">
        <v>66</v>
      </c>
      <c r="D9" s="2" t="s">
        <v>76</v>
      </c>
      <c r="E9" t="s">
        <v>77</v>
      </c>
      <c r="F9" s="2"/>
      <c r="H9" s="2"/>
    </row>
    <row r="10" spans="1:8" x14ac:dyDescent="0.2">
      <c r="A10" s="34" t="s">
        <v>68</v>
      </c>
      <c r="B10" s="34"/>
      <c r="C10" s="34"/>
      <c r="D10" s="34"/>
      <c r="E10" s="34"/>
      <c r="F10" s="34"/>
      <c r="G10" s="34"/>
    </row>
    <row r="11" spans="1:8" x14ac:dyDescent="0.2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74</v>
      </c>
    </row>
    <row r="12" spans="1:8" x14ac:dyDescent="0.2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74</v>
      </c>
    </row>
    <row r="13" spans="1:8" x14ac:dyDescent="0.2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74</v>
      </c>
    </row>
    <row r="15" spans="1:8" x14ac:dyDescent="0.2">
      <c r="A15" s="34" t="s">
        <v>17</v>
      </c>
      <c r="B15" s="34"/>
      <c r="C15" s="34"/>
      <c r="D15" s="34"/>
      <c r="E15" s="34"/>
      <c r="F15" s="34"/>
      <c r="G15" s="34"/>
    </row>
    <row r="16" spans="1:8" x14ac:dyDescent="0.2">
      <c r="A16" s="34" t="s">
        <v>62</v>
      </c>
      <c r="B16" s="34"/>
      <c r="C16" s="34"/>
    </row>
    <row r="17" spans="1:3" x14ac:dyDescent="0.2">
      <c r="A17" t="s">
        <v>65</v>
      </c>
      <c r="B17">
        <v>39.799999999999997</v>
      </c>
      <c r="C17" t="s">
        <v>73</v>
      </c>
    </row>
    <row r="18" spans="1:3" x14ac:dyDescent="0.2">
      <c r="A18" s="34" t="s">
        <v>68</v>
      </c>
      <c r="B18" s="34"/>
      <c r="C18" s="34"/>
    </row>
    <row r="19" spans="1:3" x14ac:dyDescent="0.2">
      <c r="A19" t="s">
        <v>64</v>
      </c>
      <c r="B19" s="6">
        <f>1/B17</f>
        <v>2.5125628140703519E-2</v>
      </c>
      <c r="C19" t="s">
        <v>75</v>
      </c>
    </row>
    <row r="20" spans="1:3" x14ac:dyDescent="0.2">
      <c r="B20">
        <f>B19*1000</f>
        <v>25.125628140703519</v>
      </c>
      <c r="C20" t="s">
        <v>131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10" t="s">
        <v>26</v>
      </c>
      <c r="B2" s="11" t="s">
        <v>27</v>
      </c>
      <c r="C2" s="12" t="s">
        <v>28</v>
      </c>
    </row>
    <row r="3" spans="1:3" x14ac:dyDescent="0.2">
      <c r="A3" s="13" t="s">
        <v>25</v>
      </c>
      <c r="B3" s="9">
        <v>36.799999999999997</v>
      </c>
      <c r="C3" s="14" t="s">
        <v>29</v>
      </c>
    </row>
    <row r="4" spans="1:3" x14ac:dyDescent="0.2">
      <c r="A4" s="13"/>
      <c r="B4" s="9">
        <f>1/B3</f>
        <v>2.7173913043478264E-2</v>
      </c>
      <c r="C4" s="14" t="s">
        <v>79</v>
      </c>
    </row>
    <row r="5" spans="1:3" x14ac:dyDescent="0.2">
      <c r="A5" s="13" t="s">
        <v>30</v>
      </c>
      <c r="B5">
        <v>6.4</v>
      </c>
      <c r="C5" s="14" t="s">
        <v>31</v>
      </c>
    </row>
    <row r="6" spans="1:3" x14ac:dyDescent="0.2">
      <c r="A6" s="13" t="s">
        <v>36</v>
      </c>
      <c r="B6">
        <v>590</v>
      </c>
      <c r="C6" s="14" t="s">
        <v>33</v>
      </c>
    </row>
    <row r="7" spans="1:3" x14ac:dyDescent="0.2">
      <c r="A7" s="13" t="s">
        <v>37</v>
      </c>
      <c r="B7">
        <v>763</v>
      </c>
      <c r="C7" s="14" t="s">
        <v>33</v>
      </c>
    </row>
    <row r="8" spans="1:3" x14ac:dyDescent="0.2">
      <c r="A8" s="13" t="s">
        <v>32</v>
      </c>
      <c r="B8">
        <v>544</v>
      </c>
      <c r="C8" s="14" t="s">
        <v>33</v>
      </c>
    </row>
    <row r="9" spans="1:3" x14ac:dyDescent="0.2">
      <c r="A9" s="13" t="s">
        <v>35</v>
      </c>
      <c r="B9" s="9">
        <v>703</v>
      </c>
      <c r="C9" s="14" t="s">
        <v>33</v>
      </c>
    </row>
    <row r="10" spans="1:3" x14ac:dyDescent="0.2">
      <c r="A10" s="13" t="s">
        <v>38</v>
      </c>
      <c r="B10">
        <v>20</v>
      </c>
      <c r="C10" s="14" t="s">
        <v>39</v>
      </c>
    </row>
    <row r="11" spans="1:3" x14ac:dyDescent="0.2">
      <c r="A11" s="13" t="s">
        <v>40</v>
      </c>
      <c r="B11" s="9">
        <v>32.64</v>
      </c>
      <c r="C11" s="14" t="s">
        <v>41</v>
      </c>
    </row>
    <row r="12" spans="1:3" x14ac:dyDescent="0.2">
      <c r="A12" s="13" t="s">
        <v>42</v>
      </c>
      <c r="B12" s="9">
        <v>3.41</v>
      </c>
      <c r="C12" s="14" t="s">
        <v>43</v>
      </c>
    </row>
    <row r="13" spans="1:3" x14ac:dyDescent="0.2">
      <c r="A13" s="13" t="s">
        <v>44</v>
      </c>
      <c r="B13">
        <v>10</v>
      </c>
      <c r="C13" s="14" t="s">
        <v>45</v>
      </c>
    </row>
    <row r="14" spans="1:3" ht="16" thickBot="1" x14ac:dyDescent="0.25">
      <c r="A14" s="15" t="s">
        <v>46</v>
      </c>
      <c r="B14" s="16">
        <v>20</v>
      </c>
      <c r="C14" s="17" t="s">
        <v>39</v>
      </c>
    </row>
    <row r="16" spans="1:3" x14ac:dyDescent="0.2">
      <c r="A16" s="7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D22-7A01-ED42-B8B2-84358A3D7717}">
  <dimension ref="A1:P25"/>
  <sheetViews>
    <sheetView zoomScale="120" zoomScaleNormal="120" workbookViewId="0">
      <selection activeCell="F10" sqref="F10"/>
    </sheetView>
  </sheetViews>
  <sheetFormatPr baseColWidth="10" defaultRowHeight="15" x14ac:dyDescent="0.2"/>
  <cols>
    <col min="1" max="1" width="24.1640625" bestFit="1" customWidth="1"/>
    <col min="2" max="2" width="31.6640625" customWidth="1"/>
    <col min="13" max="13" width="43.5" bestFit="1" customWidth="1"/>
    <col min="14" max="14" width="22.6640625" customWidth="1"/>
    <col min="15" max="15" width="18.6640625" customWidth="1"/>
    <col min="16" max="16" width="16.83203125" customWidth="1"/>
  </cols>
  <sheetData>
    <row r="1" spans="1:16" ht="16" thickBot="1" x14ac:dyDescent="0.25">
      <c r="A1" t="s">
        <v>103</v>
      </c>
      <c r="M1" t="s">
        <v>0</v>
      </c>
      <c r="N1" t="s">
        <v>80</v>
      </c>
    </row>
    <row r="2" spans="1:16" ht="16" thickBot="1" x14ac:dyDescent="0.25">
      <c r="A2" t="s">
        <v>11</v>
      </c>
      <c r="B2" t="s">
        <v>104</v>
      </c>
      <c r="M2" s="27" t="s">
        <v>26</v>
      </c>
      <c r="N2" s="25" t="s">
        <v>154</v>
      </c>
      <c r="O2" s="25" t="s">
        <v>27</v>
      </c>
      <c r="P2" s="26" t="s">
        <v>28</v>
      </c>
    </row>
    <row r="3" spans="1:16" ht="17" customHeight="1" x14ac:dyDescent="0.2">
      <c r="B3" s="8" t="s">
        <v>80</v>
      </c>
      <c r="M3" s="28" t="s">
        <v>155</v>
      </c>
      <c r="N3" t="s">
        <v>156</v>
      </c>
      <c r="O3" s="22">
        <v>257800644</v>
      </c>
      <c r="P3" s="14" t="s">
        <v>157</v>
      </c>
    </row>
    <row r="4" spans="1:16" x14ac:dyDescent="0.2">
      <c r="A4" t="s">
        <v>105</v>
      </c>
      <c r="M4" s="28" t="s">
        <v>158</v>
      </c>
      <c r="N4" t="s">
        <v>159</v>
      </c>
      <c r="O4" s="22">
        <v>5156012.88</v>
      </c>
      <c r="P4" s="14" t="s">
        <v>157</v>
      </c>
    </row>
    <row r="5" spans="1:16" x14ac:dyDescent="0.2">
      <c r="A5" t="s">
        <v>106</v>
      </c>
      <c r="B5">
        <v>2019</v>
      </c>
      <c r="H5" t="s">
        <v>124</v>
      </c>
      <c r="M5" s="28"/>
      <c r="N5" t="s">
        <v>160</v>
      </c>
      <c r="O5" s="22">
        <v>25780064.399999999</v>
      </c>
      <c r="P5" s="14" t="s">
        <v>157</v>
      </c>
    </row>
    <row r="6" spans="1:16" x14ac:dyDescent="0.2">
      <c r="A6" t="s">
        <v>107</v>
      </c>
      <c r="B6" t="s">
        <v>108</v>
      </c>
      <c r="H6" t="s">
        <v>125</v>
      </c>
      <c r="I6">
        <v>100</v>
      </c>
      <c r="J6">
        <v>400</v>
      </c>
      <c r="K6">
        <v>1000</v>
      </c>
      <c r="M6" s="28"/>
      <c r="N6" t="s">
        <v>161</v>
      </c>
      <c r="O6" s="22">
        <v>38670096.600000001</v>
      </c>
      <c r="P6" s="14" t="s">
        <v>157</v>
      </c>
    </row>
    <row r="7" spans="1:16" x14ac:dyDescent="0.2">
      <c r="A7" t="s">
        <v>109</v>
      </c>
      <c r="B7">
        <v>1.9E-2</v>
      </c>
      <c r="H7" t="s">
        <v>81</v>
      </c>
      <c r="I7">
        <v>68968000</v>
      </c>
      <c r="J7">
        <v>155155000</v>
      </c>
      <c r="K7">
        <v>293926000</v>
      </c>
      <c r="M7" s="28"/>
      <c r="N7" t="s">
        <v>162</v>
      </c>
      <c r="O7" s="22">
        <v>12251143</v>
      </c>
      <c r="P7" s="14" t="s">
        <v>157</v>
      </c>
    </row>
    <row r="8" spans="1:16" x14ac:dyDescent="0.2">
      <c r="A8" t="s">
        <v>110</v>
      </c>
      <c r="B8" t="s">
        <v>111</v>
      </c>
      <c r="H8" t="s">
        <v>82</v>
      </c>
      <c r="I8">
        <f>I6/J6</f>
        <v>0.25</v>
      </c>
      <c r="J8">
        <v>1</v>
      </c>
      <c r="K8">
        <f>K6/J6</f>
        <v>2.5</v>
      </c>
      <c r="M8" s="28"/>
      <c r="N8" t="s">
        <v>163</v>
      </c>
      <c r="O8" s="22">
        <v>38670096.600000001</v>
      </c>
      <c r="P8" s="14" t="s">
        <v>157</v>
      </c>
    </row>
    <row r="9" spans="1:16" x14ac:dyDescent="0.2">
      <c r="A9" t="s">
        <v>121</v>
      </c>
      <c r="B9" t="s">
        <v>122</v>
      </c>
      <c r="H9" t="s">
        <v>83</v>
      </c>
      <c r="I9">
        <f>LOG(I8)</f>
        <v>-0.6020599913279624</v>
      </c>
      <c r="J9">
        <f t="shared" ref="J9:K9" si="0">LOG(J8)</f>
        <v>0</v>
      </c>
      <c r="K9">
        <f t="shared" si="0"/>
        <v>0.3979400086720376</v>
      </c>
      <c r="M9" s="28" t="s">
        <v>164</v>
      </c>
      <c r="O9" s="22">
        <v>120527413.48</v>
      </c>
      <c r="P9" s="14" t="s">
        <v>157</v>
      </c>
    </row>
    <row r="10" spans="1:16" ht="16" thickBot="1" x14ac:dyDescent="0.25">
      <c r="H10" t="s">
        <v>126</v>
      </c>
      <c r="I10">
        <f>LOG(I7)</f>
        <v>7.8386476320849576</v>
      </c>
      <c r="J10">
        <f t="shared" ref="J10:K10" si="1">LOG(J7)</f>
        <v>8.1907657756496093</v>
      </c>
      <c r="K10">
        <f t="shared" si="1"/>
        <v>8.4682380044363352</v>
      </c>
      <c r="M10" s="28" t="s">
        <v>165</v>
      </c>
      <c r="N10" t="s">
        <v>166</v>
      </c>
      <c r="O10" s="22">
        <v>550360</v>
      </c>
      <c r="P10" s="14" t="s">
        <v>157</v>
      </c>
    </row>
    <row r="11" spans="1:16" ht="16" thickBot="1" x14ac:dyDescent="0.25">
      <c r="A11" s="27" t="s">
        <v>112</v>
      </c>
      <c r="B11" s="30"/>
      <c r="C11" s="30"/>
      <c r="D11" s="30"/>
      <c r="E11" s="31"/>
      <c r="M11" s="28" t="s">
        <v>81</v>
      </c>
      <c r="N11" t="s">
        <v>167</v>
      </c>
      <c r="O11" s="23">
        <v>378878417.48000002</v>
      </c>
      <c r="P11" s="14" t="s">
        <v>157</v>
      </c>
    </row>
    <row r="12" spans="1:16" x14ac:dyDescent="0.2">
      <c r="A12" s="13" t="s">
        <v>116</v>
      </c>
      <c r="B12" t="s">
        <v>117</v>
      </c>
      <c r="C12" t="s">
        <v>118</v>
      </c>
      <c r="D12" t="s">
        <v>0</v>
      </c>
      <c r="E12" s="14"/>
      <c r="M12" s="28" t="s">
        <v>168</v>
      </c>
      <c r="N12" t="s">
        <v>169</v>
      </c>
      <c r="O12" s="22">
        <v>9607972</v>
      </c>
      <c r="P12" s="14" t="s">
        <v>170</v>
      </c>
    </row>
    <row r="13" spans="1:16" x14ac:dyDescent="0.2">
      <c r="A13" s="13" t="s">
        <v>113</v>
      </c>
      <c r="B13" t="s">
        <v>114</v>
      </c>
      <c r="E13" s="14"/>
      <c r="M13" s="28" t="s">
        <v>171</v>
      </c>
      <c r="N13" t="s">
        <v>172</v>
      </c>
      <c r="O13" s="22">
        <v>1921594.4</v>
      </c>
      <c r="P13" s="14" t="s">
        <v>170</v>
      </c>
    </row>
    <row r="14" spans="1:16" x14ac:dyDescent="0.2">
      <c r="A14" s="13" t="s">
        <v>115</v>
      </c>
      <c r="B14">
        <v>10625</v>
      </c>
      <c r="C14" s="1" t="s">
        <v>119</v>
      </c>
      <c r="D14" t="s">
        <v>120</v>
      </c>
      <c r="E14" s="14"/>
      <c r="M14" s="28" t="s">
        <v>173</v>
      </c>
      <c r="N14" t="s">
        <v>174</v>
      </c>
      <c r="O14" s="22">
        <v>7577568.3499999996</v>
      </c>
      <c r="P14" s="14" t="s">
        <v>170</v>
      </c>
    </row>
    <row r="15" spans="1:16" x14ac:dyDescent="0.2">
      <c r="A15" s="13" t="s">
        <v>123</v>
      </c>
      <c r="B15">
        <f>155155000*(1+B7)</f>
        <v>158102945</v>
      </c>
      <c r="C15" s="1" t="s">
        <v>130</v>
      </c>
      <c r="E15" s="14"/>
      <c r="M15" s="28" t="s">
        <v>175</v>
      </c>
      <c r="O15" s="22">
        <v>1049006</v>
      </c>
      <c r="P15" s="14" t="s">
        <v>170</v>
      </c>
    </row>
    <row r="16" spans="1:16" x14ac:dyDescent="0.2">
      <c r="A16" s="13" t="s">
        <v>85</v>
      </c>
      <c r="B16">
        <v>0.626</v>
      </c>
      <c r="C16" s="1"/>
      <c r="E16" s="14"/>
      <c r="M16" s="28" t="s">
        <v>176</v>
      </c>
      <c r="O16" s="23">
        <v>20156140.75</v>
      </c>
      <c r="P16" s="14" t="s">
        <v>170</v>
      </c>
    </row>
    <row r="17" spans="1:16" x14ac:dyDescent="0.2">
      <c r="A17" s="13" t="s">
        <v>86</v>
      </c>
      <c r="B17">
        <v>20</v>
      </c>
      <c r="C17" s="1" t="s">
        <v>39</v>
      </c>
      <c r="E17" s="14"/>
      <c r="M17" s="28" t="s">
        <v>177</v>
      </c>
      <c r="O17" s="22">
        <v>7085933</v>
      </c>
      <c r="P17" s="14" t="s">
        <v>170</v>
      </c>
    </row>
    <row r="18" spans="1:16" ht="16" thickBot="1" x14ac:dyDescent="0.25">
      <c r="A18" s="13"/>
      <c r="E18" s="14"/>
      <c r="M18" s="28" t="s">
        <v>178</v>
      </c>
      <c r="O18" s="23">
        <v>7085933</v>
      </c>
      <c r="P18" s="14" t="s">
        <v>170</v>
      </c>
    </row>
    <row r="19" spans="1:16" ht="16" thickBot="1" x14ac:dyDescent="0.25">
      <c r="A19" s="27" t="s">
        <v>127</v>
      </c>
      <c r="B19" t="s">
        <v>128</v>
      </c>
      <c r="E19" s="14"/>
      <c r="M19" s="29" t="s">
        <v>179</v>
      </c>
      <c r="N19" s="24" t="s">
        <v>4</v>
      </c>
      <c r="O19" s="24">
        <v>20</v>
      </c>
      <c r="P19" s="17" t="s">
        <v>39</v>
      </c>
    </row>
    <row r="20" spans="1:16" x14ac:dyDescent="0.2">
      <c r="A20" s="13" t="s">
        <v>113</v>
      </c>
      <c r="B20">
        <v>1</v>
      </c>
      <c r="E20" s="14"/>
    </row>
    <row r="21" spans="1:16" x14ac:dyDescent="0.2">
      <c r="A21" s="13" t="s">
        <v>123</v>
      </c>
      <c r="B21" s="32">
        <f>POWER(1+B7,4)*O18</f>
        <v>7640007.3719816608</v>
      </c>
      <c r="E21" s="14"/>
    </row>
    <row r="22" spans="1:16" ht="16" thickBot="1" x14ac:dyDescent="0.25">
      <c r="A22" s="13"/>
      <c r="E22" s="14"/>
    </row>
    <row r="23" spans="1:16" ht="16" thickBot="1" x14ac:dyDescent="0.25">
      <c r="A23" s="27" t="s">
        <v>40</v>
      </c>
      <c r="E23" s="14"/>
    </row>
    <row r="24" spans="1:16" x14ac:dyDescent="0.2">
      <c r="A24" s="13" t="s">
        <v>113</v>
      </c>
      <c r="B24">
        <v>1</v>
      </c>
      <c r="E24" s="14"/>
    </row>
    <row r="25" spans="1:16" ht="16" thickBot="1" x14ac:dyDescent="0.25">
      <c r="A25" s="15" t="s">
        <v>123</v>
      </c>
      <c r="B25" s="33">
        <f>POWER(1+B7,4)*O16</f>
        <v>21732221.278510533</v>
      </c>
      <c r="C25" s="24" t="s">
        <v>129</v>
      </c>
      <c r="D25" s="24"/>
      <c r="E25" s="1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D18"/>
  <sheetViews>
    <sheetView zoomScale="120" zoomScaleNormal="120" workbookViewId="0">
      <selection activeCell="F16" sqref="F16"/>
    </sheetView>
  </sheetViews>
  <sheetFormatPr baseColWidth="10" defaultColWidth="8.83203125" defaultRowHeight="15" x14ac:dyDescent="0.2"/>
  <cols>
    <col min="1" max="1" width="19" bestFit="1" customWidth="1"/>
    <col min="2" max="2" width="21.33203125" customWidth="1"/>
    <col min="3" max="3" width="15.1640625" bestFit="1" customWidth="1"/>
    <col min="4" max="5" width="13.5" bestFit="1" customWidth="1"/>
    <col min="6" max="6" width="20" bestFit="1" customWidth="1"/>
    <col min="7" max="8" width="15.1640625" bestFit="1" customWidth="1"/>
    <col min="9" max="9" width="13.5" bestFit="1" customWidth="1"/>
    <col min="10" max="10" width="8.33203125" customWidth="1"/>
    <col min="11" max="11" width="13.6640625" customWidth="1"/>
    <col min="12" max="12" width="11.83203125" customWidth="1"/>
  </cols>
  <sheetData>
    <row r="1" spans="1:4" x14ac:dyDescent="0.2">
      <c r="A1" t="s">
        <v>96</v>
      </c>
      <c r="B1" t="s">
        <v>94</v>
      </c>
    </row>
    <row r="2" spans="1:4" x14ac:dyDescent="0.2">
      <c r="A2" t="s">
        <v>87</v>
      </c>
      <c r="B2" t="s">
        <v>97</v>
      </c>
    </row>
    <row r="3" spans="1:4" x14ac:dyDescent="0.2">
      <c r="A3" t="s">
        <v>95</v>
      </c>
    </row>
    <row r="4" spans="1:4" x14ac:dyDescent="0.2">
      <c r="A4" t="s">
        <v>84</v>
      </c>
      <c r="B4" t="s">
        <v>98</v>
      </c>
      <c r="C4" t="s">
        <v>28</v>
      </c>
    </row>
    <row r="5" spans="1:4" x14ac:dyDescent="0.2">
      <c r="A5" t="s">
        <v>99</v>
      </c>
      <c r="B5">
        <v>14.9</v>
      </c>
      <c r="C5" t="s">
        <v>66</v>
      </c>
    </row>
    <row r="6" spans="1:4" x14ac:dyDescent="0.2">
      <c r="A6" t="s">
        <v>132</v>
      </c>
      <c r="B6" s="2">
        <v>-9.9999999999999997E+199</v>
      </c>
      <c r="C6" t="s">
        <v>66</v>
      </c>
    </row>
    <row r="7" spans="1:4" x14ac:dyDescent="0.2">
      <c r="A7" t="s">
        <v>100</v>
      </c>
      <c r="B7" s="2">
        <v>-9.9999999999999997E+199</v>
      </c>
      <c r="C7" t="s">
        <v>66</v>
      </c>
    </row>
    <row r="8" spans="1:4" x14ac:dyDescent="0.2">
      <c r="A8" t="s">
        <v>101</v>
      </c>
      <c r="B8" s="2">
        <v>-9.9999999999999997E+199</v>
      </c>
      <c r="C8" t="s">
        <v>66</v>
      </c>
    </row>
    <row r="9" spans="1:4" x14ac:dyDescent="0.2">
      <c r="A9" t="s">
        <v>102</v>
      </c>
      <c r="B9" s="2">
        <v>-9.9999999999999997E+199</v>
      </c>
      <c r="C9" t="s">
        <v>66</v>
      </c>
    </row>
    <row r="10" spans="1:4" x14ac:dyDescent="0.2">
      <c r="B10" s="2"/>
    </row>
    <row r="11" spans="1:4" x14ac:dyDescent="0.2">
      <c r="A11" s="6" t="s">
        <v>180</v>
      </c>
      <c r="B11" t="s">
        <v>151</v>
      </c>
      <c r="C11" t="s">
        <v>152</v>
      </c>
      <c r="D11" t="s">
        <v>153</v>
      </c>
    </row>
    <row r="12" spans="1:4" x14ac:dyDescent="0.2">
      <c r="A12">
        <v>60</v>
      </c>
      <c r="B12">
        <f>-A12+14.9</f>
        <v>-45.1</v>
      </c>
      <c r="C12" s="35">
        <f>B12*25.13</f>
        <v>-1133.3630000000001</v>
      </c>
      <c r="D12" s="35">
        <f>ABS(C12)*48</f>
        <v>54401.423999999999</v>
      </c>
    </row>
    <row r="13" spans="1:4" x14ac:dyDescent="0.2">
      <c r="A13">
        <v>360</v>
      </c>
      <c r="B13">
        <f t="shared" ref="B13:B16" si="0">-A13+14.9</f>
        <v>-345.1</v>
      </c>
      <c r="C13" s="35">
        <f>B13*25.13</f>
        <v>-8672.3629999999994</v>
      </c>
      <c r="D13" s="35">
        <f t="shared" ref="D13:D16" si="1">ABS(C13)*48</f>
        <v>416273.424</v>
      </c>
    </row>
    <row r="14" spans="1:4" x14ac:dyDescent="0.2">
      <c r="A14">
        <v>720</v>
      </c>
      <c r="B14">
        <f t="shared" si="0"/>
        <v>-705.1</v>
      </c>
      <c r="C14" s="35">
        <f>B14*25.13</f>
        <v>-17719.163</v>
      </c>
      <c r="D14" s="35">
        <f t="shared" si="1"/>
        <v>850519.82400000002</v>
      </c>
    </row>
    <row r="15" spans="1:4" x14ac:dyDescent="0.2">
      <c r="A15">
        <v>1080</v>
      </c>
      <c r="B15">
        <f t="shared" si="0"/>
        <v>-1065.0999999999999</v>
      </c>
      <c r="C15" s="35">
        <f>B15*25.13</f>
        <v>-26765.962999999996</v>
      </c>
      <c r="D15" s="35">
        <f t="shared" si="1"/>
        <v>1284766.2239999999</v>
      </c>
    </row>
    <row r="16" spans="1:4" x14ac:dyDescent="0.2">
      <c r="A16">
        <v>1440</v>
      </c>
      <c r="B16">
        <f t="shared" si="0"/>
        <v>-1425.1</v>
      </c>
      <c r="C16" s="35">
        <f>B16*25.13</f>
        <v>-35812.762999999999</v>
      </c>
      <c r="D16" s="35">
        <f t="shared" si="1"/>
        <v>1719012.6239999998</v>
      </c>
    </row>
    <row r="18" spans="1:2" x14ac:dyDescent="0.2">
      <c r="A18" t="s">
        <v>181</v>
      </c>
      <c r="B18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87</v>
      </c>
      <c r="B1" t="s">
        <v>91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90</v>
      </c>
      <c r="B8">
        <f>AVERAGE(B4:B7)</f>
        <v>120.32499999999999</v>
      </c>
    </row>
    <row r="10" spans="1:3" x14ac:dyDescent="0.2">
      <c r="A10" t="s">
        <v>89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88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E10"/>
  <sheetViews>
    <sheetView tabSelected="1" workbookViewId="0">
      <selection activeCell="I12" sqref="I12"/>
    </sheetView>
  </sheetViews>
  <sheetFormatPr baseColWidth="10" defaultRowHeight="15" x14ac:dyDescent="0.2"/>
  <cols>
    <col min="1" max="1" width="20.6640625" bestFit="1" customWidth="1"/>
  </cols>
  <sheetData>
    <row r="1" spans="1:5" x14ac:dyDescent="0.2">
      <c r="A1" s="6" t="s">
        <v>183</v>
      </c>
      <c r="B1" s="6" t="s">
        <v>133</v>
      </c>
      <c r="C1" s="6" t="s">
        <v>134</v>
      </c>
      <c r="D1" s="6" t="s">
        <v>135</v>
      </c>
      <c r="E1" s="6" t="s">
        <v>149</v>
      </c>
    </row>
    <row r="2" spans="1:5" x14ac:dyDescent="0.2">
      <c r="A2" t="s">
        <v>184</v>
      </c>
      <c r="B2" t="s">
        <v>136</v>
      </c>
      <c r="C2" t="s">
        <v>137</v>
      </c>
      <c r="D2" s="21">
        <v>9.5000000000000001E-2</v>
      </c>
      <c r="E2" s="19">
        <f>$B$10+D2*(1-$B$10)</f>
        <v>0.28505000000000003</v>
      </c>
    </row>
    <row r="3" spans="1:5" x14ac:dyDescent="0.2">
      <c r="A3" t="s">
        <v>185</v>
      </c>
      <c r="B3" t="s">
        <v>136</v>
      </c>
      <c r="C3" t="s">
        <v>138</v>
      </c>
      <c r="D3" s="21">
        <v>0</v>
      </c>
      <c r="E3" s="19">
        <f t="shared" ref="E3:E8" si="0">$B$10+D3*(1-$B$10)</f>
        <v>0.21</v>
      </c>
    </row>
    <row r="4" spans="1:5" x14ac:dyDescent="0.2">
      <c r="A4" t="s">
        <v>186</v>
      </c>
      <c r="B4" t="s">
        <v>139</v>
      </c>
      <c r="C4" t="s">
        <v>140</v>
      </c>
      <c r="D4" s="21">
        <v>0</v>
      </c>
      <c r="E4" s="19">
        <f t="shared" si="0"/>
        <v>0.21</v>
      </c>
    </row>
    <row r="5" spans="1:5" x14ac:dyDescent="0.2">
      <c r="A5" t="s">
        <v>187</v>
      </c>
      <c r="B5" t="s">
        <v>141</v>
      </c>
      <c r="C5" t="s">
        <v>142</v>
      </c>
      <c r="D5" s="21">
        <v>8.8400000000000006E-2</v>
      </c>
      <c r="E5" s="19">
        <f t="shared" si="0"/>
        <v>0.27983599999999997</v>
      </c>
    </row>
    <row r="6" spans="1:5" x14ac:dyDescent="0.2">
      <c r="A6" t="s">
        <v>188</v>
      </c>
      <c r="B6" t="s">
        <v>143</v>
      </c>
      <c r="C6" t="s">
        <v>144</v>
      </c>
      <c r="D6" s="21">
        <v>9.8000000000000004E-2</v>
      </c>
      <c r="E6" s="19">
        <f t="shared" si="0"/>
        <v>0.28742000000000001</v>
      </c>
    </row>
    <row r="7" spans="1:5" x14ac:dyDescent="0.2">
      <c r="A7" t="s">
        <v>189</v>
      </c>
      <c r="B7" t="s">
        <v>145</v>
      </c>
      <c r="C7" t="s">
        <v>146</v>
      </c>
      <c r="D7" s="21">
        <v>7.8100000000000003E-2</v>
      </c>
      <c r="E7" s="19">
        <f t="shared" si="0"/>
        <v>0.27169900000000002</v>
      </c>
    </row>
    <row r="8" spans="1:5" x14ac:dyDescent="0.2">
      <c r="A8" t="s">
        <v>190</v>
      </c>
      <c r="B8" t="s">
        <v>147</v>
      </c>
      <c r="C8" t="s">
        <v>148</v>
      </c>
      <c r="D8" s="21">
        <v>4.9000000000000002E-2</v>
      </c>
      <c r="E8" s="19">
        <f t="shared" si="0"/>
        <v>0.24870999999999999</v>
      </c>
    </row>
    <row r="9" spans="1:5" x14ac:dyDescent="0.2">
      <c r="C9" s="18"/>
    </row>
    <row r="10" spans="1:5" x14ac:dyDescent="0.2">
      <c r="A10" t="s">
        <v>150</v>
      </c>
      <c r="B10" s="20">
        <v>0.21</v>
      </c>
      <c r="C1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MACRS</vt:lpstr>
      <vt:lpstr>Transfer_rates</vt:lpstr>
      <vt:lpstr>HTSE</vt:lpstr>
      <vt:lpstr>FT</vt:lpstr>
      <vt:lpstr>Boundaries</vt:lpstr>
      <vt:lpstr>Capacity_Market</vt:lpstr>
      <vt:lpstr>Tax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2023-05-12T12:40:24Z</dcterms:modified>
</cp:coreProperties>
</file>