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arrou\Projects\H2_ANRs\"/>
    </mc:Choice>
  </mc:AlternateContent>
  <xr:revisionPtr revIDLastSave="0" documentId="13_ncr:1_{49323FE1-0336-479B-BE84-FBACAE5E7191}" xr6:coauthVersionLast="47" xr6:coauthVersionMax="47" xr10:uidLastSave="{00000000-0000-0000-0000-000000000000}"/>
  <bookViews>
    <workbookView xWindow="-98" yWindow="-98" windowWidth="20715" windowHeight="13276" activeTab="8" xr2:uid="{C3A9BDD3-7070-B24E-8B62-0D3AA983BDBB}"/>
  </bookViews>
  <sheets>
    <sheet name="ANRs" sheetId="2" r:id="rId1"/>
    <sheet name="ANRs NOAK" sheetId="7" r:id="rId2"/>
    <sheet name="LCOe" sheetId="10" r:id="rId3"/>
    <sheet name="HTSE" sheetId="1" r:id="rId4"/>
    <sheet name="HTSE future" sheetId="8" r:id="rId5"/>
    <sheet name="Alkaline" sheetId="3" r:id="rId6"/>
    <sheet name="PEM" sheetId="5" r:id="rId7"/>
    <sheet name="H2 recap" sheetId="6" r:id="rId8"/>
    <sheet name="LCOH" sheetId="4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6" i="8"/>
  <c r="G10" i="5"/>
  <c r="F11" i="3"/>
  <c r="B5" i="1"/>
  <c r="B11" i="8"/>
  <c r="B8" i="8"/>
  <c r="F9" i="3"/>
  <c r="F8" i="3"/>
  <c r="G9" i="5"/>
  <c r="B5" i="6"/>
  <c r="C2" i="10"/>
  <c r="D2" i="10"/>
  <c r="E2" i="10"/>
  <c r="F2" i="10"/>
  <c r="B2" i="10"/>
  <c r="C4" i="10" s="1"/>
  <c r="C1" i="10"/>
  <c r="D1" i="10"/>
  <c r="E1" i="10"/>
  <c r="F1" i="10"/>
  <c r="B1" i="10"/>
  <c r="B17" i="8"/>
  <c r="B16" i="8" s="1"/>
  <c r="B15" i="8"/>
  <c r="B10" i="8"/>
  <c r="A25" i="4"/>
  <c r="A11" i="4"/>
  <c r="C13" i="7"/>
  <c r="D13" i="7"/>
  <c r="E13" i="7"/>
  <c r="F13" i="7"/>
  <c r="B13" i="7"/>
  <c r="A23" i="4"/>
  <c r="A24" i="4"/>
  <c r="A22" i="4"/>
  <c r="C21" i="4"/>
  <c r="D21" i="4"/>
  <c r="E21" i="4"/>
  <c r="F21" i="4"/>
  <c r="B21" i="4"/>
  <c r="B19" i="7"/>
  <c r="C19" i="7"/>
  <c r="D19" i="7"/>
  <c r="E19" i="7"/>
  <c r="F19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C14" i="7"/>
  <c r="D14" i="7"/>
  <c r="E14" i="7"/>
  <c r="F14" i="7"/>
  <c r="B14" i="7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C2" i="7"/>
  <c r="D2" i="7"/>
  <c r="E2" i="7"/>
  <c r="F2" i="7"/>
  <c r="B2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B1" i="7"/>
  <c r="C1" i="7"/>
  <c r="D1" i="7"/>
  <c r="E1" i="7"/>
  <c r="F1" i="7"/>
  <c r="A1" i="7"/>
  <c r="C16" i="4"/>
  <c r="K5" i="4"/>
  <c r="K6" i="4"/>
  <c r="K7" i="4"/>
  <c r="K8" i="4"/>
  <c r="K9" i="4"/>
  <c r="K10" i="4"/>
  <c r="K11" i="4"/>
  <c r="K12" i="4"/>
  <c r="K13" i="4"/>
  <c r="K4" i="4"/>
  <c r="G4" i="6"/>
  <c r="G3" i="6"/>
  <c r="G2" i="6"/>
  <c r="J12" i="4" s="1"/>
  <c r="B12" i="5"/>
  <c r="F4" i="6" s="1"/>
  <c r="A9" i="4"/>
  <c r="A10" i="4"/>
  <c r="A8" i="4"/>
  <c r="E4" i="6"/>
  <c r="C17" i="4" s="1"/>
  <c r="E3" i="6"/>
  <c r="E2" i="6"/>
  <c r="O5" i="4" s="1"/>
  <c r="D2" i="6"/>
  <c r="N12" i="4" s="1"/>
  <c r="C2" i="6"/>
  <c r="M5" i="4" s="1"/>
  <c r="B2" i="6"/>
  <c r="B12" i="3"/>
  <c r="F3" i="6" s="1"/>
  <c r="B15" i="1"/>
  <c r="F2" i="6" s="1"/>
  <c r="F5" i="6" s="1"/>
  <c r="C19" i="2"/>
  <c r="D19" i="2"/>
  <c r="E19" i="2"/>
  <c r="F19" i="2"/>
  <c r="B19" i="2"/>
  <c r="C7" i="4"/>
  <c r="D7" i="4"/>
  <c r="E7" i="4"/>
  <c r="F7" i="4"/>
  <c r="B7" i="4"/>
  <c r="B8" i="5"/>
  <c r="D4" i="6" s="1"/>
  <c r="B6" i="5"/>
  <c r="B9" i="5" s="1"/>
  <c r="C4" i="6" s="1"/>
  <c r="C15" i="4" s="1"/>
  <c r="B9" i="3"/>
  <c r="D3" i="6" s="1"/>
  <c r="B6" i="3"/>
  <c r="B10" i="3" s="1"/>
  <c r="C3" i="6" s="1"/>
  <c r="O4" i="4" l="1"/>
  <c r="N10" i="4"/>
  <c r="G5" i="6"/>
  <c r="J11" i="4"/>
  <c r="J10" i="4"/>
  <c r="L10" i="4" s="1"/>
  <c r="J9" i="4"/>
  <c r="L9" i="4" s="1"/>
  <c r="J8" i="4"/>
  <c r="L8" i="4" s="1"/>
  <c r="J6" i="4"/>
  <c r="L6" i="4" s="1"/>
  <c r="B8" i="4"/>
  <c r="J7" i="4"/>
  <c r="L7" i="4" s="1"/>
  <c r="J5" i="4"/>
  <c r="L5" i="4" s="1"/>
  <c r="P5" i="4" s="1"/>
  <c r="M6" i="4"/>
  <c r="M9" i="4"/>
  <c r="B15" i="4"/>
  <c r="M4" i="4"/>
  <c r="M7" i="4"/>
  <c r="M13" i="4"/>
  <c r="M12" i="4"/>
  <c r="M11" i="4"/>
  <c r="M10" i="4"/>
  <c r="M8" i="4"/>
  <c r="J4" i="4"/>
  <c r="L4" i="4" s="1"/>
  <c r="B9" i="8"/>
  <c r="O13" i="4"/>
  <c r="N7" i="4"/>
  <c r="O12" i="4"/>
  <c r="F22" i="4"/>
  <c r="N8" i="4"/>
  <c r="E22" i="4"/>
  <c r="N9" i="4"/>
  <c r="N6" i="4"/>
  <c r="O11" i="4"/>
  <c r="O7" i="4"/>
  <c r="N11" i="4"/>
  <c r="B16" i="4"/>
  <c r="N5" i="4"/>
  <c r="O10" i="4"/>
  <c r="B17" i="4"/>
  <c r="O9" i="4"/>
  <c r="O8" i="4"/>
  <c r="O6" i="4"/>
  <c r="N4" i="4"/>
  <c r="J13" i="4"/>
  <c r="L13" i="4" s="1"/>
  <c r="N13" i="4"/>
  <c r="E5" i="6"/>
  <c r="D5" i="6"/>
  <c r="C5" i="6"/>
  <c r="F11" i="4"/>
  <c r="B3" i="10"/>
  <c r="F3" i="10"/>
  <c r="E3" i="10"/>
  <c r="D3" i="10"/>
  <c r="C3" i="10"/>
  <c r="B4" i="10"/>
  <c r="F4" i="10"/>
  <c r="E4" i="10"/>
  <c r="D4" i="10"/>
  <c r="C22" i="4"/>
  <c r="F24" i="4"/>
  <c r="E24" i="4"/>
  <c r="D24" i="4"/>
  <c r="D22" i="4"/>
  <c r="C24" i="4"/>
  <c r="B24" i="4"/>
  <c r="B22" i="4"/>
  <c r="B9" i="4"/>
  <c r="B10" i="4"/>
  <c r="F8" i="4"/>
  <c r="F9" i="4"/>
  <c r="F10" i="4"/>
  <c r="E8" i="4"/>
  <c r="E9" i="4"/>
  <c r="E10" i="4"/>
  <c r="D8" i="4"/>
  <c r="D9" i="4"/>
  <c r="D10" i="4"/>
  <c r="C8" i="4"/>
  <c r="C10" i="4"/>
  <c r="L12" i="4"/>
  <c r="L11" i="4"/>
  <c r="B14" i="4"/>
  <c r="B4" i="6"/>
  <c r="B3" i="6"/>
  <c r="B23" i="4" s="1"/>
  <c r="P11" i="4" l="1"/>
  <c r="P13" i="4"/>
  <c r="B18" i="4"/>
  <c r="P12" i="4"/>
  <c r="P6" i="4"/>
  <c r="P8" i="4"/>
  <c r="B11" i="4"/>
  <c r="C11" i="4"/>
  <c r="D11" i="4"/>
  <c r="E11" i="4"/>
  <c r="B25" i="4"/>
  <c r="C25" i="4"/>
  <c r="D25" i="4"/>
  <c r="E25" i="4"/>
  <c r="E23" i="4"/>
  <c r="F23" i="4"/>
  <c r="C9" i="4"/>
  <c r="C23" i="4"/>
  <c r="D23" i="4"/>
  <c r="P7" i="4"/>
  <c r="P10" i="4"/>
  <c r="P9" i="4"/>
  <c r="P4" i="4"/>
  <c r="F25" i="4"/>
  <c r="C14" i="4"/>
  <c r="C18" i="4" s="1"/>
</calcChain>
</file>

<file path=xl/sharedStrings.xml><?xml version="1.0" encoding="utf-8"?>
<sst xmlns="http://schemas.openxmlformats.org/spreadsheetml/2006/main" count="259" uniqueCount="136">
  <si>
    <t>Reactor</t>
  </si>
  <si>
    <t>iPWR</t>
  </si>
  <si>
    <t>HTGR</t>
  </si>
  <si>
    <t>PBR-HTGR</t>
  </si>
  <si>
    <t>iMSR</t>
  </si>
  <si>
    <t>Micro</t>
  </si>
  <si>
    <t>Outlet temp (deg-C)</t>
  </si>
  <si>
    <t>Thermal transfer eff (%)</t>
  </si>
  <si>
    <t>Steam Temp (deg C)</t>
  </si>
  <si>
    <t>Capacity  (MWe)</t>
  </si>
  <si>
    <t>Thermal Capacity (MWth)</t>
  </si>
  <si>
    <t>Thermal eff</t>
  </si>
  <si>
    <t>MSL (MWe)</t>
  </si>
  <si>
    <t>MSTL (MWe)</t>
  </si>
  <si>
    <t>MDT (h)</t>
  </si>
  <si>
    <t>Ramp rate (%/h)</t>
  </si>
  <si>
    <t>Ramp rate (MWe/h)</t>
  </si>
  <si>
    <t>CAPEX ($/Kwe)</t>
  </si>
  <si>
    <t>FOPEX ($/kWe-y)</t>
  </si>
  <si>
    <t>VOM ($/Mwhe)</t>
  </si>
  <si>
    <t>Fuel Cost ($/MWh-e)</t>
  </si>
  <si>
    <t>Start-up fixed cost ($/startup)</t>
  </si>
  <si>
    <t>Lifetime</t>
  </si>
  <si>
    <t>CRF</t>
  </si>
  <si>
    <t>Source</t>
  </si>
  <si>
    <t>Max Vanatta's paper</t>
  </si>
  <si>
    <t>Learning rate</t>
  </si>
  <si>
    <t xml:space="preserve">Source </t>
  </si>
  <si>
    <t>Vanatta</t>
  </si>
  <si>
    <t>Learning rates</t>
  </si>
  <si>
    <t>Pesimistic</t>
  </si>
  <si>
    <t>Medium</t>
  </si>
  <si>
    <t>Optimisitc</t>
  </si>
  <si>
    <t>HTSE/SOEC</t>
  </si>
  <si>
    <t>Type</t>
  </si>
  <si>
    <t>Value</t>
  </si>
  <si>
    <t>Unit</t>
  </si>
  <si>
    <t>HTSE electric demand</t>
  </si>
  <si>
    <t>MWe</t>
  </si>
  <si>
    <t>HTSE Capacity</t>
  </si>
  <si>
    <t>tpd</t>
  </si>
  <si>
    <t>Total depreciable Cap Costs (NOAK)</t>
  </si>
  <si>
    <t>USD(2020)</t>
  </si>
  <si>
    <t>Annual Fixed O&amp;M costs</t>
  </si>
  <si>
    <t>Annual Variable O&amp;M costs excl. energy costs</t>
  </si>
  <si>
    <t>Plant life</t>
  </si>
  <si>
    <t>year</t>
  </si>
  <si>
    <t>Lazard LCOH report</t>
  </si>
  <si>
    <t>Scale</t>
  </si>
  <si>
    <t>Large</t>
  </si>
  <si>
    <t>Capacity</t>
  </si>
  <si>
    <t>Capex</t>
  </si>
  <si>
    <t>USD(2021)</t>
  </si>
  <si>
    <t>Annual H2 produced</t>
  </si>
  <si>
    <t>MT</t>
  </si>
  <si>
    <t>Water costs</t>
  </si>
  <si>
    <t>O&amp;M costs annual</t>
  </si>
  <si>
    <t>WACC</t>
  </si>
  <si>
    <t>%</t>
  </si>
  <si>
    <t>H2 tech</t>
  </si>
  <si>
    <t>CAPEX ($/MW)</t>
  </si>
  <si>
    <t>FOM annual ($/MWe)</t>
  </si>
  <si>
    <t>VOM annual ($/MWe)</t>
  </si>
  <si>
    <t>Mass H2 per year (kg/MW)</t>
  </si>
  <si>
    <t>HTSE</t>
  </si>
  <si>
    <t>Alkaline</t>
  </si>
  <si>
    <t>PEM</t>
  </si>
  <si>
    <t>General parameters</t>
  </si>
  <si>
    <t>WACC Influence</t>
  </si>
  <si>
    <t>PBR-HTGR &amp; HTSE example</t>
  </si>
  <si>
    <t>Assumptions</t>
  </si>
  <si>
    <t>Capacities H2 tech = ANRs</t>
  </si>
  <si>
    <t>CRF HTSE</t>
  </si>
  <si>
    <t>CRF PBR-HTGR</t>
  </si>
  <si>
    <t>CAPEX ann.</t>
  </si>
  <si>
    <t>FOM</t>
  </si>
  <si>
    <t>VOM</t>
  </si>
  <si>
    <t>Mass h2 ann.</t>
  </si>
  <si>
    <t>LCOH</t>
  </si>
  <si>
    <t>100% capacity factor</t>
  </si>
  <si>
    <t>FOAK</t>
  </si>
  <si>
    <t>H2 tech\Reactor</t>
  </si>
  <si>
    <t>Check</t>
  </si>
  <si>
    <t>PBR-HTGR and HTSE</t>
  </si>
  <si>
    <t>iMSR and PEM</t>
  </si>
  <si>
    <t>CAPEX  annualized</t>
  </si>
  <si>
    <t>Mass H2 annual</t>
  </si>
  <si>
    <t>NOAK</t>
  </si>
  <si>
    <t>HTSE future</t>
  </si>
  <si>
    <t>Ruth et al, H2@scale report</t>
  </si>
  <si>
    <t>kWh/kg-H2</t>
  </si>
  <si>
    <t>HTSE thermal demand</t>
  </si>
  <si>
    <t>$/MW</t>
  </si>
  <si>
    <t>Fixed O&amp;M costs</t>
  </si>
  <si>
    <t>$/kg-H2</t>
  </si>
  <si>
    <t>Variable O&amp;M costs excl. energy costs</t>
  </si>
  <si>
    <t>$</t>
  </si>
  <si>
    <t xml:space="preserve">Capacity </t>
  </si>
  <si>
    <t>MWh-e/kg-H2</t>
  </si>
  <si>
    <t>Status Report on modelling and simulation for nuclear renewable hybrid energy systems</t>
  </si>
  <si>
    <t>Sources</t>
  </si>
  <si>
    <t>Capacity factor</t>
  </si>
  <si>
    <t>kg/h</t>
  </si>
  <si>
    <t>Hunter et al</t>
  </si>
  <si>
    <t>Parameter</t>
  </si>
  <si>
    <t>CAPEX</t>
  </si>
  <si>
    <t>$/MWh (2018)</t>
  </si>
  <si>
    <t>HHV efficiency</t>
  </si>
  <si>
    <t>HHV hydrogen</t>
  </si>
  <si>
    <t>kWh/kg</t>
  </si>
  <si>
    <t>Electric demand</t>
  </si>
  <si>
    <t>$/MWe (2018)</t>
  </si>
  <si>
    <t>$/MWe-year (2018)</t>
  </si>
  <si>
    <t>kg-H2/h</t>
  </si>
  <si>
    <t>Jang et al</t>
  </si>
  <si>
    <t>Eff (LHV)</t>
  </si>
  <si>
    <t>Reference</t>
  </si>
  <si>
    <t>Lazard</t>
  </si>
  <si>
    <t xml:space="preserve">CAPEX </t>
  </si>
  <si>
    <t>$/MWe</t>
  </si>
  <si>
    <t>OPEX excl. elec</t>
  </si>
  <si>
    <t>Production rate</t>
  </si>
  <si>
    <t>kg-H2/MWe-y</t>
  </si>
  <si>
    <t>kg-H2/MWh-e</t>
  </si>
  <si>
    <t>Calculated</t>
  </si>
  <si>
    <t>$/MW-y</t>
  </si>
  <si>
    <t>$/y</t>
  </si>
  <si>
    <t>VOM excl. energy costs</t>
  </si>
  <si>
    <t>$/MWh</t>
  </si>
  <si>
    <t>Ruth</t>
  </si>
  <si>
    <t>Rabiti</t>
  </si>
  <si>
    <t>$/kW</t>
  </si>
  <si>
    <t>Electricity demand</t>
  </si>
  <si>
    <t>Thermal demand</t>
  </si>
  <si>
    <t>MWh-th/kg</t>
  </si>
  <si>
    <t>MWh-e/kg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</si>
</sst>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44" fontId="0" fillId="0" borderId="0" xfId="1" applyFont="1"/>
    <xf numFmtId="0" fontId="0" fillId="0" borderId="0" xfId="1" applyNumberFormat="1" applyFont="1"/>
    <xf numFmtId="44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2" borderId="0" xfId="0" applyFill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LCOH!$P$3</c:f>
              <c:strCache>
                <c:ptCount val="1"/>
                <c:pt idx="0">
                  <c:v>LCOH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317980276737253"/>
                  <c:y val="1.802771989202948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LCOH!$I$4:$I$13</c:f>
              <c:numCache>
                <c:formatCode>0%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LCOH!$P$4:$P$13</c:f>
              <c:numCache>
                <c:formatCode>General</c:formatCode>
                <c:ptCount val="10"/>
                <c:pt idx="0">
                  <c:v>2.2881845957966989</c:v>
                </c:pt>
                <c:pt idx="1">
                  <c:v>2.6973032239695587</c:v>
                </c:pt>
                <c:pt idx="2">
                  <c:v>3.1636930450452661</c:v>
                </c:pt>
                <c:pt idx="3">
                  <c:v>3.6633754989260878</c:v>
                </c:pt>
                <c:pt idx="4">
                  <c:v>4.1807226484200948</c:v>
                </c:pt>
                <c:pt idx="5">
                  <c:v>4.7072941775614368</c:v>
                </c:pt>
                <c:pt idx="6">
                  <c:v>5.2389378073984556</c:v>
                </c:pt>
                <c:pt idx="7">
                  <c:v>5.7736474296405023</c:v>
                </c:pt>
                <c:pt idx="8">
                  <c:v>6.3104049985241568</c:v>
                </c:pt>
                <c:pt idx="9">
                  <c:v>6.8486385590706202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1-3B4C-A484-9F139F19B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4783"/>
        <c:axId val="209228783"/>
      </c:scatterChart>
      <c:valAx>
        <c:axId val="209154783"/>
        <c:scaling>
          <c:orientation val="minMax"/>
          <c:max val="0.2"/>
          <c:min val="0.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8783"/>
        <c:crosses val="autoZero"/>
        <c:crossBetween val="midCat"/>
        <c:majorUnit val="0.02"/>
      </c:valAx>
      <c:valAx>
        <c:axId val="2092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LCOH ($/kg-H</a:t>
                </a:r>
                <a:r>
                  <a:rPr lang="en-US" sz="1400" baseline="-25000"/>
                  <a:t>2</a:t>
                </a:r>
                <a:r>
                  <a:rPr lang="en-US" sz="14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20</xdr:row>
      <xdr:rowOff>19050</xdr:rowOff>
    </xdr:from>
    <xdr:to>
      <xdr:col>14</xdr:col>
      <xdr:colOff>609600</xdr:colOff>
      <xdr:row>37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16C806-8442-94C0-7AF0-11949804E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55FD-3560-6243-A7F9-041EEACE6CE1}">
  <dimension ref="A1:F21"/>
  <sheetViews>
    <sheetView workbookViewId="0">
      <selection activeCell="D13" sqref="D13"/>
    </sheetView>
  </sheetViews>
  <sheetFormatPr defaultColWidth="11" defaultRowHeight="15.75" x14ac:dyDescent="0.5"/>
  <cols>
    <col min="1" max="1" width="26" bestFit="1" customWidth="1"/>
    <col min="2" max="2" width="20.3125" bestFit="1" customWidth="1"/>
    <col min="3" max="3" width="19.3125" bestFit="1" customWidth="1"/>
  </cols>
  <sheetData>
    <row r="1" spans="1: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">
      <c r="A2" t="s">
        <v>6</v>
      </c>
      <c r="B2">
        <v>302</v>
      </c>
      <c r="C2">
        <v>950</v>
      </c>
      <c r="D2">
        <v>750</v>
      </c>
      <c r="E2">
        <v>700</v>
      </c>
      <c r="F2">
        <v>630</v>
      </c>
    </row>
    <row r="3" spans="1:6" x14ac:dyDescent="0.5">
      <c r="A3" t="s">
        <v>7</v>
      </c>
      <c r="B3">
        <v>100</v>
      </c>
      <c r="C3">
        <v>89.7</v>
      </c>
      <c r="D3">
        <v>75.099999999999994</v>
      </c>
      <c r="E3">
        <v>83.6</v>
      </c>
      <c r="F3">
        <v>89.7</v>
      </c>
    </row>
    <row r="4" spans="1:6" x14ac:dyDescent="0.5">
      <c r="A4" t="s">
        <v>8</v>
      </c>
      <c r="B4">
        <v>302</v>
      </c>
      <c r="C4">
        <v>852</v>
      </c>
      <c r="D4">
        <v>563</v>
      </c>
      <c r="E4">
        <v>585</v>
      </c>
      <c r="F4">
        <v>565</v>
      </c>
    </row>
    <row r="5" spans="1:6" x14ac:dyDescent="0.5">
      <c r="A5" t="s">
        <v>9</v>
      </c>
      <c r="B5">
        <v>77</v>
      </c>
      <c r="C5">
        <v>164</v>
      </c>
      <c r="D5">
        <v>80</v>
      </c>
      <c r="E5">
        <v>141</v>
      </c>
      <c r="F5">
        <v>6.7</v>
      </c>
    </row>
    <row r="6" spans="1:6" x14ac:dyDescent="0.5">
      <c r="A6" t="s">
        <v>10</v>
      </c>
      <c r="B6">
        <v>250</v>
      </c>
      <c r="C6">
        <v>350</v>
      </c>
      <c r="D6">
        <v>200</v>
      </c>
      <c r="E6">
        <v>300</v>
      </c>
      <c r="F6">
        <v>20</v>
      </c>
    </row>
    <row r="7" spans="1:6" x14ac:dyDescent="0.5">
      <c r="A7" t="s">
        <v>11</v>
      </c>
      <c r="B7">
        <v>0.31</v>
      </c>
      <c r="C7">
        <v>0.47</v>
      </c>
      <c r="D7">
        <v>0.4</v>
      </c>
      <c r="E7">
        <v>0.47</v>
      </c>
      <c r="F7">
        <v>0.33</v>
      </c>
    </row>
    <row r="8" spans="1:6" x14ac:dyDescent="0.5">
      <c r="A8" t="s">
        <v>12</v>
      </c>
      <c r="B8">
        <v>15.4</v>
      </c>
      <c r="C8">
        <v>32.799999999999997</v>
      </c>
      <c r="D8">
        <v>32</v>
      </c>
      <c r="E8">
        <v>28.2</v>
      </c>
      <c r="F8">
        <v>2.7</v>
      </c>
    </row>
    <row r="9" spans="1:6" x14ac:dyDescent="0.5">
      <c r="A9" t="s">
        <v>13</v>
      </c>
      <c r="B9">
        <v>7.71</v>
      </c>
      <c r="C9">
        <v>16.399999999999999</v>
      </c>
      <c r="D9">
        <v>8</v>
      </c>
      <c r="E9">
        <v>14.1</v>
      </c>
      <c r="F9">
        <v>0.67</v>
      </c>
    </row>
    <row r="10" spans="1:6" x14ac:dyDescent="0.5">
      <c r="A10" t="s">
        <v>14</v>
      </c>
      <c r="B10">
        <v>20</v>
      </c>
      <c r="C10">
        <v>20</v>
      </c>
      <c r="D10">
        <v>20</v>
      </c>
      <c r="E10">
        <v>20</v>
      </c>
      <c r="F10">
        <v>20</v>
      </c>
    </row>
    <row r="11" spans="1:6" x14ac:dyDescent="0.5">
      <c r="A11" t="s">
        <v>15</v>
      </c>
      <c r="B11">
        <v>40</v>
      </c>
      <c r="C11">
        <v>600</v>
      </c>
      <c r="D11">
        <v>240</v>
      </c>
      <c r="E11">
        <v>60</v>
      </c>
      <c r="F11">
        <v>600</v>
      </c>
    </row>
    <row r="12" spans="1:6" x14ac:dyDescent="0.5">
      <c r="A12" t="s">
        <v>16</v>
      </c>
      <c r="B12">
        <v>24</v>
      </c>
      <c r="C12">
        <v>984</v>
      </c>
      <c r="D12">
        <v>48</v>
      </c>
      <c r="E12">
        <v>84.6</v>
      </c>
      <c r="F12">
        <v>24</v>
      </c>
    </row>
    <row r="13" spans="1:6" x14ac:dyDescent="0.5">
      <c r="A13" t="s">
        <v>17</v>
      </c>
      <c r="B13">
        <v>5535</v>
      </c>
      <c r="C13">
        <v>7500</v>
      </c>
      <c r="D13">
        <v>4569</v>
      </c>
      <c r="E13">
        <v>4091</v>
      </c>
      <c r="F13">
        <v>10902</v>
      </c>
    </row>
    <row r="14" spans="1:6" x14ac:dyDescent="0.5">
      <c r="A14" t="s">
        <v>18</v>
      </c>
      <c r="B14">
        <v>115</v>
      </c>
      <c r="C14">
        <v>164</v>
      </c>
      <c r="D14">
        <v>100</v>
      </c>
      <c r="E14">
        <v>85</v>
      </c>
      <c r="F14">
        <v>264</v>
      </c>
    </row>
    <row r="15" spans="1:6" x14ac:dyDescent="0.5">
      <c r="A15" t="s">
        <v>19</v>
      </c>
      <c r="B15">
        <v>0.75</v>
      </c>
      <c r="C15">
        <v>0</v>
      </c>
      <c r="D15">
        <v>0</v>
      </c>
      <c r="E15">
        <v>0.5</v>
      </c>
      <c r="F15">
        <v>0</v>
      </c>
    </row>
    <row r="16" spans="1:6" x14ac:dyDescent="0.5">
      <c r="A16" t="s">
        <v>20</v>
      </c>
      <c r="B16">
        <v>9</v>
      </c>
      <c r="C16">
        <v>13</v>
      </c>
      <c r="D16">
        <v>13</v>
      </c>
      <c r="E16">
        <v>11</v>
      </c>
      <c r="F16">
        <v>0</v>
      </c>
    </row>
    <row r="17" spans="1:6" x14ac:dyDescent="0.5">
      <c r="A17" t="s">
        <v>21</v>
      </c>
      <c r="B17">
        <v>38500</v>
      </c>
      <c r="C17">
        <v>82000</v>
      </c>
      <c r="D17">
        <v>40000</v>
      </c>
      <c r="E17">
        <v>70500</v>
      </c>
      <c r="F17">
        <v>3350</v>
      </c>
    </row>
    <row r="18" spans="1:6" x14ac:dyDescent="0.5">
      <c r="A18" t="s">
        <v>22</v>
      </c>
      <c r="B18">
        <v>60</v>
      </c>
      <c r="C18">
        <v>60</v>
      </c>
      <c r="D18">
        <v>60</v>
      </c>
      <c r="E18">
        <v>60</v>
      </c>
      <c r="F18">
        <v>20</v>
      </c>
    </row>
    <row r="19" spans="1:6" x14ac:dyDescent="0.5">
      <c r="A19" t="s">
        <v>23</v>
      </c>
      <c r="B19">
        <f>LCOH!$B$2*POWER(1+LCOH!$B$2,B18)/(POWER(1+LCOH!$B$2,B18)-1)</f>
        <v>8.0797948763645655E-2</v>
      </c>
      <c r="C19">
        <f>LCOH!$B$2*POWER(1+LCOH!$B$2,C18)/(POWER(1+LCOH!$B$2,C18)-1)</f>
        <v>8.0797948763645655E-2</v>
      </c>
      <c r="D19">
        <f>LCOH!$B$2*POWER(1+LCOH!$B$2,D18)/(POWER(1+LCOH!$B$2,D18)-1)</f>
        <v>8.0797948763645655E-2</v>
      </c>
      <c r="E19">
        <f>LCOH!$B$2*POWER(1+LCOH!$B$2,E18)/(POWER(1+LCOH!$B$2,E18)-1)</f>
        <v>8.0797948763645655E-2</v>
      </c>
      <c r="F19">
        <f>LCOH!$B$2*POWER(1+LCOH!$B$2,F18)/(POWER(1+LCOH!$B$2,F18)-1)</f>
        <v>0.10185220882315059</v>
      </c>
    </row>
    <row r="21" spans="1:6" x14ac:dyDescent="0.5">
      <c r="A21" t="s">
        <v>24</v>
      </c>
      <c r="B2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CCEC-4125-4707-BB58-29DEFB1ACF98}">
  <dimension ref="A1:F28"/>
  <sheetViews>
    <sheetView workbookViewId="0">
      <selection activeCell="F31" sqref="F31"/>
    </sheetView>
  </sheetViews>
  <sheetFormatPr defaultColWidth="8.8125" defaultRowHeight="15.75" x14ac:dyDescent="0.5"/>
  <cols>
    <col min="1" max="1" width="30.6875" bestFit="1" customWidth="1"/>
  </cols>
  <sheetData>
    <row r="1" spans="1:6" x14ac:dyDescent="0.5">
      <c r="A1" t="str">
        <f>ANRs!A1</f>
        <v>Reactor</v>
      </c>
      <c r="B1" t="str">
        <f>ANRs!B1</f>
        <v>iPWR</v>
      </c>
      <c r="C1" t="str">
        <f>ANRs!C1</f>
        <v>HTGR</v>
      </c>
      <c r="D1" t="str">
        <f>ANRs!D1</f>
        <v>PBR-HTGR</v>
      </c>
      <c r="E1" t="str">
        <f>ANRs!E1</f>
        <v>iMSR</v>
      </c>
      <c r="F1" t="str">
        <f>ANRs!F1</f>
        <v>Micro</v>
      </c>
    </row>
    <row r="2" spans="1:6" x14ac:dyDescent="0.5">
      <c r="A2" t="str">
        <f>ANRs!A2</f>
        <v>Outlet temp (deg-C)</v>
      </c>
      <c r="B2">
        <f>ANRs!B2</f>
        <v>302</v>
      </c>
      <c r="C2">
        <f>ANRs!C2</f>
        <v>950</v>
      </c>
      <c r="D2">
        <f>ANRs!D2</f>
        <v>750</v>
      </c>
      <c r="E2">
        <f>ANRs!E2</f>
        <v>700</v>
      </c>
      <c r="F2">
        <f>ANRs!F2</f>
        <v>630</v>
      </c>
    </row>
    <row r="3" spans="1:6" x14ac:dyDescent="0.5">
      <c r="A3" t="str">
        <f>ANRs!A3</f>
        <v>Thermal transfer eff (%)</v>
      </c>
      <c r="B3">
        <f>ANRs!B3</f>
        <v>100</v>
      </c>
      <c r="C3">
        <f>ANRs!C3</f>
        <v>89.7</v>
      </c>
      <c r="D3">
        <f>ANRs!D3</f>
        <v>75.099999999999994</v>
      </c>
      <c r="E3">
        <f>ANRs!E3</f>
        <v>83.6</v>
      </c>
      <c r="F3">
        <f>ANRs!F3</f>
        <v>89.7</v>
      </c>
    </row>
    <row r="4" spans="1:6" x14ac:dyDescent="0.5">
      <c r="A4" t="str">
        <f>ANRs!A4</f>
        <v>Steam Temp (deg C)</v>
      </c>
      <c r="B4">
        <f>ANRs!B4</f>
        <v>302</v>
      </c>
      <c r="C4">
        <f>ANRs!C4</f>
        <v>852</v>
      </c>
      <c r="D4">
        <f>ANRs!D4</f>
        <v>563</v>
      </c>
      <c r="E4">
        <f>ANRs!E4</f>
        <v>585</v>
      </c>
      <c r="F4">
        <f>ANRs!F4</f>
        <v>565</v>
      </c>
    </row>
    <row r="5" spans="1:6" x14ac:dyDescent="0.5">
      <c r="A5" t="str">
        <f>ANRs!A5</f>
        <v>Capacity  (MWe)</v>
      </c>
      <c r="B5">
        <f>ANRs!B5</f>
        <v>77</v>
      </c>
      <c r="C5">
        <f>ANRs!C5</f>
        <v>164</v>
      </c>
      <c r="D5">
        <f>ANRs!D5</f>
        <v>80</v>
      </c>
      <c r="E5">
        <f>ANRs!E5</f>
        <v>141</v>
      </c>
      <c r="F5">
        <f>ANRs!F5</f>
        <v>6.7</v>
      </c>
    </row>
    <row r="6" spans="1:6" x14ac:dyDescent="0.5">
      <c r="A6" t="str">
        <f>ANRs!A6</f>
        <v>Thermal Capacity (MWth)</v>
      </c>
      <c r="B6">
        <f>ANRs!B6</f>
        <v>250</v>
      </c>
      <c r="C6">
        <f>ANRs!C6</f>
        <v>350</v>
      </c>
      <c r="D6">
        <f>ANRs!D6</f>
        <v>200</v>
      </c>
      <c r="E6">
        <f>ANRs!E6</f>
        <v>300</v>
      </c>
      <c r="F6">
        <f>ANRs!F6</f>
        <v>20</v>
      </c>
    </row>
    <row r="7" spans="1:6" x14ac:dyDescent="0.5">
      <c r="A7" t="str">
        <f>ANRs!A7</f>
        <v>Thermal eff</v>
      </c>
      <c r="B7">
        <f>ANRs!B7</f>
        <v>0.31</v>
      </c>
      <c r="C7">
        <f>ANRs!C7</f>
        <v>0.47</v>
      </c>
      <c r="D7">
        <f>ANRs!D7</f>
        <v>0.4</v>
      </c>
      <c r="E7">
        <f>ANRs!E7</f>
        <v>0.47</v>
      </c>
      <c r="F7">
        <f>ANRs!F7</f>
        <v>0.33</v>
      </c>
    </row>
    <row r="8" spans="1:6" x14ac:dyDescent="0.5">
      <c r="A8" t="str">
        <f>ANRs!A8</f>
        <v>MSL (MWe)</v>
      </c>
      <c r="B8">
        <f>ANRs!B8</f>
        <v>15.4</v>
      </c>
      <c r="C8">
        <f>ANRs!C8</f>
        <v>32.799999999999997</v>
      </c>
      <c r="D8">
        <f>ANRs!D8</f>
        <v>32</v>
      </c>
      <c r="E8">
        <f>ANRs!E8</f>
        <v>28.2</v>
      </c>
      <c r="F8">
        <f>ANRs!F8</f>
        <v>2.7</v>
      </c>
    </row>
    <row r="9" spans="1:6" x14ac:dyDescent="0.5">
      <c r="A9" t="str">
        <f>ANRs!A9</f>
        <v>MSTL (MWe)</v>
      </c>
      <c r="B9">
        <f>ANRs!B9</f>
        <v>7.71</v>
      </c>
      <c r="C9">
        <f>ANRs!C9</f>
        <v>16.399999999999999</v>
      </c>
      <c r="D9">
        <f>ANRs!D9</f>
        <v>8</v>
      </c>
      <c r="E9">
        <f>ANRs!E9</f>
        <v>14.1</v>
      </c>
      <c r="F9">
        <f>ANRs!F9</f>
        <v>0.67</v>
      </c>
    </row>
    <row r="10" spans="1:6" x14ac:dyDescent="0.5">
      <c r="A10" t="str">
        <f>ANRs!A10</f>
        <v>MDT (h)</v>
      </c>
      <c r="B10">
        <f>ANRs!B10</f>
        <v>20</v>
      </c>
      <c r="C10">
        <f>ANRs!C10</f>
        <v>20</v>
      </c>
      <c r="D10">
        <f>ANRs!D10</f>
        <v>20</v>
      </c>
      <c r="E10">
        <f>ANRs!E10</f>
        <v>20</v>
      </c>
      <c r="F10">
        <f>ANRs!F10</f>
        <v>20</v>
      </c>
    </row>
    <row r="11" spans="1:6" x14ac:dyDescent="0.5">
      <c r="A11" t="str">
        <f>ANRs!A11</f>
        <v>Ramp rate (%/h)</v>
      </c>
      <c r="B11">
        <f>ANRs!B11</f>
        <v>40</v>
      </c>
      <c r="C11">
        <f>ANRs!C11</f>
        <v>600</v>
      </c>
      <c r="D11">
        <f>ANRs!D11</f>
        <v>240</v>
      </c>
      <c r="E11">
        <f>ANRs!E11</f>
        <v>60</v>
      </c>
      <c r="F11">
        <f>ANRs!F11</f>
        <v>600</v>
      </c>
    </row>
    <row r="12" spans="1:6" x14ac:dyDescent="0.5">
      <c r="A12" t="str">
        <f>ANRs!A12</f>
        <v>Ramp rate (MWe/h)</v>
      </c>
      <c r="B12">
        <f>ANRs!B12</f>
        <v>24</v>
      </c>
      <c r="C12">
        <f>ANRs!C12</f>
        <v>984</v>
      </c>
      <c r="D12">
        <f>ANRs!D12</f>
        <v>48</v>
      </c>
      <c r="E12">
        <f>ANRs!E12</f>
        <v>84.6</v>
      </c>
      <c r="F12">
        <f>ANRs!F12</f>
        <v>24</v>
      </c>
    </row>
    <row r="13" spans="1:6" x14ac:dyDescent="0.5">
      <c r="A13" t="str">
        <f>ANRs!A13</f>
        <v>CAPEX ($/Kwe)</v>
      </c>
      <c r="B13" s="10">
        <f>ANRs!B13*(1-'ANRs NOAK'!$B$23)</f>
        <v>4206.6000000000004</v>
      </c>
      <c r="C13" s="10">
        <f>ANRs!C13*(1-'ANRs NOAK'!$B$23)</f>
        <v>5700</v>
      </c>
      <c r="D13" s="10">
        <f>ANRs!D13*(1-'ANRs NOAK'!$B$23)</f>
        <v>3472.44</v>
      </c>
      <c r="E13" s="10">
        <f>ANRs!E13*(1-'ANRs NOAK'!$B$23)</f>
        <v>3109.16</v>
      </c>
      <c r="F13" s="10">
        <f>ANRs!F13*(1-'ANRs NOAK'!$B$23)</f>
        <v>8285.52</v>
      </c>
    </row>
    <row r="14" spans="1:6" x14ac:dyDescent="0.5">
      <c r="A14" t="str">
        <f>ANRs!A14</f>
        <v>FOPEX ($/kWe-y)</v>
      </c>
      <c r="B14">
        <f>ANRs!B14</f>
        <v>115</v>
      </c>
      <c r="C14">
        <f>ANRs!C14</f>
        <v>164</v>
      </c>
      <c r="D14">
        <f>ANRs!D14</f>
        <v>100</v>
      </c>
      <c r="E14">
        <f>ANRs!E14</f>
        <v>85</v>
      </c>
      <c r="F14">
        <f>ANRs!F14</f>
        <v>264</v>
      </c>
    </row>
    <row r="15" spans="1:6" x14ac:dyDescent="0.5">
      <c r="A15" t="str">
        <f>ANRs!A15</f>
        <v>VOM ($/Mwhe)</v>
      </c>
      <c r="B15">
        <f>ANRs!B15</f>
        <v>0.75</v>
      </c>
      <c r="C15">
        <f>ANRs!C15</f>
        <v>0</v>
      </c>
      <c r="D15">
        <f>ANRs!D15</f>
        <v>0</v>
      </c>
      <c r="E15">
        <f>ANRs!E15</f>
        <v>0.5</v>
      </c>
      <c r="F15">
        <f>ANRs!F15</f>
        <v>0</v>
      </c>
    </row>
    <row r="16" spans="1:6" x14ac:dyDescent="0.5">
      <c r="A16" t="str">
        <f>ANRs!A16</f>
        <v>Fuel Cost ($/MWh-e)</v>
      </c>
      <c r="B16">
        <f>ANRs!B16</f>
        <v>9</v>
      </c>
      <c r="C16">
        <f>ANRs!C16</f>
        <v>13</v>
      </c>
      <c r="D16">
        <f>ANRs!D16</f>
        <v>13</v>
      </c>
      <c r="E16">
        <f>ANRs!E16</f>
        <v>11</v>
      </c>
      <c r="F16">
        <f>ANRs!F16</f>
        <v>0</v>
      </c>
    </row>
    <row r="17" spans="1:6" x14ac:dyDescent="0.5">
      <c r="A17" t="str">
        <f>ANRs!A17</f>
        <v>Start-up fixed cost ($/startup)</v>
      </c>
      <c r="B17">
        <f>ANRs!B17</f>
        <v>38500</v>
      </c>
      <c r="C17">
        <f>ANRs!C17</f>
        <v>82000</v>
      </c>
      <c r="D17">
        <f>ANRs!D17</f>
        <v>40000</v>
      </c>
      <c r="E17">
        <f>ANRs!E17</f>
        <v>70500</v>
      </c>
      <c r="F17">
        <f>ANRs!F17</f>
        <v>3350</v>
      </c>
    </row>
    <row r="18" spans="1:6" x14ac:dyDescent="0.5">
      <c r="A18" t="str">
        <f>ANRs!A18</f>
        <v>Lifetime</v>
      </c>
      <c r="B18">
        <f>ANRs!B18</f>
        <v>60</v>
      </c>
      <c r="C18">
        <f>ANRs!C18</f>
        <v>60</v>
      </c>
      <c r="D18">
        <f>ANRs!D18</f>
        <v>60</v>
      </c>
      <c r="E18">
        <f>ANRs!E18</f>
        <v>60</v>
      </c>
      <c r="F18">
        <f>ANRs!F18</f>
        <v>20</v>
      </c>
    </row>
    <row r="19" spans="1:6" x14ac:dyDescent="0.5">
      <c r="A19" t="str">
        <f>ANRs!A19</f>
        <v>CRF</v>
      </c>
      <c r="B19">
        <f>LCOH!$B$2*POWER(1+LCOH!$B$2,B18)/(POWER(1+LCOH!$B$2,B18)-1)</f>
        <v>8.0797948763645655E-2</v>
      </c>
      <c r="C19">
        <f>LCOH!$B$2*POWER(1+LCOH!$B$2,C18)/(POWER(1+LCOH!$B$2,C18)-1)</f>
        <v>8.0797948763645655E-2</v>
      </c>
      <c r="D19">
        <f>LCOH!$B$2*POWER(1+LCOH!$B$2,D18)/(POWER(1+LCOH!$B$2,D18)-1)</f>
        <v>8.0797948763645655E-2</v>
      </c>
      <c r="E19">
        <f>LCOH!$B$2*POWER(1+LCOH!$B$2,E18)/(POWER(1+LCOH!$B$2,E18)-1)</f>
        <v>8.0797948763645655E-2</v>
      </c>
      <c r="F19">
        <f>LCOH!$B$2*POWER(1+LCOH!$B$2,F18)/(POWER(1+LCOH!$B$2,F18)-1)</f>
        <v>0.10185220882315059</v>
      </c>
    </row>
    <row r="23" spans="1:6" x14ac:dyDescent="0.5">
      <c r="A23" t="s">
        <v>26</v>
      </c>
      <c r="B23">
        <v>0.24</v>
      </c>
    </row>
    <row r="24" spans="1:6" x14ac:dyDescent="0.5">
      <c r="A24" t="s">
        <v>27</v>
      </c>
      <c r="B24" t="s">
        <v>28</v>
      </c>
    </row>
    <row r="25" spans="1:6" x14ac:dyDescent="0.5">
      <c r="A25" t="s">
        <v>29</v>
      </c>
    </row>
    <row r="26" spans="1:6" x14ac:dyDescent="0.5">
      <c r="A26" t="s">
        <v>30</v>
      </c>
      <c r="B26">
        <v>-0.23</v>
      </c>
    </row>
    <row r="27" spans="1:6" x14ac:dyDescent="0.5">
      <c r="A27" t="s">
        <v>31</v>
      </c>
      <c r="B27">
        <v>0.108</v>
      </c>
    </row>
    <row r="28" spans="1:6" x14ac:dyDescent="0.5">
      <c r="A28" t="s">
        <v>32</v>
      </c>
      <c r="B28">
        <v>0.24</v>
      </c>
    </row>
  </sheetData>
  <dataValidations count="1">
    <dataValidation type="list" allowBlank="1" showInputMessage="1" showErrorMessage="1" sqref="B23" xr:uid="{E4D0258E-90CD-40B0-9FC4-A541E2011814}">
      <formula1>$B$26:$B$28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8E5D-59FC-A34A-8DBD-C749FD2305BC}">
  <dimension ref="A1:F29"/>
  <sheetViews>
    <sheetView workbookViewId="0">
      <selection activeCell="J21" sqref="J21"/>
    </sheetView>
  </sheetViews>
  <sheetFormatPr defaultColWidth="11" defaultRowHeight="15.75" x14ac:dyDescent="0.5"/>
  <cols>
    <col min="1" max="1" width="13.3125" bestFit="1" customWidth="1"/>
  </cols>
  <sheetData>
    <row r="1" spans="1:6" x14ac:dyDescent="0.5">
      <c r="A1" t="s">
        <v>0</v>
      </c>
      <c r="B1" t="str">
        <f>'ANRs NOAK'!B1</f>
        <v>iPWR</v>
      </c>
      <c r="C1" t="str">
        <f>'ANRs NOAK'!C1</f>
        <v>HTGR</v>
      </c>
      <c r="D1" t="str">
        <f>'ANRs NOAK'!D1</f>
        <v>PBR-HTGR</v>
      </c>
      <c r="E1" t="str">
        <f>'ANRs NOAK'!E1</f>
        <v>iMSR</v>
      </c>
      <c r="F1" t="str">
        <f>'ANRs NOAK'!F1</f>
        <v>Micro</v>
      </c>
    </row>
    <row r="2" spans="1:6" x14ac:dyDescent="0.5">
      <c r="A2" t="s">
        <v>23</v>
      </c>
      <c r="B2">
        <f>$B$8*POWER(1+$B$8,'ANRs NOAK'!B$18)/(POWER(1+$B$8,'ANRs NOAK'!B$18)-1)</f>
        <v>2.8767965825806339E-2</v>
      </c>
      <c r="C2">
        <f>$B$8*POWER(1+$B$8,'ANRs NOAK'!C$18)/(POWER(1+$B$8,'ANRs NOAK'!C$18)-1)</f>
        <v>2.8767965825806339E-2</v>
      </c>
      <c r="D2">
        <f>$B$8*POWER(1+$B$8,'ANRs NOAK'!D$18)/(POWER(1+$B$8,'ANRs NOAK'!D$18)-1)</f>
        <v>2.8767965825806339E-2</v>
      </c>
      <c r="E2">
        <f>$B$8*POWER(1+$B$8,'ANRs NOAK'!E$18)/(POWER(1+$B$8,'ANRs NOAK'!E$18)-1)</f>
        <v>2.8767965825806339E-2</v>
      </c>
      <c r="F2">
        <f>$B$8*POWER(1+$B$8,'ANRs NOAK'!F$18)/(POWER(1+$B$8,'ANRs NOAK'!F$18)-1)</f>
        <v>6.1156718125290395E-2</v>
      </c>
    </row>
    <row r="3" spans="1:6" x14ac:dyDescent="0.5">
      <c r="A3" t="s">
        <v>80</v>
      </c>
      <c r="B3" s="4">
        <f>(ANRs!B13*1000*ANRs!B5*LCOe!$B$2 + ANRs!B14*1000*ANRs!B5 + (ANRs!B15+ANRs!B16)*ANRs!B5*(365*24)) / (ANRs!B5*LCOe!$A$8*(365*24))</f>
        <v>43.215656193924318</v>
      </c>
      <c r="C3" s="4">
        <f>(ANRs!C13*1000*ANRs!C5*LCOe!$B$2 + ANRs!C14*1000*ANRs!C5 + (ANRs!C15+ANRs!C16)*ANRs!C5*(365*24)) / (ANRs!C5*LCOe!$A$8*(365*24))</f>
        <v>59.317440962935308</v>
      </c>
      <c r="D3" s="4">
        <f>(ANRs!D13*1000*ANRs!D5*LCOe!$B$2 + ANRs!D14*1000*ANRs!D5 + (ANRs!D15+ANRs!D16)*ANRs!D5*(365*24)) / (ANRs!D5*LCOe!$A$8*(365*24))</f>
        <v>41.494933412413985</v>
      </c>
      <c r="E3" s="4">
        <f>(ANRs!E13*1000*ANRs!E5*LCOe!$B$2 + ANRs!E14*1000*ANRs!E5 + (ANRs!E15+ANRs!E16)*ANRs!E5*(365*24)) / (ANRs!E5*LCOe!$A$8*(365*24))</f>
        <v>36.46115695666591</v>
      </c>
      <c r="F3" s="4">
        <f>(ANRs!F13*1000*ANRs!F5*LCOe!$B$2 + ANRs!F14*1000*ANRs!F5 + (ANRs!F15+ANRs!F16)*ANRs!F5*(365*24)) / (ANRs!F5*LCOe!$A$8*(365*24))</f>
        <v>69.409800941232959</v>
      </c>
    </row>
    <row r="4" spans="1:6" x14ac:dyDescent="0.5">
      <c r="A4" t="s">
        <v>87</v>
      </c>
      <c r="B4" s="4">
        <f xml:space="preserve"> ( 'ANRs NOAK'!B13*1000*'ANRs NOAK'!B5*LCOe!$B$2 + 'ANRs NOAK'!B14*1000*'ANRs NOAK'!B5 + ('ANRs NOAK'!B15+'ANRs NOAK'!B16)*'ANRs NOAK'!B5*(365*24)) / ('ANRs NOAK'!B5*(365*24)*LCOe!$A$8)</f>
        <v>38.623567056337052</v>
      </c>
      <c r="C4" s="4">
        <f xml:space="preserve"> ( 'ANRs NOAK'!C13*1000*'ANRs NOAK'!C5*LCOe!$B$2 + 'ANRs NOAK'!C14*1000*'ANRs NOAK'!C5 + ('ANRs NOAK'!C15+'ANRs NOAK'!C16)*'ANRs NOAK'!C5*(365*24)) / ('ANRs NOAK'!C5*(365*24)*LCOe!$A$8)</f>
        <v>53.095097958074518</v>
      </c>
      <c r="D4" s="4">
        <f xml:space="preserve"> ( 'ANRs NOAK'!D13*1000*'ANRs NOAK'!D5*LCOe!$B$2 + 'ANRs NOAK'!D14*1000*'ANRs NOAK'!D5 + ('ANRs NOAK'!D15+'ANRs NOAK'!D16)*'ANRs NOAK'!D5*(365*24)) / ('ANRs NOAK'!D5*(365*24)*LCOe!$A$8)</f>
        <v>37.704282053852793</v>
      </c>
      <c r="E4" s="4">
        <f xml:space="preserve"> ( 'ANRs NOAK'!E13*1000*'ANRs NOAK'!E5*LCOe!$B$2 + 'ANRs NOAK'!E14*1000*'ANRs NOAK'!E5 + ('ANRs NOAK'!E15+'ANRs NOAK'!E16)*'ANRs NOAK'!E5*(365*24)) / ('ANRs NOAK'!E5*(365*24)*LCOe!$A$8)</f>
        <v>33.067076258947857</v>
      </c>
      <c r="F4" s="4">
        <f xml:space="preserve"> ( 'ANRs NOAK'!F13*1000*'ANRs NOAK'!F5*LCOe!$B$2 + 'ANRs NOAK'!F14*1000*'ANRs NOAK'!F5 + ('ANRs NOAK'!F15+'ANRs NOAK'!F16)*'ANRs NOAK'!F5*(365*24)) / ('ANRs NOAK'!F5*(365*24)*LCOe!$A$8)</f>
        <v>60.36500314936734</v>
      </c>
    </row>
    <row r="7" spans="1:6" x14ac:dyDescent="0.5">
      <c r="A7" t="s">
        <v>101</v>
      </c>
      <c r="B7" t="s">
        <v>57</v>
      </c>
    </row>
    <row r="8" spans="1:6" x14ac:dyDescent="0.5">
      <c r="A8">
        <v>0.95</v>
      </c>
      <c r="B8">
        <v>0.02</v>
      </c>
    </row>
    <row r="20" spans="1:2" x14ac:dyDescent="0.5">
      <c r="A20">
        <v>0.5</v>
      </c>
      <c r="B20">
        <v>0.02</v>
      </c>
    </row>
    <row r="21" spans="1:2" x14ac:dyDescent="0.5">
      <c r="A21">
        <v>0.6</v>
      </c>
      <c r="B21">
        <v>0.04</v>
      </c>
    </row>
    <row r="22" spans="1:2" x14ac:dyDescent="0.5">
      <c r="A22">
        <v>0.7</v>
      </c>
      <c r="B22">
        <v>0.06</v>
      </c>
    </row>
    <row r="23" spans="1:2" x14ac:dyDescent="0.5">
      <c r="A23">
        <v>0.8</v>
      </c>
      <c r="B23">
        <v>0.08</v>
      </c>
    </row>
    <row r="24" spans="1:2" x14ac:dyDescent="0.5">
      <c r="A24">
        <v>0.9</v>
      </c>
      <c r="B24">
        <v>0.1</v>
      </c>
    </row>
    <row r="25" spans="1:2" x14ac:dyDescent="0.5">
      <c r="A25">
        <v>0.95</v>
      </c>
      <c r="B25">
        <v>0.12</v>
      </c>
    </row>
    <row r="26" spans="1:2" x14ac:dyDescent="0.5">
      <c r="A26">
        <v>0.99</v>
      </c>
      <c r="B26">
        <v>0.14000000000000001</v>
      </c>
    </row>
    <row r="27" spans="1:2" x14ac:dyDescent="0.5">
      <c r="A27">
        <v>1</v>
      </c>
      <c r="B27">
        <v>0.16</v>
      </c>
    </row>
    <row r="28" spans="1:2" x14ac:dyDescent="0.5">
      <c r="B28">
        <v>0.18</v>
      </c>
    </row>
    <row r="29" spans="1:2" x14ac:dyDescent="0.5">
      <c r="B29">
        <v>0.2</v>
      </c>
    </row>
  </sheetData>
  <dataValidations count="2">
    <dataValidation type="list" allowBlank="1" showInputMessage="1" showErrorMessage="1" sqref="A8" xr:uid="{513E65BA-5802-6C4B-A86A-5D71ECB5E051}">
      <formula1>$A$20:$A$27</formula1>
    </dataValidation>
    <dataValidation type="list" allowBlank="1" showInputMessage="1" showErrorMessage="1" sqref="B8" xr:uid="{23A076C8-E28D-F546-9ADA-891D6EA8F0BE}">
      <formula1>$B$20:$B$29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0AEC-35FC-FF41-BAD4-E0EA7304A6F8}">
  <dimension ref="A1:D15"/>
  <sheetViews>
    <sheetView workbookViewId="0">
      <selection activeCell="B14" sqref="B14"/>
    </sheetView>
  </sheetViews>
  <sheetFormatPr defaultColWidth="11" defaultRowHeight="15.75" x14ac:dyDescent="0.5"/>
  <cols>
    <col min="1" max="1" width="23.3125" style="2" customWidth="1"/>
    <col min="2" max="2" width="16" bestFit="1" customWidth="1"/>
  </cols>
  <sheetData>
    <row r="1" spans="1:4" x14ac:dyDescent="0.5">
      <c r="A1" s="2" t="s">
        <v>33</v>
      </c>
    </row>
    <row r="2" spans="1:4" x14ac:dyDescent="0.5">
      <c r="A2" s="3" t="s">
        <v>34</v>
      </c>
      <c r="B2" t="s">
        <v>35</v>
      </c>
      <c r="C2" t="s">
        <v>36</v>
      </c>
      <c r="D2" t="s">
        <v>116</v>
      </c>
    </row>
    <row r="3" spans="1:4" x14ac:dyDescent="0.5">
      <c r="A3" s="3" t="s">
        <v>37</v>
      </c>
      <c r="B3">
        <v>1076</v>
      </c>
      <c r="C3" t="s">
        <v>38</v>
      </c>
    </row>
    <row r="4" spans="1:4" x14ac:dyDescent="0.5">
      <c r="A4" s="3" t="s">
        <v>39</v>
      </c>
      <c r="B4">
        <v>566</v>
      </c>
      <c r="C4" t="s">
        <v>40</v>
      </c>
      <c r="D4" t="s">
        <v>129</v>
      </c>
    </row>
    <row r="5" spans="1:4" x14ac:dyDescent="0.5">
      <c r="A5" s="3" t="s">
        <v>50</v>
      </c>
      <c r="B5">
        <f>B4*1000/24</f>
        <v>23583.333333333332</v>
      </c>
      <c r="C5" t="s">
        <v>102</v>
      </c>
    </row>
    <row r="6" spans="1:4" x14ac:dyDescent="0.5">
      <c r="A6" s="3" t="s">
        <v>41</v>
      </c>
      <c r="B6" s="4">
        <v>695620000</v>
      </c>
      <c r="C6" s="1" t="s">
        <v>42</v>
      </c>
    </row>
    <row r="7" spans="1:4" x14ac:dyDescent="0.5">
      <c r="A7" s="3" t="s">
        <v>43</v>
      </c>
      <c r="B7" s="4">
        <v>32617000</v>
      </c>
      <c r="C7" t="s">
        <v>42</v>
      </c>
    </row>
    <row r="8" spans="1:4" x14ac:dyDescent="0.5">
      <c r="A8" s="3" t="s">
        <v>44</v>
      </c>
      <c r="B8" s="4">
        <v>25992000</v>
      </c>
      <c r="C8" t="s">
        <v>42</v>
      </c>
    </row>
    <row r="9" spans="1:4" x14ac:dyDescent="0.5">
      <c r="A9" s="3" t="s">
        <v>105</v>
      </c>
      <c r="B9" s="4">
        <v>820</v>
      </c>
      <c r="C9" t="s">
        <v>131</v>
      </c>
      <c r="D9" t="s">
        <v>129</v>
      </c>
    </row>
    <row r="10" spans="1:4" x14ac:dyDescent="0.5">
      <c r="A10" s="3" t="s">
        <v>132</v>
      </c>
      <c r="B10" s="5">
        <v>3.6799999999999999E-2</v>
      </c>
      <c r="C10" t="s">
        <v>135</v>
      </c>
      <c r="D10" t="s">
        <v>129</v>
      </c>
    </row>
    <row r="11" spans="1:4" x14ac:dyDescent="0.5">
      <c r="A11" s="3" t="s">
        <v>133</v>
      </c>
      <c r="B11" s="5">
        <v>1.6500000000000001E-2</v>
      </c>
      <c r="C11" t="s">
        <v>134</v>
      </c>
      <c r="D11" t="s">
        <v>129</v>
      </c>
    </row>
    <row r="12" spans="1:4" x14ac:dyDescent="0.5">
      <c r="A12" s="3" t="s">
        <v>75</v>
      </c>
      <c r="B12" s="4">
        <f>B7/B3</f>
        <v>30313.197026022306</v>
      </c>
      <c r="C12" t="s">
        <v>125</v>
      </c>
      <c r="D12" t="s">
        <v>130</v>
      </c>
    </row>
    <row r="13" spans="1:4" x14ac:dyDescent="0.5">
      <c r="A13" s="3" t="s">
        <v>76</v>
      </c>
      <c r="B13" s="4">
        <f>B8/(B3*24*365)</f>
        <v>2.7575495238580232</v>
      </c>
      <c r="C13" t="s">
        <v>128</v>
      </c>
      <c r="D13" t="s">
        <v>130</v>
      </c>
    </row>
    <row r="14" spans="1:4" x14ac:dyDescent="0.5">
      <c r="A14" s="2" t="s">
        <v>45</v>
      </c>
      <c r="B14" s="5">
        <v>20</v>
      </c>
      <c r="C14" t="s">
        <v>46</v>
      </c>
      <c r="D14" t="s">
        <v>129</v>
      </c>
    </row>
    <row r="15" spans="1:4" x14ac:dyDescent="0.5">
      <c r="A15" s="2" t="s">
        <v>23</v>
      </c>
      <c r="B15">
        <f>LCOH!B2*POWER(1+LCOH!B2,HTSE!B14)/(POWER(1+LCOH!B2,HTSE!B14)-1)</f>
        <v>0.10185220882315059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89E9-7BDE-6C47-8D87-520B9E9EBED4}">
  <dimension ref="A1:D17"/>
  <sheetViews>
    <sheetView workbookViewId="0">
      <selection activeCell="F12" sqref="F12"/>
    </sheetView>
  </sheetViews>
  <sheetFormatPr defaultColWidth="11" defaultRowHeight="15.75" x14ac:dyDescent="0.5"/>
  <cols>
    <col min="1" max="1" width="39.3125" bestFit="1" customWidth="1"/>
    <col min="2" max="2" width="24.1875" bestFit="1" customWidth="1"/>
  </cols>
  <sheetData>
    <row r="1" spans="1:4" x14ac:dyDescent="0.5">
      <c r="A1" t="s">
        <v>100</v>
      </c>
      <c r="B1" t="s">
        <v>89</v>
      </c>
      <c r="C1" t="s">
        <v>99</v>
      </c>
    </row>
    <row r="2" spans="1:4" x14ac:dyDescent="0.5">
      <c r="A2" s="3" t="s">
        <v>34</v>
      </c>
      <c r="B2" t="s">
        <v>35</v>
      </c>
      <c r="C2" t="s">
        <v>36</v>
      </c>
      <c r="D2" t="s">
        <v>116</v>
      </c>
    </row>
    <row r="3" spans="1:4" x14ac:dyDescent="0.5">
      <c r="A3" s="3" t="s">
        <v>37</v>
      </c>
      <c r="B3">
        <v>35.299999999999997</v>
      </c>
      <c r="C3" t="s">
        <v>90</v>
      </c>
      <c r="D3" t="s">
        <v>129</v>
      </c>
    </row>
    <row r="4" spans="1:4" x14ac:dyDescent="0.5">
      <c r="A4" s="3" t="s">
        <v>91</v>
      </c>
      <c r="B4">
        <v>9.5</v>
      </c>
      <c r="C4" t="s">
        <v>90</v>
      </c>
      <c r="D4" t="s">
        <v>129</v>
      </c>
    </row>
    <row r="5" spans="1:4" x14ac:dyDescent="0.5">
      <c r="A5" s="3" t="s">
        <v>50</v>
      </c>
      <c r="B5">
        <v>624</v>
      </c>
      <c r="C5" t="s">
        <v>40</v>
      </c>
      <c r="D5" t="s">
        <v>129</v>
      </c>
    </row>
    <row r="6" spans="1:4" x14ac:dyDescent="0.5">
      <c r="A6" s="3" t="s">
        <v>50</v>
      </c>
      <c r="B6">
        <f>B5*1000/24</f>
        <v>26000</v>
      </c>
      <c r="C6" t="s">
        <v>102</v>
      </c>
      <c r="D6" t="s">
        <v>129</v>
      </c>
    </row>
    <row r="7" spans="1:4" x14ac:dyDescent="0.5">
      <c r="A7" s="3" t="s">
        <v>41</v>
      </c>
      <c r="B7" s="4">
        <v>423000</v>
      </c>
      <c r="C7" s="1" t="s">
        <v>92</v>
      </c>
      <c r="D7" t="s">
        <v>129</v>
      </c>
    </row>
    <row r="8" spans="1:4" x14ac:dyDescent="0.5">
      <c r="A8" s="3" t="s">
        <v>43</v>
      </c>
      <c r="B8" s="4">
        <f>B12*B5*1000*365</f>
        <v>15943200.000000002</v>
      </c>
      <c r="C8" s="1" t="s">
        <v>126</v>
      </c>
      <c r="D8" t="s">
        <v>130</v>
      </c>
    </row>
    <row r="9" spans="1:4" x14ac:dyDescent="0.5">
      <c r="A9" s="3" t="s">
        <v>75</v>
      </c>
      <c r="B9" s="4">
        <f>B12*365*24/B17</f>
        <v>17218.189731422077</v>
      </c>
      <c r="C9" s="1" t="s">
        <v>125</v>
      </c>
      <c r="D9" t="s">
        <v>130</v>
      </c>
    </row>
    <row r="10" spans="1:4" x14ac:dyDescent="0.5">
      <c r="A10" s="3" t="s">
        <v>44</v>
      </c>
      <c r="B10" s="4">
        <f>B13*1000*B5*365</f>
        <v>10932480</v>
      </c>
      <c r="C10" s="1" t="s">
        <v>96</v>
      </c>
      <c r="D10" t="s">
        <v>130</v>
      </c>
    </row>
    <row r="11" spans="1:4" x14ac:dyDescent="0.5">
      <c r="A11" s="3" t="s">
        <v>127</v>
      </c>
      <c r="B11" s="4">
        <f>B13/B17</f>
        <v>1.3478035014811802</v>
      </c>
      <c r="C11" s="1" t="s">
        <v>128</v>
      </c>
      <c r="D11" t="s">
        <v>130</v>
      </c>
    </row>
    <row r="12" spans="1:4" x14ac:dyDescent="0.5">
      <c r="A12" s="3" t="s">
        <v>93</v>
      </c>
      <c r="B12" s="4">
        <v>7.0000000000000007E-2</v>
      </c>
      <c r="C12" t="s">
        <v>94</v>
      </c>
      <c r="D12" t="s">
        <v>130</v>
      </c>
    </row>
    <row r="13" spans="1:4" x14ac:dyDescent="0.5">
      <c r="A13" s="3" t="s">
        <v>95</v>
      </c>
      <c r="B13" s="4">
        <v>4.8000000000000001E-2</v>
      </c>
      <c r="C13" t="s">
        <v>94</v>
      </c>
      <c r="D13" t="s">
        <v>130</v>
      </c>
    </row>
    <row r="14" spans="1:4" x14ac:dyDescent="0.5">
      <c r="A14" s="2" t="s">
        <v>45</v>
      </c>
      <c r="B14" s="5">
        <v>20</v>
      </c>
      <c r="C14" t="s">
        <v>46</v>
      </c>
      <c r="D14" t="s">
        <v>129</v>
      </c>
    </row>
    <row r="15" spans="1:4" x14ac:dyDescent="0.5">
      <c r="A15" s="2" t="s">
        <v>23</v>
      </c>
      <c r="B15">
        <f>LCOH!B2*POWER(1+LCOH!B2,B14)/(POWER(1+LCOH!B2,B14)-1)</f>
        <v>0.10185220882315059</v>
      </c>
    </row>
    <row r="16" spans="1:4" x14ac:dyDescent="0.5">
      <c r="A16" s="3" t="s">
        <v>97</v>
      </c>
      <c r="B16">
        <f>(B5*1000/24)*B17</f>
        <v>925.95099999999979</v>
      </c>
      <c r="C16" t="s">
        <v>38</v>
      </c>
      <c r="D16" t="s">
        <v>129</v>
      </c>
    </row>
    <row r="17" spans="1:4" x14ac:dyDescent="0.5">
      <c r="A17" s="3" t="s">
        <v>110</v>
      </c>
      <c r="B17">
        <f>(B3+B4*0.033)/1000</f>
        <v>3.5613499999999992E-2</v>
      </c>
      <c r="C17" t="s">
        <v>98</v>
      </c>
      <c r="D17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3C49-8C12-1942-B979-D0FAB5F16434}">
  <dimension ref="A1:H12"/>
  <sheetViews>
    <sheetView workbookViewId="0">
      <selection activeCell="K25" sqref="K25"/>
    </sheetView>
  </sheetViews>
  <sheetFormatPr defaultColWidth="11" defaultRowHeight="15.75" x14ac:dyDescent="0.5"/>
  <cols>
    <col min="2" max="2" width="15" bestFit="1" customWidth="1"/>
    <col min="5" max="5" width="14.3125" bestFit="1" customWidth="1"/>
    <col min="7" max="7" width="12.8125" bestFit="1" customWidth="1"/>
  </cols>
  <sheetData>
    <row r="1" spans="1:8" x14ac:dyDescent="0.5">
      <c r="A1" t="s">
        <v>24</v>
      </c>
      <c r="B1" t="s">
        <v>47</v>
      </c>
    </row>
    <row r="2" spans="1:8" x14ac:dyDescent="0.5">
      <c r="E2" t="s">
        <v>104</v>
      </c>
      <c r="F2" t="s">
        <v>35</v>
      </c>
      <c r="G2" t="s">
        <v>36</v>
      </c>
      <c r="H2" t="s">
        <v>116</v>
      </c>
    </row>
    <row r="3" spans="1:8" x14ac:dyDescent="0.5">
      <c r="A3" s="3" t="s">
        <v>34</v>
      </c>
      <c r="B3" t="s">
        <v>35</v>
      </c>
      <c r="C3" t="s">
        <v>36</v>
      </c>
      <c r="E3" t="s">
        <v>115</v>
      </c>
      <c r="F3">
        <v>65.75</v>
      </c>
      <c r="G3" t="s">
        <v>58</v>
      </c>
      <c r="H3" t="s">
        <v>114</v>
      </c>
    </row>
    <row r="4" spans="1:8" x14ac:dyDescent="0.5">
      <c r="A4" t="s">
        <v>48</v>
      </c>
      <c r="B4" t="s">
        <v>49</v>
      </c>
      <c r="E4" t="s">
        <v>97</v>
      </c>
      <c r="F4">
        <v>100</v>
      </c>
      <c r="G4" t="s">
        <v>38</v>
      </c>
      <c r="H4" t="s">
        <v>117</v>
      </c>
    </row>
    <row r="5" spans="1:8" x14ac:dyDescent="0.5">
      <c r="A5" t="s">
        <v>50</v>
      </c>
      <c r="B5">
        <v>100</v>
      </c>
      <c r="C5" t="s">
        <v>38</v>
      </c>
      <c r="E5" t="s">
        <v>118</v>
      </c>
      <c r="F5">
        <v>743865</v>
      </c>
      <c r="G5" t="s">
        <v>119</v>
      </c>
      <c r="H5" t="s">
        <v>114</v>
      </c>
    </row>
    <row r="6" spans="1:8" x14ac:dyDescent="0.5">
      <c r="A6" t="s">
        <v>51</v>
      </c>
      <c r="B6" s="4">
        <f>920*B5*1000</f>
        <v>92000000</v>
      </c>
      <c r="C6" t="s">
        <v>52</v>
      </c>
      <c r="E6" t="s">
        <v>120</v>
      </c>
      <c r="F6">
        <v>60020</v>
      </c>
      <c r="G6" t="s">
        <v>119</v>
      </c>
      <c r="H6" t="s">
        <v>114</v>
      </c>
    </row>
    <row r="7" spans="1:8" x14ac:dyDescent="0.5">
      <c r="A7" t="s">
        <v>53</v>
      </c>
      <c r="B7">
        <v>18030</v>
      </c>
      <c r="C7" t="s">
        <v>54</v>
      </c>
      <c r="E7" t="s">
        <v>121</v>
      </c>
      <c r="F7">
        <v>86488</v>
      </c>
      <c r="G7" t="s">
        <v>122</v>
      </c>
      <c r="H7" t="s">
        <v>114</v>
      </c>
    </row>
    <row r="8" spans="1:8" x14ac:dyDescent="0.5">
      <c r="A8" t="s">
        <v>50</v>
      </c>
      <c r="E8" t="s">
        <v>121</v>
      </c>
      <c r="F8">
        <f>F7/(364*24)</f>
        <v>9.9001831501831496</v>
      </c>
      <c r="G8" t="s">
        <v>123</v>
      </c>
      <c r="H8" t="s">
        <v>124</v>
      </c>
    </row>
    <row r="9" spans="1:8" x14ac:dyDescent="0.5">
      <c r="A9" t="s">
        <v>55</v>
      </c>
      <c r="B9" s="4">
        <f>0.021*B7*1000</f>
        <v>378630</v>
      </c>
      <c r="C9" t="s">
        <v>52</v>
      </c>
      <c r="E9" t="s">
        <v>110</v>
      </c>
      <c r="F9">
        <f>1/F8</f>
        <v>0.10100823235593377</v>
      </c>
      <c r="G9" t="s">
        <v>98</v>
      </c>
      <c r="H9" t="s">
        <v>124</v>
      </c>
    </row>
    <row r="10" spans="1:8" x14ac:dyDescent="0.5">
      <c r="A10" t="s">
        <v>56</v>
      </c>
      <c r="B10" s="4">
        <f>0.015*B6</f>
        <v>1380000</v>
      </c>
      <c r="C10" t="s">
        <v>52</v>
      </c>
      <c r="E10" t="s">
        <v>22</v>
      </c>
      <c r="F10">
        <v>20</v>
      </c>
      <c r="G10" t="s">
        <v>46</v>
      </c>
      <c r="H10" t="s">
        <v>114</v>
      </c>
    </row>
    <row r="11" spans="1:8" x14ac:dyDescent="0.5">
      <c r="A11" t="s">
        <v>22</v>
      </c>
      <c r="B11">
        <v>15</v>
      </c>
      <c r="C11" t="s">
        <v>46</v>
      </c>
      <c r="E11" t="s">
        <v>97</v>
      </c>
      <c r="F11">
        <f>F8*F4</f>
        <v>990.01831501831498</v>
      </c>
      <c r="G11" t="s">
        <v>102</v>
      </c>
      <c r="H11" t="s">
        <v>124</v>
      </c>
    </row>
    <row r="12" spans="1:8" x14ac:dyDescent="0.5">
      <c r="A12" t="s">
        <v>23</v>
      </c>
      <c r="B12">
        <f>LCOH!B2*POWER(1+LCOH!B2,B11)/(POWER(1+LCOH!B2,B11)-1)</f>
        <v>0.11682954493601999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09B9-6B9E-B548-A749-B6BC49AC0882}">
  <dimension ref="A1:H12"/>
  <sheetViews>
    <sheetView workbookViewId="0">
      <selection activeCell="G11" sqref="G11"/>
    </sheetView>
  </sheetViews>
  <sheetFormatPr defaultColWidth="11" defaultRowHeight="15.75" x14ac:dyDescent="0.5"/>
  <cols>
    <col min="2" max="2" width="16" bestFit="1" customWidth="1"/>
  </cols>
  <sheetData>
    <row r="1" spans="1:8" x14ac:dyDescent="0.5">
      <c r="A1" t="s">
        <v>24</v>
      </c>
      <c r="B1" t="s">
        <v>47</v>
      </c>
      <c r="F1" t="s">
        <v>24</v>
      </c>
      <c r="G1" t="s">
        <v>103</v>
      </c>
    </row>
    <row r="2" spans="1:8" x14ac:dyDescent="0.5">
      <c r="F2" t="s">
        <v>104</v>
      </c>
      <c r="G2" t="s">
        <v>35</v>
      </c>
      <c r="H2" t="s">
        <v>36</v>
      </c>
    </row>
    <row r="3" spans="1:8" x14ac:dyDescent="0.5">
      <c r="A3" s="3" t="s">
        <v>34</v>
      </c>
      <c r="B3" t="s">
        <v>35</v>
      </c>
      <c r="C3" t="s">
        <v>36</v>
      </c>
      <c r="F3" t="s">
        <v>97</v>
      </c>
      <c r="G3">
        <v>100</v>
      </c>
      <c r="H3" t="s">
        <v>38</v>
      </c>
    </row>
    <row r="4" spans="1:8" x14ac:dyDescent="0.5">
      <c r="A4" t="s">
        <v>48</v>
      </c>
      <c r="B4" t="s">
        <v>49</v>
      </c>
      <c r="F4" t="s">
        <v>105</v>
      </c>
      <c r="G4">
        <v>1500000</v>
      </c>
      <c r="H4" t="s">
        <v>111</v>
      </c>
    </row>
    <row r="5" spans="1:8" x14ac:dyDescent="0.5">
      <c r="A5" t="s">
        <v>50</v>
      </c>
      <c r="B5">
        <v>100</v>
      </c>
      <c r="C5" t="s">
        <v>38</v>
      </c>
      <c r="F5" t="s">
        <v>75</v>
      </c>
      <c r="G5">
        <v>12800</v>
      </c>
      <c r="H5" t="s">
        <v>112</v>
      </c>
    </row>
    <row r="6" spans="1:8" x14ac:dyDescent="0.5">
      <c r="A6" t="s">
        <v>51</v>
      </c>
      <c r="B6" s="4">
        <f>1190*B5*1000</f>
        <v>119000000</v>
      </c>
      <c r="C6" t="s">
        <v>52</v>
      </c>
      <c r="F6" t="s">
        <v>76</v>
      </c>
      <c r="G6">
        <v>1.3</v>
      </c>
      <c r="H6" t="s">
        <v>106</v>
      </c>
    </row>
    <row r="7" spans="1:8" x14ac:dyDescent="0.5">
      <c r="A7" t="s">
        <v>53</v>
      </c>
      <c r="B7">
        <v>17000</v>
      </c>
      <c r="C7" t="s">
        <v>54</v>
      </c>
      <c r="F7" t="s">
        <v>107</v>
      </c>
      <c r="G7">
        <v>0.72499999999999998</v>
      </c>
      <c r="H7" t="s">
        <v>58</v>
      </c>
    </row>
    <row r="8" spans="1:8" x14ac:dyDescent="0.5">
      <c r="A8" t="s">
        <v>55</v>
      </c>
      <c r="B8" s="4">
        <f>0.021*B7*1000</f>
        <v>357000</v>
      </c>
      <c r="C8" t="s">
        <v>52</v>
      </c>
      <c r="F8" t="s">
        <v>108</v>
      </c>
      <c r="G8">
        <v>39.4</v>
      </c>
      <c r="H8" t="s">
        <v>109</v>
      </c>
    </row>
    <row r="9" spans="1:8" x14ac:dyDescent="0.5">
      <c r="A9" t="s">
        <v>56</v>
      </c>
      <c r="B9" s="4">
        <f>0.015*B6</f>
        <v>1785000</v>
      </c>
      <c r="C9" t="s">
        <v>52</v>
      </c>
      <c r="F9" t="s">
        <v>110</v>
      </c>
      <c r="G9">
        <f>G8/(G7*1000)</f>
        <v>5.4344827586206894E-2</v>
      </c>
      <c r="H9" t="s">
        <v>98</v>
      </c>
    </row>
    <row r="10" spans="1:8" x14ac:dyDescent="0.5">
      <c r="A10" t="s">
        <v>57</v>
      </c>
      <c r="B10">
        <v>9.6999999999999993</v>
      </c>
      <c r="C10" t="s">
        <v>58</v>
      </c>
      <c r="F10" t="s">
        <v>97</v>
      </c>
      <c r="G10">
        <f>G3/G9</f>
        <v>1840.1015228426397</v>
      </c>
      <c r="H10" t="s">
        <v>113</v>
      </c>
    </row>
    <row r="11" spans="1:8" x14ac:dyDescent="0.5">
      <c r="A11" t="s">
        <v>22</v>
      </c>
      <c r="B11">
        <v>15</v>
      </c>
      <c r="C11" t="s">
        <v>46</v>
      </c>
    </row>
    <row r="12" spans="1:8" x14ac:dyDescent="0.5">
      <c r="A12" t="s">
        <v>23</v>
      </c>
      <c r="B12">
        <f>LCOH!B2*POWER(1+LCOH!B2,B11)/(POWER(1+LCOH!B2,B11)-1)</f>
        <v>0.11682954493601999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776E7-CBAE-9E47-8B69-07E0825574D9}">
  <dimension ref="A1:G5"/>
  <sheetViews>
    <sheetView workbookViewId="0">
      <selection activeCell="G11" sqref="G11"/>
    </sheetView>
  </sheetViews>
  <sheetFormatPr defaultColWidth="11" defaultRowHeight="15.75" x14ac:dyDescent="0.5"/>
  <cols>
    <col min="2" max="2" width="16" bestFit="1" customWidth="1"/>
    <col min="3" max="3" width="19.5" bestFit="1" customWidth="1"/>
    <col min="4" max="4" width="19.5" customWidth="1"/>
    <col min="5" max="5" width="23.6875" bestFit="1" customWidth="1"/>
  </cols>
  <sheetData>
    <row r="1" spans="1:7" x14ac:dyDescent="0.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23</v>
      </c>
      <c r="G1" t="s">
        <v>22</v>
      </c>
    </row>
    <row r="2" spans="1:7" x14ac:dyDescent="0.5">
      <c r="A2" t="s">
        <v>64</v>
      </c>
      <c r="B2" s="8">
        <f>HTSE!B6/HTSE!B3</f>
        <v>646486.98884758365</v>
      </c>
      <c r="C2" s="8">
        <f>HTSE!B7/HTSE!B3</f>
        <v>30313.197026022306</v>
      </c>
      <c r="D2" s="8">
        <f>HTSE!B8/HTSE!B3</f>
        <v>24156.133828996284</v>
      </c>
      <c r="E2" s="7">
        <f>HTSE!B4*1000*365/HTSE!B3</f>
        <v>191998.14126394052</v>
      </c>
      <c r="F2">
        <f>HTSE!B15</f>
        <v>0.10185220882315059</v>
      </c>
      <c r="G2">
        <f>HTSE!B14</f>
        <v>20</v>
      </c>
    </row>
    <row r="3" spans="1:7" x14ac:dyDescent="0.5">
      <c r="A3" t="s">
        <v>65</v>
      </c>
      <c r="B3" s="9">
        <f>Alkaline!B6/Alkaline!B5</f>
        <v>920000</v>
      </c>
      <c r="C3" s="8">
        <f>Alkaline!B10/Alkaline!B5</f>
        <v>13800</v>
      </c>
      <c r="D3" s="8">
        <f>Alkaline!B9/Alkaline!B5</f>
        <v>3786.3</v>
      </c>
      <c r="E3" s="7">
        <f>Alkaline!B7*1000/Alkaline!B5</f>
        <v>180300</v>
      </c>
      <c r="F3">
        <f>Alkaline!B12</f>
        <v>0.11682954493601999</v>
      </c>
      <c r="G3">
        <f>Alkaline!B11</f>
        <v>15</v>
      </c>
    </row>
    <row r="4" spans="1:7" x14ac:dyDescent="0.5">
      <c r="A4" t="s">
        <v>66</v>
      </c>
      <c r="B4" s="8">
        <f>PEM!B6/PEM!B5</f>
        <v>1190000</v>
      </c>
      <c r="C4" s="8">
        <f>PEM!B9/PEM!B5</f>
        <v>17850</v>
      </c>
      <c r="D4" s="8">
        <f>PEM!B8/PEM!B5</f>
        <v>3570</v>
      </c>
      <c r="E4" s="7">
        <f>PEM!B7*1000/PEM!B5</f>
        <v>170000</v>
      </c>
      <c r="F4">
        <f>PEM!B12</f>
        <v>0.11682954493601999</v>
      </c>
      <c r="G4">
        <f>PEM!B11</f>
        <v>15</v>
      </c>
    </row>
    <row r="5" spans="1:7" x14ac:dyDescent="0.5">
      <c r="A5" t="s">
        <v>88</v>
      </c>
      <c r="B5" s="9">
        <f>'HTSE future'!B7</f>
        <v>423000</v>
      </c>
      <c r="C5" s="8">
        <f>'HTSE future'!B8/'HTSE future'!B16</f>
        <v>17218.189731422081</v>
      </c>
      <c r="D5" s="8">
        <f>'HTSE future'!B10/'HTSE future'!B16</f>
        <v>11806.758672975138</v>
      </c>
      <c r="E5" s="7">
        <f>'HTSE future'!B5*365*1000/'HTSE future'!B16</f>
        <v>245974.13902031537</v>
      </c>
      <c r="F5">
        <f>F2</f>
        <v>0.10185220882315059</v>
      </c>
      <c r="G5">
        <f>G2</f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FF039-2C41-394A-A2F3-20A4862B2BE3}">
  <dimension ref="A1:P25"/>
  <sheetViews>
    <sheetView tabSelected="1" topLeftCell="B17" workbookViewId="0">
      <selection activeCell="I4" sqref="I4:I13"/>
    </sheetView>
  </sheetViews>
  <sheetFormatPr defaultColWidth="11" defaultRowHeight="15.75" x14ac:dyDescent="0.5"/>
  <cols>
    <col min="1" max="1" width="15.3125" customWidth="1"/>
    <col min="2" max="2" width="22.5" bestFit="1" customWidth="1"/>
    <col min="3" max="3" width="9" customWidth="1"/>
    <col min="5" max="5" width="7.8125" customWidth="1"/>
    <col min="6" max="6" width="7" customWidth="1"/>
  </cols>
  <sheetData>
    <row r="1" spans="1:16" x14ac:dyDescent="0.5">
      <c r="A1" t="s">
        <v>67</v>
      </c>
      <c r="I1" t="s">
        <v>68</v>
      </c>
    </row>
    <row r="2" spans="1:16" x14ac:dyDescent="0.5">
      <c r="A2" t="s">
        <v>57</v>
      </c>
      <c r="B2">
        <v>0.08</v>
      </c>
      <c r="I2" t="s">
        <v>69</v>
      </c>
    </row>
    <row r="3" spans="1:16" x14ac:dyDescent="0.5">
      <c r="A3" t="s">
        <v>70</v>
      </c>
      <c r="B3" t="s">
        <v>71</v>
      </c>
      <c r="I3" t="s">
        <v>57</v>
      </c>
      <c r="J3" t="s">
        <v>72</v>
      </c>
      <c r="K3" t="s">
        <v>73</v>
      </c>
      <c r="L3" t="s">
        <v>74</v>
      </c>
      <c r="M3" t="s">
        <v>75</v>
      </c>
      <c r="N3" t="s">
        <v>76</v>
      </c>
      <c r="O3" t="s">
        <v>77</v>
      </c>
      <c r="P3" t="s">
        <v>78</v>
      </c>
    </row>
    <row r="4" spans="1:16" x14ac:dyDescent="0.5">
      <c r="B4" t="s">
        <v>79</v>
      </c>
      <c r="I4" s="11">
        <v>0.02</v>
      </c>
      <c r="J4">
        <f>I4*POWER(1+I4,'H2 recap'!$G$2)/(POWER(1+I4,'H2 recap'!$G$2)-1)</f>
        <v>6.1156718125290395E-2</v>
      </c>
      <c r="K4">
        <f>I4*POWER(1+I4,ANRs!$D$18)/(POWER(1+I4,ANRs!$D$18)-1)</f>
        <v>2.8767965825806339E-2</v>
      </c>
      <c r="L4">
        <f>ANRs!D$5*ANRs!D$13*1000*LCOH!K4+'H2 recap'!B$2*ANRs!D$5*LCOH!J4</f>
        <v>13678228.672538288</v>
      </c>
      <c r="M4">
        <f>ANRs!D$14*ANRs!D$5*1000+'H2 recap'!C$2*ANRs!D$5</f>
        <v>10425055.762081785</v>
      </c>
      <c r="N4">
        <f>(ANRs!$D$15+ANRs!$D$16)*ANRs!$D$5*(365*24)+'H2 recap'!$D$2*ANRs!$D$5</f>
        <v>11042890.706319703</v>
      </c>
      <c r="O4">
        <f>'H2 recap'!E$2*ANRs!D$5</f>
        <v>15359851.301115241</v>
      </c>
      <c r="P4">
        <f>(L4+M4+N4)/O4</f>
        <v>2.2881845957966989</v>
      </c>
    </row>
    <row r="5" spans="1:16" x14ac:dyDescent="0.5">
      <c r="I5" s="11">
        <v>0.04</v>
      </c>
      <c r="J5">
        <f>I5*POWER(1+I5,'H2 recap'!$G$2)/(POWER(1+I5,'H2 recap'!$G$2)-1)</f>
        <v>7.3581750328628834E-2</v>
      </c>
      <c r="K5">
        <f>I5*POWER(1+I5,ANRs!$D$18)/(POWER(1+I5,ANRs!$D$18)-1)</f>
        <v>4.42018451232832E-2</v>
      </c>
      <c r="L5">
        <f>ANRs!D$5*ANRs!D$13*1000*LCOH!K5+'H2 recap'!B$2*ANRs!D$5*LCOH!J5</f>
        <v>19962229.965789672</v>
      </c>
      <c r="M5">
        <f>ANRs!D$14*ANRs!D$5*1000+'H2 recap'!C$2*ANRs!D$5</f>
        <v>10425055.762081785</v>
      </c>
      <c r="N5">
        <f>(ANRs!$D$15+ANRs!$D$16)*ANRs!$D$5*(365*24)+'H2 recap'!$D$2*ANRs!$D$5</f>
        <v>11042890.706319703</v>
      </c>
      <c r="O5">
        <f>'H2 recap'!E$2*ANRs!D$5</f>
        <v>15359851.301115241</v>
      </c>
      <c r="P5">
        <f t="shared" ref="P5:P13" si="0">(L5+M5+N5)/O5</f>
        <v>2.6973032239695587</v>
      </c>
    </row>
    <row r="6" spans="1:16" x14ac:dyDescent="0.5">
      <c r="A6" t="s">
        <v>80</v>
      </c>
      <c r="I6" s="11">
        <v>0.06</v>
      </c>
      <c r="J6">
        <f>I6*POWER(1+I6,'H2 recap'!$G$2)/(POWER(1+I6,'H2 recap'!$G$2)-1)</f>
        <v>8.7184556976851402E-2</v>
      </c>
      <c r="K6">
        <f>I6*POWER(1+I6,ANRs!$D$18)/(POWER(1+I6,ANRs!$D$18)-1)</f>
        <v>6.1875721516601721E-2</v>
      </c>
      <c r="L6">
        <f>ANRs!D$5*ANRs!D$13*1000*LCOH!K6+'H2 recap'!B$2*ANRs!D$5*LCOH!J6</f>
        <v>27125908.265866283</v>
      </c>
      <c r="M6">
        <f>ANRs!D$14*ANRs!D$5*1000+'H2 recap'!C$2*ANRs!D$5</f>
        <v>10425055.762081785</v>
      </c>
      <c r="N6">
        <f>(ANRs!$D$15+ANRs!$D$16)*ANRs!$D$5*(365*24)+'H2 recap'!$D$2*ANRs!$D$5</f>
        <v>11042890.706319703</v>
      </c>
      <c r="O6">
        <f>'H2 recap'!E$2*ANRs!D$5</f>
        <v>15359851.301115241</v>
      </c>
      <c r="P6">
        <f t="shared" si="0"/>
        <v>3.1636930450452661</v>
      </c>
    </row>
    <row r="7" spans="1:16" x14ac:dyDescent="0.5">
      <c r="A7" t="s">
        <v>81</v>
      </c>
      <c r="B7" t="str">
        <f>ANRs!B1</f>
        <v>iPWR</v>
      </c>
      <c r="C7" t="str">
        <f>ANRs!C1</f>
        <v>HTGR</v>
      </c>
      <c r="D7" t="str">
        <f>ANRs!D1</f>
        <v>PBR-HTGR</v>
      </c>
      <c r="E7" t="str">
        <f>ANRs!E1</f>
        <v>iMSR</v>
      </c>
      <c r="F7" t="str">
        <f>ANRs!F1</f>
        <v>Micro</v>
      </c>
      <c r="I7" s="11">
        <v>0.08</v>
      </c>
      <c r="J7">
        <f>I7*POWER(1+I7,'H2 recap'!$G$2)/(POWER(1+I7,'H2 recap'!$G$2)-1)</f>
        <v>0.10185220882315059</v>
      </c>
      <c r="K7">
        <f>I7*POWER(1+I7,ANRs!$D$18)/(POWER(1+I7,ANRs!$D$18)-1)</f>
        <v>8.0797948763645655E-2</v>
      </c>
      <c r="L7">
        <f>ANRs!D$5*ANRs!D$13*1000*LCOH!K7+'H2 recap'!B$2*ANRs!D$5*LCOH!J7</f>
        <v>34800956.455252074</v>
      </c>
      <c r="M7">
        <f>ANRs!D$14*ANRs!D$5*1000+'H2 recap'!C$2*ANRs!D$5</f>
        <v>10425055.762081785</v>
      </c>
      <c r="N7">
        <f>(ANRs!$D$15+ANRs!$D$16)*ANRs!$D$5*(365*24)+'H2 recap'!$D$2*ANRs!$D$5</f>
        <v>11042890.706319703</v>
      </c>
      <c r="O7">
        <f>'H2 recap'!E$2*ANRs!D$5</f>
        <v>15359851.301115241</v>
      </c>
      <c r="P7">
        <f t="shared" si="0"/>
        <v>3.6633754989260878</v>
      </c>
    </row>
    <row r="8" spans="1:16" x14ac:dyDescent="0.5">
      <c r="A8" t="str">
        <f>'H2 recap'!A2</f>
        <v>HTSE</v>
      </c>
      <c r="B8" s="6">
        <f>((ANRs!B$13*1000*ANRs!B$5*ANRs!B$19+ANRs!B$14*1000*ANRs!B$5+(ANRs!B$15+ANRs!B$16)*ANRs!B$5*(365*24))+(('H2 recap'!$B2*'H2 recap'!$F2+'H2 recap'!$C2+'H2 recap'!$D2)*ANRs!B$5))/('H2 recap'!$E2*ANRs!B$5)</f>
        <v>3.9997371849327354</v>
      </c>
      <c r="C8" s="6">
        <f>((ANRs!C$13*1000*ANRs!C$5*ANRs!C$19+ANRs!C$14*1000*ANRs!C$5+(ANRs!C$15+ANRs!C$16)*ANRs!C$5*(365*24))+(('H2 recap'!$B2*'H2 recap'!$F2+'H2 recap'!$C2+'H2 recap'!$D2)*ANRs!C$5))/('H2 recap'!$E2*ANRs!C$5)</f>
        <v>5.2301551867185276</v>
      </c>
      <c r="D8" s="6">
        <f>((ANRs!D$13*1000*ANRs!D$5*ANRs!D$19+ANRs!D$14*1000*ANRs!D$5+(ANRs!D$15+ANRs!D$16)*ANRs!D$5*(365*24))+(('H2 recap'!$B2*'H2 recap'!$F2+'H2 recap'!$C2+'H2 recap'!$D2)*ANRs!D$5))/('H2 recap'!$E2*ANRs!D$5)</f>
        <v>3.6633754989260874</v>
      </c>
      <c r="E8" s="6">
        <f>((ANRs!E$13*1000*ANRs!E$5*ANRs!E$19+ANRs!E$14*1000*ANRs!E$5+(ANRs!E$15+ANRs!E$16)*ANRs!E$5*(365*24))+(('H2 recap'!$B2*'H2 recap'!$F2+'H2 recap'!$C2+'H2 recap'!$D2)*ANRs!E$5))/('H2 recap'!$E2*ANRs!E$5)</f>
        <v>3.3156564060769256</v>
      </c>
      <c r="F8" s="6">
        <f>((ANRs!F$13*1000*ANRs!F$5*ANRs!F$19+ANRs!F$14*1000*ANRs!F$5+(ANRs!F$15+ANRs!F$16)*ANRs!F$5*(365*24))+(('H2 recap'!$B2*'H2 recap'!$F2+'H2 recap'!$C2+'H2 recap'!$D2)*ANRs!F$5))/('H2 recap'!$E2*ANRs!F$5)</f>
        <v>7.7850141120886134</v>
      </c>
      <c r="I8" s="11">
        <v>0.1</v>
      </c>
      <c r="J8">
        <f>I8*POWER(1+I8,'H2 recap'!$G$2)/(POWER(1+I8,'H2 recap'!$G$2)-1)</f>
        <v>0.11745962477254576</v>
      </c>
      <c r="K8">
        <f>I8*POWER(1+I8,ANRs!$D$18)/(POWER(1+I8,ANRs!$D$18)-1)</f>
        <v>0.10032950922550407</v>
      </c>
      <c r="L8">
        <f>ANRs!D$5*ANRs!D$13*1000*LCOH!K8+'H2 recap'!B$2*ANRs!D$5*LCOH!J8</f>
        <v>42747331.742535859</v>
      </c>
      <c r="M8">
        <f>ANRs!D$14*ANRs!D$5*1000+'H2 recap'!C$2*ANRs!D$5</f>
        <v>10425055.762081785</v>
      </c>
      <c r="N8">
        <f>(ANRs!$D$15+ANRs!$D$16)*ANRs!$D$5*(365*24)+'H2 recap'!$D$2*ANRs!$D$5</f>
        <v>11042890.706319703</v>
      </c>
      <c r="O8">
        <f>'H2 recap'!E$2*ANRs!D$5</f>
        <v>15359851.301115241</v>
      </c>
      <c r="P8">
        <f t="shared" si="0"/>
        <v>4.1807226484200948</v>
      </c>
    </row>
    <row r="9" spans="1:16" x14ac:dyDescent="0.5">
      <c r="A9" t="str">
        <f>'H2 recap'!A3</f>
        <v>Alkaline</v>
      </c>
      <c r="B9" s="6">
        <f>((ANRs!B$13*1000*ANRs!B$5*ANRs!B$19+ANRs!B$14*1000*ANRs!B$5+(ANRs!B$15+ANRs!B$16)*ANRs!B$5*(365*24))+(('H2 recap'!$B3*'H2 recap'!$F3+'H2 recap'!$C3+'H2 recap'!$D3)*ANRs!B$5))/('H2 recap'!$E3*ANRs!B$5)</f>
        <v>4.2856135759729179</v>
      </c>
      <c r="C9" s="6">
        <f>((ANRs!C$13*1000*ANRs!C$5*ANRs!C$19+ANRs!C$14*1000*ANRs!C$5+(ANRs!C$15+ANRs!C$16)*ANRs!C$5*(365*24))+(('H2 recap'!$B3*'H2 recap'!$F3+'H2 recap'!$C3+'H2 recap'!$D3)*ANRs!C$5))/('H2 recap'!$E3*ANRs!C$5)</f>
        <v>5.5958629898418248</v>
      </c>
      <c r="D9" s="6">
        <f>((ANRs!D$13*1000*ANRs!D$5*ANRs!D$19+ANRs!D$14*1000*ANRs!D$5+(ANRs!D$15+ANRs!D$16)*ANRs!D$5*(365*24))+(('H2 recap'!$B3*'H2 recap'!$F3+'H2 recap'!$C3+'H2 recap'!$D3)*ANRs!D$5))/('H2 recap'!$E3*ANRs!D$5)</f>
        <v>3.9274282265237681</v>
      </c>
      <c r="E9" s="6">
        <f>((ANRs!E$13*1000*ANRs!E$5*ANRs!E$19+ANRs!E$14*1000*ANRs!E$5+(ANRs!E$15+ANRs!E$16)*ANRs!E$5*(365*24))+(('H2 recap'!$B3*'H2 recap'!$F3+'H2 recap'!$C3+'H2 recap'!$D3)*ANRs!E$5))/('H2 recap'!$E3*ANRs!E$5)</f>
        <v>3.5571485842108306</v>
      </c>
      <c r="F9" s="6">
        <f>((ANRs!F$13*1000*ANRs!F$5*ANRs!F$19+ANRs!F$14*1000*ANRs!F$5+(ANRs!F$15+ANRs!F$16)*ANRs!F$5*(365*24))+(('H2 recap'!$B3*'H2 recap'!$F3+'H2 recap'!$C3+'H2 recap'!$D3)*ANRs!F$5))/('H2 recap'!$E3*ANRs!F$5)</f>
        <v>8.3164850911321473</v>
      </c>
      <c r="I9" s="11">
        <v>0.12</v>
      </c>
      <c r="J9">
        <f>I9*POWER(1+I9,'H2 recap'!$G$2)/(POWER(1+I9,'H2 recap'!$G$2)-1)</f>
        <v>0.13387878003966064</v>
      </c>
      <c r="K9">
        <f>I9*POWER(1+I9,ANRs!$D$18)/(POWER(1+I9,ANRs!$D$18)-1)</f>
        <v>0.12013383940488481</v>
      </c>
      <c r="L9">
        <f>ANRs!D$5*ANRs!D$13*1000*LCOH!K9+'H2 recap'!B$2*ANRs!D$5*LCOH!J9</f>
        <v>50835392.129547752</v>
      </c>
      <c r="M9">
        <f>ANRs!D$14*ANRs!D$5*1000+'H2 recap'!C$2*ANRs!D$5</f>
        <v>10425055.762081785</v>
      </c>
      <c r="N9">
        <f>(ANRs!$D$15+ANRs!$D$16)*ANRs!$D$5*(365*24)+'H2 recap'!$D$2*ANRs!$D$5</f>
        <v>11042890.706319703</v>
      </c>
      <c r="O9">
        <f>'H2 recap'!E$2*ANRs!D$5</f>
        <v>15359851.301115241</v>
      </c>
      <c r="P9">
        <f t="shared" si="0"/>
        <v>4.7072941775614368</v>
      </c>
    </row>
    <row r="10" spans="1:16" x14ac:dyDescent="0.5">
      <c r="A10" t="str">
        <f>'H2 recap'!A4</f>
        <v>PEM</v>
      </c>
      <c r="B10" s="6">
        <f>((ANRs!B$13*1000*ANRs!B$5*ANRs!B$19+ANRs!B$14*1000*ANRs!B$5+(ANRs!B$15+ANRs!B$16)*ANRs!B$5*(365*24))+(('H2 recap'!$B4*'H2 recap'!$F4+'H2 recap'!$C4+'H2 recap'!$D4)*ANRs!B$5))/('H2 recap'!$E4*ANRs!B$5)</f>
        <v>4.753375322827309</v>
      </c>
      <c r="C10" s="6">
        <f>((ANRs!C$13*1000*ANRs!C$5*ANRs!C$19+ANRs!C$14*1000*ANRs!C$5+(ANRs!C$15+ANRs!C$16)*ANRs!C$5*(365*24))+(('H2 recap'!$B4*'H2 recap'!$F4+'H2 recap'!$C4+'H2 recap'!$D4)*ANRs!C$5))/('H2 recap'!$E4*ANRs!C$5)</f>
        <v>6.1430104364776845</v>
      </c>
      <c r="D10" s="6">
        <f>((ANRs!D$13*1000*ANRs!D$5*ANRs!D$19+ANRs!D$14*1000*ANRs!D$5+(ANRs!D$15+ANRs!D$16)*ANRs!D$5*(365*24))+(('H2 recap'!$B4*'H2 recap'!$F4+'H2 recap'!$C4+'H2 recap'!$D4)*ANRs!D$5))/('H2 recap'!$E4*ANRs!D$5)</f>
        <v>4.3734881551468288</v>
      </c>
      <c r="E10" s="6">
        <f>((ANRs!E$13*1000*ANRs!E$5*ANRs!E$19+ANRs!E$14*1000*ANRs!E$5+(ANRs!E$15+ANRs!E$16)*ANRs!E$5*(365*24))+(('H2 recap'!$B4*'H2 recap'!$F4+'H2 recap'!$C4+'H2 recap'!$D4)*ANRs!E$5))/('H2 recap'!$E4*ANRs!E$5)</f>
        <v>3.9807739227408128</v>
      </c>
      <c r="F10" s="6">
        <f>((ANRs!F$13*1000*ANRs!F$5*ANRs!F$19+ANRs!F$14*1000*ANRs!F$5+(ANRs!F$15+ANRs!F$16)*ANRs!F$5*(365*24))+(('H2 recap'!$B4*'H2 recap'!$F4+'H2 recap'!$C4+'H2 recap'!$D4)*ANRs!F$5))/('H2 recap'!$E4*ANRs!F$5)</f>
        <v>9.0284702297873629</v>
      </c>
      <c r="I10" s="11">
        <v>0.14000000000000001</v>
      </c>
      <c r="J10">
        <f>I10*POWER(1+I10,'H2 recap'!$G$2)/(POWER(1+I10,'H2 recap'!$G$2)-1)</f>
        <v>0.15098600159044354</v>
      </c>
      <c r="K10">
        <f>I10*POWER(1+I10,ANRs!$D$18)/(POWER(1+I10,ANRs!$D$18)-1)</f>
        <v>0.14005395159477491</v>
      </c>
      <c r="L10">
        <f>ANRs!D$5*ANRs!D$13*1000*LCOH!K10+'H2 recap'!B$2*ANRs!D$5*LCOH!J10</f>
        <v>59001359.229029506</v>
      </c>
      <c r="M10">
        <f>ANRs!D$14*ANRs!D$5*1000+'H2 recap'!C$2*ANRs!D$5</f>
        <v>10425055.762081785</v>
      </c>
      <c r="N10">
        <f>(ANRs!$D$15+ANRs!$D$16)*ANRs!$D$5*(365*24)+'H2 recap'!$D$2*ANRs!$D$5</f>
        <v>11042890.706319703</v>
      </c>
      <c r="O10">
        <f>'H2 recap'!E$2*ANRs!D$5</f>
        <v>15359851.301115241</v>
      </c>
      <c r="P10">
        <f t="shared" si="0"/>
        <v>5.2389378073984556</v>
      </c>
    </row>
    <row r="11" spans="1:16" x14ac:dyDescent="0.5">
      <c r="A11" t="str">
        <f>'H2 recap'!A5</f>
        <v>HTSE future</v>
      </c>
      <c r="B11" s="6">
        <f>((ANRs!B$13*1000*ANRs!B$5*ANRs!B$19+ANRs!B$14*1000*ANRs!B$5+(ANRs!B$15+ANRs!B$16)*ANRs!B$5*(365*24))+(('H2 recap'!$B5*'H2 recap'!$F5+'H2 recap'!$C5+'H2 recap'!$D5)*ANRs!B$5))/('H2 recap'!$E5*ANRs!B$5)</f>
        <v>2.9260599590265239</v>
      </c>
      <c r="C11" s="6">
        <f>((ANRs!C$13*1000*ANRs!C$5*ANRs!C$19+ANRs!C$14*1000*ANRs!C$5+(ANRs!C$15+ANRs!C$16)*ANRs!C$5*(365*24))+(('H2 recap'!$B5*'H2 recap'!$F5+'H2 recap'!$C5+'H2 recap'!$D5)*ANRs!C$5))/('H2 recap'!$E5*ANRs!C$5)</f>
        <v>3.8864778723139555</v>
      </c>
      <c r="D11" s="6">
        <f>((ANRs!D$13*1000*ANRs!D$5*ANRs!D$19+ANRs!D$14*1000*ANRs!D$5+(ANRs!D$15+ANRs!D$16)*ANRs!D$5*(365*24))+(('H2 recap'!$B5*'H2 recap'!$F5+'H2 recap'!$C5+'H2 recap'!$D5)*ANRs!D$5))/('H2 recap'!$E5*ANRs!D$5)</f>
        <v>2.6635087056187512</v>
      </c>
      <c r="E11" s="6">
        <f>((ANRs!E$13*1000*ANRs!E$5*ANRs!E$19+ANRs!E$14*1000*ANRs!E$5+(ANRs!E$15+ANRs!E$16)*ANRs!E$5*(365*24))+(('H2 recap'!$B5*'H2 recap'!$F5+'H2 recap'!$C5+'H2 recap'!$D5)*ANRs!E$5))/('H2 recap'!$E5*ANRs!E$5)</f>
        <v>2.3920922885314706</v>
      </c>
      <c r="F11" s="6">
        <f>((ANRs!F$13*1000*ANRs!F$5*ANRs!F$19+ANRs!F$14*1000*ANRs!F$5+(ANRs!F$15+ANRs!F$16)*ANRs!F$5*(365*24))+(('H2 recap'!$B5*'H2 recap'!$F5+'H2 recap'!$C5+'H2 recap'!$D5)*ANRs!F$5))/('H2 recap'!$E5*ANRs!F$5)</f>
        <v>5.8807044475806016</v>
      </c>
      <c r="I11" s="11">
        <v>0.16</v>
      </c>
      <c r="J11">
        <f>I11*POWER(1+I11,'H2 recap'!$G$2)/(POWER(1+I11,'H2 recap'!$G$2)-1)</f>
        <v>0.168667032383262</v>
      </c>
      <c r="K11">
        <f>I11*POWER(1+I11,ANRs!$D$18)/(POWER(1+I11,ANRs!$D$18)-1)</f>
        <v>0.16002171198642429</v>
      </c>
      <c r="L11">
        <f>ANRs!D$5*ANRs!D$13*1000*LCOH!K11+'H2 recap'!B$2*ANRs!D$5*LCOH!J11</f>
        <v>67214419.515942842</v>
      </c>
      <c r="M11">
        <f>ANRs!D$14*ANRs!D$5*1000+'H2 recap'!C$2*ANRs!D$5</f>
        <v>10425055.762081785</v>
      </c>
      <c r="N11">
        <f>(ANRs!$D$15+ANRs!$D$16)*ANRs!$D$5*(365*24)+'H2 recap'!$D$2*ANRs!$D$5</f>
        <v>11042890.706319703</v>
      </c>
      <c r="O11">
        <f>'H2 recap'!E$2*ANRs!D$5</f>
        <v>15359851.301115241</v>
      </c>
      <c r="P11">
        <f t="shared" si="0"/>
        <v>5.7736474296405023</v>
      </c>
    </row>
    <row r="12" spans="1:16" x14ac:dyDescent="0.5">
      <c r="I12" s="11">
        <v>0.18</v>
      </c>
      <c r="J12">
        <f>I12*POWER(1+I12,'H2 recap'!$G$2)/(POWER(1+I12,'H2 recap'!$G$2)-1)</f>
        <v>0.18681998120713694</v>
      </c>
      <c r="K12">
        <f>I12*POWER(1+I12,ANRs!$D$18)/(POWER(1+I12,ANRs!$D$18)-1)</f>
        <v>0.18000875735984559</v>
      </c>
      <c r="L12">
        <f>ANRs!D$5*ANRs!D$13*1000*LCOH!K12+'H2 recap'!B$2*ANRs!D$5*LCOH!J12</f>
        <v>75458935.9587439</v>
      </c>
      <c r="M12">
        <f>ANRs!D$14*ANRs!D$5*1000+'H2 recap'!C$2*ANRs!D$5</f>
        <v>10425055.762081785</v>
      </c>
      <c r="N12">
        <f>(ANRs!$D$15+ANRs!$D$16)*ANRs!$D$5*(365*24)+'H2 recap'!$D$2*ANRs!$D$5</f>
        <v>11042890.706319703</v>
      </c>
      <c r="O12">
        <f>'H2 recap'!E$2*ANRs!D$5</f>
        <v>15359851.301115241</v>
      </c>
      <c r="P12">
        <f t="shared" si="0"/>
        <v>6.3104049985241568</v>
      </c>
    </row>
    <row r="13" spans="1:16" x14ac:dyDescent="0.5">
      <c r="A13" t="s">
        <v>82</v>
      </c>
      <c r="B13" t="s">
        <v>83</v>
      </c>
      <c r="C13" t="s">
        <v>84</v>
      </c>
      <c r="I13" s="11">
        <v>0.2</v>
      </c>
      <c r="J13">
        <f>I13*POWER(1+I13,'H2 recap'!$G$2)/(POWER(1+I13,'H2 recap'!$G$2)-1)</f>
        <v>0.20535653069304277</v>
      </c>
      <c r="K13">
        <f>I13*POWER(1+I13,ANRs!$D$18)/(POWER(1+I13,ANRs!$D$18)-1)</f>
        <v>0.20000354946534485</v>
      </c>
      <c r="L13">
        <f>ANRs!D$5*ANRs!D$13*1000*LCOH!K13+'H2 recap'!B$2*ANRs!D$5*LCOH!J13</f>
        <v>83726123.414007381</v>
      </c>
      <c r="M13">
        <f>ANRs!D$14*ANRs!D$5*1000+'H2 recap'!C$2*ANRs!D$5</f>
        <v>10425055.762081785</v>
      </c>
      <c r="N13">
        <f>(ANRs!$D$15+ANRs!$D$16)*ANRs!$D$5*(365*24)+'H2 recap'!$D$2*ANRs!$D$5</f>
        <v>11042890.706319703</v>
      </c>
      <c r="O13">
        <f>'H2 recap'!E$2*ANRs!D$5</f>
        <v>15359851.301115241</v>
      </c>
      <c r="P13">
        <f t="shared" si="0"/>
        <v>6.8486385590706202</v>
      </c>
    </row>
    <row r="14" spans="1:16" x14ac:dyDescent="0.5">
      <c r="A14" t="s">
        <v>85</v>
      </c>
      <c r="B14">
        <f>ANRs!D13*ANRs!D5*1000*ANRs!D19+'H2 recap'!B2*ANRs!D5*'H2 recap'!F2</f>
        <v>34800956.455252074</v>
      </c>
      <c r="C14">
        <f>ANRs!E13*ANRs!E5*1000*ANRs!E19+'H2 recap'!B4*'H2 recap'!F4*ANRs!E5</f>
        <v>66209590.928097278</v>
      </c>
    </row>
    <row r="15" spans="1:16" x14ac:dyDescent="0.5">
      <c r="A15" t="s">
        <v>75</v>
      </c>
      <c r="B15">
        <f>ANRs!D14*ANRs!D5*1000+'H2 recap'!C2*ANRs!D5</f>
        <v>10425055.762081785</v>
      </c>
      <c r="C15">
        <f>ANRs!E14*ANRs!E5*1000+'H2 recap'!C4*ANRs!E5</f>
        <v>14501850</v>
      </c>
    </row>
    <row r="16" spans="1:16" x14ac:dyDescent="0.5">
      <c r="A16" t="s">
        <v>76</v>
      </c>
      <c r="B16">
        <f>(ANRs!D15+ANRs!D16)*ANRs!D5*(365*24)+'H2 recap'!D2*ANRs!D5</f>
        <v>11042890.706319703</v>
      </c>
      <c r="C16">
        <f>(ANRs!E15+ANRs!E16)*ANRs!E5*(365*24)+'H2 recap'!D4*ANRs!E5</f>
        <v>14707710</v>
      </c>
    </row>
    <row r="17" spans="1:6" x14ac:dyDescent="0.5">
      <c r="A17" t="s">
        <v>86</v>
      </c>
      <c r="B17">
        <f>'H2 recap'!E2*ANRs!D5</f>
        <v>15359851.301115241</v>
      </c>
      <c r="C17">
        <f>'H2 recap'!E4*ANRs!E5</f>
        <v>23970000</v>
      </c>
    </row>
    <row r="18" spans="1:6" x14ac:dyDescent="0.5">
      <c r="A18" t="s">
        <v>78</v>
      </c>
      <c r="B18">
        <f>(B14+B15+B16)/B17</f>
        <v>3.6633754989260878</v>
      </c>
      <c r="C18">
        <f>(C14+C15+C16)/C17</f>
        <v>3.9807739227408128</v>
      </c>
    </row>
    <row r="20" spans="1:6" x14ac:dyDescent="0.5">
      <c r="A20" t="s">
        <v>87</v>
      </c>
    </row>
    <row r="21" spans="1:6" x14ac:dyDescent="0.5">
      <c r="A21" t="s">
        <v>81</v>
      </c>
      <c r="B21" t="str">
        <f>'ANRs NOAK'!B1</f>
        <v>iPWR</v>
      </c>
      <c r="C21" t="str">
        <f>'ANRs NOAK'!C1</f>
        <v>HTGR</v>
      </c>
      <c r="D21" t="str">
        <f>'ANRs NOAK'!D1</f>
        <v>PBR-HTGR</v>
      </c>
      <c r="E21" t="str">
        <f>'ANRs NOAK'!E1</f>
        <v>iMSR</v>
      </c>
      <c r="F21" t="str">
        <f>'ANRs NOAK'!F1</f>
        <v>Micro</v>
      </c>
    </row>
    <row r="22" spans="1:6" x14ac:dyDescent="0.5">
      <c r="A22" t="str">
        <f>'H2 recap'!A2</f>
        <v>HTSE</v>
      </c>
      <c r="B22" s="6">
        <f>(('ANRs NOAK'!B$13*1000*'ANRs NOAK'!B$5*'ANRs NOAK'!B$19+'ANRs NOAK'!B$14*1000*'ANRs NOAK'!B$5+('ANRs NOAK'!B$15+'ANRs NOAK'!B$16)*'ANRs NOAK'!B$5*(365*24))+(('H2 recap'!$B2*'H2 recap'!$F2+'H2 recap'!$C2+'H2 recap'!$D2)*'ANRs NOAK'!B$5))/('H2 recap'!$E2*'ANRs NOAK'!B$5)</f>
        <v>3.4407109650378396</v>
      </c>
      <c r="C22" s="6">
        <f>(('ANRs NOAK'!C$13*1000*'ANRs NOAK'!C$5*'ANRs NOAK'!C$19+'ANRs NOAK'!C$14*1000*'ANRs NOAK'!C$5+('ANRs NOAK'!C$15+'ANRs NOAK'!C$16)*'ANRs NOAK'!C$5*(365*24))+(('H2 recap'!$B2*'H2 recap'!$F2+'H2 recap'!$C2+'H2 recap'!$D2)*'ANRs NOAK'!C$5))/('H2 recap'!$E2*'ANRs NOAK'!C$5)</f>
        <v>4.472667083879915</v>
      </c>
      <c r="D22" s="6">
        <f>(('ANRs NOAK'!D$13*1000*'ANRs NOAK'!D$5*'ANRs NOAK'!D$19+'ANRs NOAK'!D$14*1000*'ANRs NOAK'!D$5+('ANRs NOAK'!D$15+'ANRs NOAK'!D$16)*'ANRs NOAK'!D$5*(365*24))+(('H2 recap'!$B2*'H2 recap'!$F2+'H2 recap'!$C2+'H2 recap'!$D2)*'ANRs NOAK'!D$5))/('H2 recap'!$E2*'ANRs NOAK'!D$5)</f>
        <v>3.2019137466768046</v>
      </c>
      <c r="E22" s="6">
        <f>(('ANRs NOAK'!E$13*1000*'ANRs NOAK'!E$5*'ANRs NOAK'!E$19+'ANRs NOAK'!E$14*1000*'ANRs NOAK'!E$5+('ANRs NOAK'!E$15+'ANRs NOAK'!E$16)*'ANRs NOAK'!E$5*(365*24))+(('H2 recap'!$B2*'H2 recap'!$F2+'H2 recap'!$C2+'H2 recap'!$D2)*'ANRs NOAK'!E$5))/('H2 recap'!$E2*'ANRs NOAK'!E$5)</f>
        <v>2.9024718955818902</v>
      </c>
      <c r="F22" s="6">
        <f>(('ANRs NOAK'!F$13*1000*'ANRs NOAK'!F$5*'ANRs NOAK'!F$19+'ANRs NOAK'!F$14*1000*'ANRs NOAK'!F$5+('ANRs NOAK'!F$15+'ANRs NOAK'!F$16)*'ANRs NOAK'!F$5*(365*24))+(('H2 recap'!$B2*'H2 recap'!$F2+'H2 recap'!$C2+'H2 recap'!$D2)*'ANRs NOAK'!F$5))/('H2 recap'!$E2*'ANRs NOAK'!F$5)</f>
        <v>6.3970096991956451</v>
      </c>
    </row>
    <row r="23" spans="1:6" x14ac:dyDescent="0.5">
      <c r="A23" t="str">
        <f>'H2 recap'!A3</f>
        <v>Alkaline</v>
      </c>
      <c r="B23" s="6">
        <f>(('ANRs NOAK'!B$13*1000*'ANRs NOAK'!B$5*'ANRs NOAK'!B$19+'ANRs NOAK'!B$14*1000*'ANRs NOAK'!B$5+('ANRs NOAK'!B$15+'ANRs NOAK'!B$16)*'ANRs NOAK'!B$5*(365*24))+(('H2 recap'!$B3*'H2 recap'!$F3+'H2 recap'!$C3+'H2 recap'!$D3)*'ANRs NOAK'!B$5))/('H2 recap'!$E3*'ANRs NOAK'!B$5)</f>
        <v>3.6903168752650592</v>
      </c>
      <c r="C23" s="6">
        <f>(('ANRs NOAK'!C$13*1000*'ANRs NOAK'!C$5*'ANRs NOAK'!C$19+'ANRs NOAK'!C$14*1000*'ANRs NOAK'!C$5+('ANRs NOAK'!C$15+'ANRs NOAK'!C$16)*'ANRs NOAK'!C$5*(365*24))+(('H2 recap'!$B3*'H2 recap'!$F3+'H2 recap'!$C3+'H2 recap'!$D3)*'ANRs NOAK'!C$5))/('H2 recap'!$E3*'ANRs NOAK'!C$5)</f>
        <v>4.7892278940317174</v>
      </c>
      <c r="D23" s="6">
        <f>(('ANRs NOAK'!D$13*1000*'ANRs NOAK'!D$5*'ANRs NOAK'!D$19+'ANRs NOAK'!D$14*1000*'ANRs NOAK'!D$5+('ANRs NOAK'!D$15+'ANRs NOAK'!D$16)*'ANRs NOAK'!D$5*(365*24))+(('H2 recap'!$B3*'H2 recap'!$F3+'H2 recap'!$C3+'H2 recap'!$D3)*'ANRs NOAK'!D$5))/('H2 recap'!$E3*'ANRs NOAK'!D$5)</f>
        <v>3.4360261261562512</v>
      </c>
      <c r="E23" s="6">
        <f>(('ANRs NOAK'!E$13*1000*'ANRs NOAK'!E$5*'ANRs NOAK'!E$19+'ANRs NOAK'!E$14*1000*'ANRs NOAK'!E$5+('ANRs NOAK'!E$15+'ANRs NOAK'!E$16)*'ANRs NOAK'!E$5*(365*24))+(('H2 recap'!$B3*'H2 recap'!$F3+'H2 recap'!$C3+'H2 recap'!$D3)*'ANRs NOAK'!E$5))/('H2 recap'!$E3*'ANRs NOAK'!E$5)</f>
        <v>3.1171560272829444</v>
      </c>
      <c r="F23" s="6">
        <f>(('ANRs NOAK'!F$13*1000*'ANRs NOAK'!F$5*'ANRs NOAK'!F$19+'ANRs NOAK'!F$14*1000*'ANRs NOAK'!F$5+('ANRs NOAK'!F$15+'ANRs NOAK'!F$16)*'ANRs NOAK'!F$5*(365*24))+(('H2 recap'!$B3*'H2 recap'!$F3+'H2 recap'!$C3+'H2 recap'!$D3)*'ANRs NOAK'!F$5))/('H2 recap'!$E3*'ANRs NOAK'!F$5)</f>
        <v>6.8384248174682707</v>
      </c>
    </row>
    <row r="24" spans="1:6" x14ac:dyDescent="0.5">
      <c r="A24" t="str">
        <f>'H2 recap'!A4</f>
        <v>PEM</v>
      </c>
      <c r="B24" s="6">
        <f>(('ANRs NOAK'!B$13*1000*'ANRs NOAK'!B$5*'ANRs NOAK'!B$19+'ANRs NOAK'!B$14*1000*'ANRs NOAK'!B$5+('ANRs NOAK'!B$15+'ANRs NOAK'!B$16)*'ANRs NOAK'!B$5*(365*24))+(('H2 recap'!$B4*'H2 recap'!$F4+'H2 recap'!$C4+'H2 recap'!$D4)*'ANRs NOAK'!B$5))/('H2 recap'!$E4*'ANRs NOAK'!B$5)</f>
        <v>4.1220106455471504</v>
      </c>
      <c r="C24" s="6">
        <f>(('ANRs NOAK'!C$13*1000*'ANRs NOAK'!C$5*'ANRs NOAK'!C$19+'ANRs NOAK'!C$14*1000*'ANRs NOAK'!C$5+('ANRs NOAK'!C$15+'ANRs NOAK'!C$16)*'ANRs NOAK'!C$5*(365*24))+(('H2 recap'!$B4*'H2 recap'!$F4+'H2 recap'!$C4+'H2 recap'!$D4)*'ANRs NOAK'!C$5))/('H2 recap'!$E4*'ANRs NOAK'!C$5)</f>
        <v>5.287502743686141</v>
      </c>
      <c r="D24" s="6">
        <f>(('ANRs NOAK'!D$13*1000*'ANRs NOAK'!D$5*'ANRs NOAK'!D$19+'ANRs NOAK'!D$14*1000*'ANRs NOAK'!D$5+('ANRs NOAK'!D$15+'ANRs NOAK'!D$16)*'ANRs NOAK'!D$5*(365*24))+(('H2 recap'!$B4*'H2 recap'!$F4+'H2 recap'!$C4+'H2 recap'!$D4)*'ANRs NOAK'!D$5))/('H2 recap'!$E4*'ANRs NOAK'!D$5)</f>
        <v>3.8523128686982209</v>
      </c>
      <c r="E24" s="6">
        <f>(('ANRs NOAK'!E$13*1000*'ANRs NOAK'!E$5*'ANRs NOAK'!E$19+'ANRs NOAK'!E$14*1000*'ANRs NOAK'!E$5+('ANRs NOAK'!E$15+'ANRs NOAK'!E$16)*'ANRs NOAK'!E$5*(365*24))+(('H2 recap'!$B4*'H2 recap'!$F4+'H2 recap'!$C4+'H2 recap'!$D4)*'ANRs NOAK'!E$5))/('H2 recap'!$E4*'ANRs NOAK'!E$5)</f>
        <v>3.5141229932461195</v>
      </c>
      <c r="F24" s="6">
        <f>(('ANRs NOAK'!F$13*1000*'ANRs NOAK'!F$5*'ANRs NOAK'!F$19+'ANRs NOAK'!F$14*1000*'ANRs NOAK'!F$5+('ANRs NOAK'!F$15+'ANRs NOAK'!F$16)*'ANRs NOAK'!F$5*(365*24))+(('H2 recap'!$B4*'H2 recap'!$F4+'H2 recap'!$C4+'H2 recap'!$D4)*'ANRs NOAK'!F$5))/('H2 recap'!$E4*'ANRs NOAK'!F$5)</f>
        <v>7.4608568924838501</v>
      </c>
    </row>
    <row r="25" spans="1:6" x14ac:dyDescent="0.5">
      <c r="A25" t="str">
        <f>'H2 recap'!A5</f>
        <v>HTSE future</v>
      </c>
      <c r="B25" s="6">
        <f>(('ANRs NOAK'!B$13*1000*'ANRs NOAK'!B$5*'ANRs NOAK'!B$19+'ANRs NOAK'!B$14*1000*'ANRs NOAK'!B$5+('ANRs NOAK'!B$15+'ANRs NOAK'!B$16)*'ANRs NOAK'!B$5*(365*24))+(('H2 recap'!$B5*'H2 recap'!$F5+'H2 recap'!$C5+'H2 recap'!$D5)*'ANRs NOAK'!B$5))/('H2 recap'!$E5*'ANRs NOAK'!B$5)</f>
        <v>2.4897051634975433</v>
      </c>
      <c r="C25" s="6">
        <f>(('ANRs NOAK'!C$13*1000*'ANRs NOAK'!C$5*'ANRs NOAK'!C$19+'ANRs NOAK'!C$14*1000*'ANRs NOAK'!C$5+('ANRs NOAK'!C$15+'ANRs NOAK'!C$16)*'ANRs NOAK'!C$5*(365*24))+(('H2 recap'!$B5*'H2 recap'!$F5+'H2 recap'!$C5+'H2 recap'!$D5)*'ANRs NOAK'!C$5))/('H2 recap'!$E5*'ANRs NOAK'!C$5)</f>
        <v>3.2952112117055794</v>
      </c>
      <c r="D25" s="6">
        <f>(('ANRs NOAK'!D$13*1000*'ANRs NOAK'!D$5*'ANRs NOAK'!D$19+'ANRs NOAK'!D$14*1000*'ANRs NOAK'!D$5+('ANRs NOAK'!D$15+'ANRs NOAK'!D$16)*'ANRs NOAK'!D$5*(365*24))+(('H2 recap'!$B5*'H2 recap'!$F5+'H2 recap'!$C5+'H2 recap'!$D5)*'ANRs NOAK'!D$5))/('H2 recap'!$E5*'ANRs NOAK'!D$5)</f>
        <v>2.3033090559761287</v>
      </c>
      <c r="E25" s="6">
        <f>(('ANRs NOAK'!E$13*1000*'ANRs NOAK'!E$5*'ANRs NOAK'!E$19+'ANRs NOAK'!E$14*1000*'ANRs NOAK'!E$5+('ANRs NOAK'!E$15+'ANRs NOAK'!E$16)*'ANRs NOAK'!E$5*(365*24))+(('H2 recap'!$B5*'H2 recap'!$F5+'H2 recap'!$C5+'H2 recap'!$D5)*'ANRs NOAK'!E$5))/('H2 recap'!$E5*'ANRs NOAK'!E$5)</f>
        <v>2.0695760340582887</v>
      </c>
      <c r="F25" s="6">
        <f>(('ANRs NOAK'!F$13*1000*'ANRs NOAK'!F$5*'ANRs NOAK'!F$19+'ANRs NOAK'!F$14*1000*'ANRs NOAK'!F$5+('ANRs NOAK'!F$15+'ANRs NOAK'!F$16)*'ANRs NOAK'!F$5*(365*24))+(('H2 recap'!$B5*'H2 recap'!$F5+'H2 recap'!$C5+'H2 recap'!$D5)*'ANRs NOAK'!F$5))/('H2 recap'!$E5*'ANRs NOAK'!F$5)</f>
        <v>4.7972805217849421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ANRs</vt:lpstr>
      <vt:lpstr>ANRs NOAK</vt:lpstr>
      <vt:lpstr>LCOe</vt:lpstr>
      <vt:lpstr>HTSE</vt:lpstr>
      <vt:lpstr>HTSE future</vt:lpstr>
      <vt:lpstr>Alkaline</vt:lpstr>
      <vt:lpstr>PEM</vt:lpstr>
      <vt:lpstr>H2 recap</vt:lpstr>
      <vt:lpstr>LCOH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Garrouste, Marisol</cp:lastModifiedBy>
  <cp:revision/>
  <dcterms:created xsi:type="dcterms:W3CDTF">2023-09-08T11:53:55Z</dcterms:created>
  <dcterms:modified xsi:type="dcterms:W3CDTF">2023-10-30T16:15:02Z</dcterms:modified>
  <cp:category/>
  <cp:contentStatus/>
</cp:coreProperties>
</file>