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arrou\Projects\Blue-to-Zero-H2\Python\Data\ANR-H2\"/>
    </mc:Choice>
  </mc:AlternateContent>
  <xr:revisionPtr revIDLastSave="0" documentId="13_ncr:1_{065EDE85-85C3-4018-AF47-4C2B7478A143}" xr6:coauthVersionLast="47" xr6:coauthVersionMax="47" xr10:uidLastSave="{00000000-0000-0000-0000-000000000000}"/>
  <bookViews>
    <workbookView xWindow="-98" yWindow="-98" windowWidth="20715" windowHeight="13276" activeTab="1" xr2:uid="{1D72018E-3503-9A41-B4B9-68ACB606B450}"/>
  </bookViews>
  <sheets>
    <sheet name="HTSE_efficiency" sheetId="2" r:id="rId1"/>
    <sheet name="Summar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3" l="1"/>
  <c r="F14" i="3"/>
  <c r="F15" i="3"/>
  <c r="F16" i="3"/>
  <c r="F12" i="3"/>
  <c r="E13" i="3"/>
  <c r="E14" i="3"/>
  <c r="E15" i="3"/>
  <c r="E16" i="3"/>
  <c r="E12" i="3"/>
  <c r="D13" i="3"/>
  <c r="D14" i="3"/>
  <c r="D15" i="3"/>
  <c r="D16" i="3"/>
  <c r="D12" i="3"/>
  <c r="F3" i="3" l="1"/>
  <c r="F4" i="3"/>
  <c r="F5" i="3"/>
  <c r="F6" i="3"/>
  <c r="E3" i="3"/>
  <c r="E4" i="3"/>
  <c r="E5" i="3"/>
  <c r="E6" i="3"/>
  <c r="E2" i="3"/>
  <c r="D3" i="3"/>
  <c r="D4" i="3"/>
  <c r="D5" i="3"/>
  <c r="D6" i="3"/>
  <c r="D2" i="3"/>
  <c r="AA3" i="3"/>
  <c r="AA4" i="3"/>
  <c r="AA5" i="3"/>
  <c r="AA6" i="3"/>
  <c r="AA2" i="3"/>
  <c r="C2" i="3" s="1"/>
  <c r="Z2" i="3"/>
  <c r="Z4" i="3"/>
  <c r="Z5" i="3"/>
  <c r="Z6" i="3"/>
  <c r="Z3" i="3"/>
  <c r="B21" i="3"/>
  <c r="B22" i="3" s="1"/>
  <c r="R2" i="3"/>
  <c r="F2" i="3" s="1"/>
  <c r="F2" i="2"/>
  <c r="G4" i="2"/>
  <c r="E2" i="2"/>
  <c r="E3" i="2"/>
  <c r="E4" i="2"/>
  <c r="E5" i="2"/>
  <c r="G3" i="2"/>
  <c r="G5" i="2"/>
  <c r="G2" i="2"/>
  <c r="F3" i="2"/>
  <c r="F4" i="2"/>
  <c r="F5" i="2"/>
  <c r="W3" i="3"/>
  <c r="V3" i="3" s="1"/>
  <c r="AG3" i="3" s="1"/>
  <c r="W4" i="3"/>
  <c r="V4" i="3" s="1"/>
  <c r="AG4" i="3" s="1"/>
  <c r="W5" i="3"/>
  <c r="V5" i="3" s="1"/>
  <c r="AG5" i="3" s="1"/>
  <c r="W6" i="3"/>
  <c r="V6" i="3" s="1"/>
  <c r="AG6" i="3" s="1"/>
  <c r="W2" i="3"/>
  <c r="V2" i="3" s="1"/>
  <c r="AG2" i="3" s="1"/>
  <c r="C6" i="3" l="1"/>
  <c r="C4" i="3"/>
  <c r="C5" i="3"/>
  <c r="C3" i="3"/>
  <c r="B14" i="2"/>
  <c r="B17" i="2"/>
  <c r="B18" i="2"/>
</calcChain>
</file>

<file path=xl/sharedStrings.xml><?xml version="1.0" encoding="utf-8"?>
<sst xmlns="http://schemas.openxmlformats.org/spreadsheetml/2006/main" count="105" uniqueCount="82">
  <si>
    <t>HTSE</t>
  </si>
  <si>
    <t>kg/s</t>
  </si>
  <si>
    <t>kg/h</t>
  </si>
  <si>
    <t>tpd</t>
  </si>
  <si>
    <t>Module capacity</t>
  </si>
  <si>
    <t>kWh/kg</t>
  </si>
  <si>
    <t>MJ/kWh</t>
  </si>
  <si>
    <t>MJ/kg</t>
  </si>
  <si>
    <t>HHV H2</t>
  </si>
  <si>
    <t>Boardman 2017, Figures of Merit</t>
  </si>
  <si>
    <t>Source</t>
  </si>
  <si>
    <t>MSR at 700C outlet temp in Max data, point from Boardman not included</t>
  </si>
  <si>
    <t xml:space="preserve">Note </t>
  </si>
  <si>
    <t>HTGR</t>
  </si>
  <si>
    <t>MSR</t>
  </si>
  <si>
    <t>SFR</t>
  </si>
  <si>
    <t>PWR</t>
  </si>
  <si>
    <t>HTSE HHV efficiency</t>
  </si>
  <si>
    <t>HTSE heat (MWt/kgH2)</t>
  </si>
  <si>
    <t>HTSE electricity (MWe/kgH2)</t>
  </si>
  <si>
    <t>Reactor type</t>
  </si>
  <si>
    <t>Technology</t>
  </si>
  <si>
    <t>H2Cap (MWe)</t>
  </si>
  <si>
    <t>H2Cap (kgh2/h)</t>
  </si>
  <si>
    <t>H2ElecCons (MWhe/kgh2)</t>
  </si>
  <si>
    <t>H2HeatCons (MWht/kgh2)</t>
  </si>
  <si>
    <t>ANR</t>
  </si>
  <si>
    <t>iPWR</t>
  </si>
  <si>
    <t>PBR-HTGR</t>
  </si>
  <si>
    <t>iMSR</t>
  </si>
  <si>
    <t>Micro</t>
  </si>
  <si>
    <t>Capacity of module (kg/h)</t>
  </si>
  <si>
    <t>Heat consumption (MWht/kgh2)</t>
  </si>
  <si>
    <t>Electrical consumption (MWhe/kgh2)</t>
  </si>
  <si>
    <t>Outlet temp</t>
  </si>
  <si>
    <t>Attribute</t>
  </si>
  <si>
    <t>Water</t>
  </si>
  <si>
    <t>Sodium</t>
  </si>
  <si>
    <t>Fluoride Salt</t>
  </si>
  <si>
    <t>Helium-cooled</t>
  </si>
  <si>
    <t>Corr. To Max designs</t>
  </si>
  <si>
    <t>iMSR, micro</t>
  </si>
  <si>
    <t>PBR-HTGR, HTGR</t>
  </si>
  <si>
    <t>ANR Th Eff</t>
  </si>
  <si>
    <t>H2 CAPEX ($/MWe)</t>
  </si>
  <si>
    <t>H2 FOM ($/MWe-year)</t>
  </si>
  <si>
    <t>H2 VOM ($/MWhe)</t>
  </si>
  <si>
    <t>H2Life (y)</t>
  </si>
  <si>
    <t>ANR Carbon intensity (kgCO2eq/MWhe)</t>
  </si>
  <si>
    <t>H2 Carbon intensity (kgCO2eq/kgH2)</t>
  </si>
  <si>
    <t>Outlet Temp (C)</t>
  </si>
  <si>
    <t>Max Modules</t>
  </si>
  <si>
    <t>ANR Cap (MWt)</t>
  </si>
  <si>
    <t>ANR Cap (MWe)</t>
  </si>
  <si>
    <t>ANR MSL (MWe)</t>
  </si>
  <si>
    <t>ANR Thermal transfer efficiency</t>
  </si>
  <si>
    <t>ANR MDT (h)</t>
  </si>
  <si>
    <t>ANR Ramp Rate (fraction of capacity/h)</t>
  </si>
  <si>
    <t>ANR Ramp Rate (MW/h)</t>
  </si>
  <si>
    <t>ANR CAPEX $/MWe</t>
  </si>
  <si>
    <t>ANR FOPEX $/MWe-y</t>
  </si>
  <si>
    <t>ANR VOM in $/MWh-e</t>
  </si>
  <si>
    <t>ANR Startupfixedcost in $</t>
  </si>
  <si>
    <t>ANR Life (y)</t>
  </si>
  <si>
    <t>VOM(2012$/MWh)</t>
  </si>
  <si>
    <t>FOM(2012$/MW/y)</t>
  </si>
  <si>
    <t>CAPEX (2012$/MW)</t>
  </si>
  <si>
    <t>Hydrogen HHV</t>
  </si>
  <si>
    <t>Btu/MJ</t>
  </si>
  <si>
    <t>Conversion MJ to Btu</t>
  </si>
  <si>
    <t>Btu/kg</t>
  </si>
  <si>
    <t>H2TotalElecCons (MWhe/kgh2)</t>
  </si>
  <si>
    <t>Btu content electricity</t>
  </si>
  <si>
    <t>H2 Total Thermal Consumption (MWth/kgH2)</t>
  </si>
  <si>
    <t>ANR-H2 Heat Rate (Btu/kWh)</t>
  </si>
  <si>
    <t>Btu/kWhe</t>
  </si>
  <si>
    <t>Above USD(2020), below USD(2012)</t>
  </si>
  <si>
    <t>Conversion 2020 to 2012$</t>
  </si>
  <si>
    <t>2012$/2020$</t>
  </si>
  <si>
    <t>CAPEX (2020$/MWe)</t>
  </si>
  <si>
    <t>FOM(2020$/MW/y)</t>
  </si>
  <si>
    <t>VOM(2020$/MWh)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</si>
</sst>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4" fontId="1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4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4" fontId="0" fillId="0" borderId="0" xfId="0" applyNumberFormat="1"/>
    <xf numFmtId="3" fontId="0" fillId="0" borderId="0" xfId="0" applyNumberFormat="1"/>
    <xf numFmtId="4" fontId="3" fillId="0" borderId="0" xfId="0" applyNumberFormat="1" applyFont="1" applyAlignment="1">
      <alignment horizontal="left" wrapText="1"/>
    </xf>
    <xf numFmtId="3" fontId="3" fillId="0" borderId="0" xfId="0" applyNumberFormat="1" applyFont="1" applyAlignment="1">
      <alignment horizontal="left" wrapText="1"/>
    </xf>
    <xf numFmtId="3" fontId="4" fillId="0" borderId="0" xfId="0" applyNumberFormat="1" applyFont="1" applyAlignment="1">
      <alignment horizontal="left" wrapText="1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3F9A-E8F7-3140-B3DD-332F7878D08B}">
  <dimension ref="A1:J18"/>
  <sheetViews>
    <sheetView workbookViewId="0">
      <selection activeCell="C5" sqref="C5"/>
    </sheetView>
  </sheetViews>
  <sheetFormatPr defaultColWidth="11" defaultRowHeight="15.75" x14ac:dyDescent="0.5"/>
  <cols>
    <col min="1" max="1" width="11.5" bestFit="1" customWidth="1"/>
    <col min="2" max="2" width="26.1875" customWidth="1"/>
    <col min="3" max="3" width="20.5" bestFit="1" customWidth="1"/>
    <col min="4" max="4" width="17.8125" bestFit="1" customWidth="1"/>
    <col min="5" max="5" width="19.3125" bestFit="1" customWidth="1"/>
    <col min="6" max="6" width="28.1875" bestFit="1" customWidth="1"/>
    <col min="7" max="7" width="32.3125" bestFit="1" customWidth="1"/>
  </cols>
  <sheetData>
    <row r="1" spans="1:10" x14ac:dyDescent="0.5">
      <c r="A1" t="s">
        <v>20</v>
      </c>
      <c r="B1" t="s">
        <v>19</v>
      </c>
      <c r="C1" t="s">
        <v>18</v>
      </c>
      <c r="D1" t="s">
        <v>17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40</v>
      </c>
    </row>
    <row r="2" spans="1:10" x14ac:dyDescent="0.5">
      <c r="A2" t="s">
        <v>16</v>
      </c>
      <c r="B2">
        <v>127</v>
      </c>
      <c r="C2">
        <v>34</v>
      </c>
      <c r="D2">
        <v>0.32</v>
      </c>
      <c r="E2">
        <f>100000/24</f>
        <v>4166.666666666667</v>
      </c>
      <c r="F2">
        <f>C2/E2</f>
        <v>8.1599999999999989E-3</v>
      </c>
      <c r="G2">
        <f>B2/E2</f>
        <v>3.0479999999999997E-2</v>
      </c>
      <c r="H2">
        <v>300</v>
      </c>
      <c r="I2" t="s">
        <v>36</v>
      </c>
      <c r="J2" t="s">
        <v>27</v>
      </c>
    </row>
    <row r="3" spans="1:10" x14ac:dyDescent="0.5">
      <c r="A3" t="s">
        <v>15</v>
      </c>
      <c r="B3">
        <v>126</v>
      </c>
      <c r="C3">
        <v>30</v>
      </c>
      <c r="D3">
        <v>0.45</v>
      </c>
      <c r="E3">
        <f t="shared" ref="E3:E5" si="0">100000/24</f>
        <v>4166.666666666667</v>
      </c>
      <c r="F3">
        <f t="shared" ref="F3:F5" si="1">C3/E3</f>
        <v>7.1999999999999998E-3</v>
      </c>
      <c r="G3">
        <f t="shared" ref="G3:G5" si="2">B3/E3</f>
        <v>3.024E-2</v>
      </c>
      <c r="H3">
        <v>550</v>
      </c>
      <c r="I3" t="s">
        <v>37</v>
      </c>
      <c r="J3" t="s">
        <v>41</v>
      </c>
    </row>
    <row r="4" spans="1:10" x14ac:dyDescent="0.5">
      <c r="A4" t="s">
        <v>14</v>
      </c>
      <c r="B4">
        <v>123</v>
      </c>
      <c r="C4">
        <v>33</v>
      </c>
      <c r="D4">
        <v>0.5</v>
      </c>
      <c r="E4">
        <f t="shared" si="0"/>
        <v>4166.666666666667</v>
      </c>
      <c r="F4">
        <f t="shared" si="1"/>
        <v>7.92E-3</v>
      </c>
      <c r="G4">
        <f>B4/E4</f>
        <v>2.9519999999999998E-2</v>
      </c>
      <c r="H4">
        <v>850</v>
      </c>
      <c r="I4" t="s">
        <v>38</v>
      </c>
    </row>
    <row r="5" spans="1:10" x14ac:dyDescent="0.5">
      <c r="A5" t="s">
        <v>13</v>
      </c>
      <c r="B5">
        <v>130</v>
      </c>
      <c r="C5">
        <v>34</v>
      </c>
      <c r="D5">
        <v>0.45</v>
      </c>
      <c r="E5">
        <f t="shared" si="0"/>
        <v>4166.666666666667</v>
      </c>
      <c r="F5">
        <f t="shared" si="1"/>
        <v>8.1599999999999989E-3</v>
      </c>
      <c r="G5">
        <f t="shared" si="2"/>
        <v>3.1199999999999999E-2</v>
      </c>
      <c r="H5">
        <v>850</v>
      </c>
      <c r="I5" t="s">
        <v>39</v>
      </c>
      <c r="J5" t="s">
        <v>42</v>
      </c>
    </row>
    <row r="8" spans="1:10" x14ac:dyDescent="0.5">
      <c r="A8" t="s">
        <v>12</v>
      </c>
      <c r="B8" t="s">
        <v>11</v>
      </c>
    </row>
    <row r="10" spans="1:10" x14ac:dyDescent="0.5">
      <c r="A10" t="s">
        <v>10</v>
      </c>
      <c r="B10" t="s">
        <v>9</v>
      </c>
    </row>
    <row r="12" spans="1:10" x14ac:dyDescent="0.5">
      <c r="A12" t="s">
        <v>8</v>
      </c>
      <c r="B12">
        <v>141.80000000000001</v>
      </c>
      <c r="C12" t="s">
        <v>7</v>
      </c>
    </row>
    <row r="13" spans="1:10" x14ac:dyDescent="0.5">
      <c r="B13">
        <v>3.6</v>
      </c>
      <c r="C13" t="s">
        <v>6</v>
      </c>
    </row>
    <row r="14" spans="1:10" x14ac:dyDescent="0.5">
      <c r="B14">
        <f>B12/B13</f>
        <v>39.388888888888893</v>
      </c>
      <c r="C14" t="s">
        <v>5</v>
      </c>
    </row>
    <row r="16" spans="1:10" x14ac:dyDescent="0.5">
      <c r="A16" t="s">
        <v>4</v>
      </c>
      <c r="B16">
        <v>1</v>
      </c>
      <c r="C16" t="s">
        <v>3</v>
      </c>
    </row>
    <row r="17" spans="2:3" x14ac:dyDescent="0.5">
      <c r="B17">
        <f>B16*1000/24</f>
        <v>41.666666666666664</v>
      </c>
      <c r="C17" t="s">
        <v>2</v>
      </c>
    </row>
    <row r="18" spans="2:3" x14ac:dyDescent="0.5">
      <c r="B18">
        <f>B17/3600</f>
        <v>1.1574074074074073E-2</v>
      </c>
      <c r="C18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EF83-4AF5-3345-AD0A-5DF9739EB424}">
  <dimension ref="A1:AG22"/>
  <sheetViews>
    <sheetView tabSelected="1" topLeftCell="A11" workbookViewId="0">
      <selection activeCell="A24" sqref="A24"/>
    </sheetView>
  </sheetViews>
  <sheetFormatPr defaultColWidth="11" defaultRowHeight="15.75" x14ac:dyDescent="0.5"/>
  <cols>
    <col min="1" max="1" width="10.3125" customWidth="1"/>
    <col min="2" max="2" width="9.3125" bestFit="1" customWidth="1"/>
    <col min="3" max="3" width="9.3125" customWidth="1"/>
    <col min="4" max="4" width="17.0625" bestFit="1" customWidth="1"/>
    <col min="5" max="5" width="9.875" customWidth="1"/>
    <col min="6" max="6" width="7.1875" customWidth="1"/>
    <col min="7" max="7" width="6.3125" style="11" customWidth="1"/>
    <col min="8" max="8" width="6.4375" style="12" customWidth="1"/>
    <col min="9" max="9" width="13.5625" style="11" customWidth="1"/>
    <col min="10" max="10" width="13.5" style="13" bestFit="1" customWidth="1"/>
    <col min="11" max="12" width="13.5" style="12" bestFit="1" customWidth="1"/>
    <col min="13" max="13" width="14.5" style="14" bestFit="1" customWidth="1"/>
    <col min="14" max="14" width="5.8125" style="14" customWidth="1"/>
    <col min="15" max="15" width="9.0625" style="14" bestFit="1" customWidth="1"/>
    <col min="16" max="16" width="6.125" style="14" customWidth="1"/>
    <col min="17" max="17" width="5.3125" style="12" customWidth="1"/>
    <col min="18" max="18" width="4.875" style="12" customWidth="1"/>
    <col min="19" max="19" width="6.625" style="14" customWidth="1"/>
    <col min="20" max="20" width="3.9375" customWidth="1"/>
    <col min="21" max="21" width="8.25" customWidth="1"/>
    <col min="22" max="22" width="4.5" customWidth="1"/>
    <col min="23" max="23" width="3.125" customWidth="1"/>
    <col min="24" max="24" width="12.5" customWidth="1"/>
    <col min="25" max="25" width="11.8125" bestFit="1" customWidth="1"/>
    <col min="26" max="27" width="16.9375" customWidth="1"/>
    <col min="28" max="28" width="8.8125" bestFit="1" customWidth="1"/>
    <col min="29" max="29" width="8.1875" bestFit="1" customWidth="1"/>
    <col min="30" max="30" width="9.1875" bestFit="1" customWidth="1"/>
    <col min="31" max="31" width="8.6875" bestFit="1" customWidth="1"/>
    <col min="32" max="32" width="9.5625" bestFit="1" customWidth="1"/>
  </cols>
  <sheetData>
    <row r="1" spans="1:33" ht="51.75" customHeight="1" x14ac:dyDescent="0.5">
      <c r="A1" s="3" t="s">
        <v>21</v>
      </c>
      <c r="B1" s="3" t="s">
        <v>26</v>
      </c>
      <c r="C1" s="3" t="s">
        <v>74</v>
      </c>
      <c r="D1" s="3" t="s">
        <v>79</v>
      </c>
      <c r="E1" s="3" t="s">
        <v>80</v>
      </c>
      <c r="F1" s="3" t="s">
        <v>81</v>
      </c>
      <c r="G1" s="15" t="s">
        <v>53</v>
      </c>
      <c r="H1" s="16" t="s">
        <v>52</v>
      </c>
      <c r="I1" s="15" t="s">
        <v>54</v>
      </c>
      <c r="J1" s="15" t="s">
        <v>55</v>
      </c>
      <c r="K1" s="17" t="s">
        <v>56</v>
      </c>
      <c r="L1" s="16" t="s">
        <v>57</v>
      </c>
      <c r="M1" s="16" t="s">
        <v>58</v>
      </c>
      <c r="N1" s="17" t="s">
        <v>50</v>
      </c>
      <c r="O1" s="17" t="s">
        <v>59</v>
      </c>
      <c r="P1" s="17" t="s">
        <v>60</v>
      </c>
      <c r="Q1" s="17" t="s">
        <v>51</v>
      </c>
      <c r="R1" s="16" t="s">
        <v>61</v>
      </c>
      <c r="S1" s="16" t="s">
        <v>62</v>
      </c>
      <c r="T1" s="16" t="s">
        <v>63</v>
      </c>
      <c r="U1" s="3" t="s">
        <v>48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71</v>
      </c>
      <c r="AA1" s="3" t="s">
        <v>73</v>
      </c>
      <c r="AB1" s="3" t="s">
        <v>44</v>
      </c>
      <c r="AC1" s="3" t="s">
        <v>45</v>
      </c>
      <c r="AD1" s="3" t="s">
        <v>46</v>
      </c>
      <c r="AE1" s="3" t="s">
        <v>47</v>
      </c>
      <c r="AF1" s="3" t="s">
        <v>43</v>
      </c>
      <c r="AG1" s="3" t="s">
        <v>49</v>
      </c>
    </row>
    <row r="2" spans="1:33" x14ac:dyDescent="0.5">
      <c r="A2" t="s">
        <v>0</v>
      </c>
      <c r="B2" t="s">
        <v>27</v>
      </c>
      <c r="C2">
        <f>$B$18*AF2*AA2*1000/$B$22</f>
        <v>2857.6736677085473</v>
      </c>
      <c r="D2" s="14">
        <f>O2+AB2</f>
        <v>6181487</v>
      </c>
      <c r="E2" s="14">
        <f>(P2+AC2)</f>
        <v>145313.20000000001</v>
      </c>
      <c r="F2" s="13">
        <f>R2+AD2</f>
        <v>12.51</v>
      </c>
      <c r="G2" s="6">
        <v>77</v>
      </c>
      <c r="H2" s="6">
        <v>250</v>
      </c>
      <c r="I2" s="7">
        <v>15.4</v>
      </c>
      <c r="J2" s="6">
        <v>1</v>
      </c>
      <c r="K2" s="8">
        <v>20</v>
      </c>
      <c r="L2" s="7">
        <v>0.4</v>
      </c>
      <c r="M2" s="6">
        <v>24</v>
      </c>
      <c r="N2" s="8">
        <v>302</v>
      </c>
      <c r="O2" s="8">
        <v>5535000</v>
      </c>
      <c r="P2" s="8">
        <v>115000</v>
      </c>
      <c r="Q2" s="8">
        <v>12</v>
      </c>
      <c r="R2" s="7">
        <f>0.75+9</f>
        <v>9.75</v>
      </c>
      <c r="S2" s="6">
        <v>38500</v>
      </c>
      <c r="T2">
        <v>30</v>
      </c>
      <c r="U2">
        <v>12</v>
      </c>
      <c r="V2">
        <f>W2*(X2+(Y2*AF2))</f>
        <v>1.3753999999999997</v>
      </c>
      <c r="W2">
        <f>1000/24</f>
        <v>41.666666666666664</v>
      </c>
      <c r="X2">
        <v>3.0479999999999997E-2</v>
      </c>
      <c r="Y2">
        <v>8.1599999999999989E-3</v>
      </c>
      <c r="Z2">
        <f>X2+(Y2*AF2)</f>
        <v>3.3009599999999993E-2</v>
      </c>
      <c r="AA2">
        <f>Y2+(X2/AF2)</f>
        <v>0.10648258064516128</v>
      </c>
      <c r="AB2">
        <v>646487</v>
      </c>
      <c r="AC2">
        <v>30313.200000000001</v>
      </c>
      <c r="AD2">
        <v>2.76</v>
      </c>
      <c r="AE2" s="1">
        <v>20</v>
      </c>
      <c r="AF2" s="2">
        <v>0.31</v>
      </c>
      <c r="AG2">
        <f>U2*(V2/W2)</f>
        <v>0.39611519999999989</v>
      </c>
    </row>
    <row r="3" spans="1:33" x14ac:dyDescent="0.5">
      <c r="A3" t="s">
        <v>0</v>
      </c>
      <c r="B3" t="s">
        <v>13</v>
      </c>
      <c r="C3">
        <f t="shared" ref="C3:C6" si="0">$B$18*AF3*AA3*1000/$B$22</f>
        <v>1975.8962178208728</v>
      </c>
      <c r="D3" s="14">
        <f t="shared" ref="D3:D6" si="1">O3+AB3</f>
        <v>8146487</v>
      </c>
      <c r="E3" s="14">
        <f t="shared" ref="E3:E6" si="2">(P3+AC3)</f>
        <v>194313.2</v>
      </c>
      <c r="F3" s="13">
        <f t="shared" ref="F3:F6" si="3">R3+AD3</f>
        <v>15.76</v>
      </c>
      <c r="G3" s="6">
        <v>164</v>
      </c>
      <c r="H3" s="6">
        <v>350</v>
      </c>
      <c r="I3" s="7">
        <v>32.799999999999997</v>
      </c>
      <c r="J3" s="7">
        <v>0.89700000000000002</v>
      </c>
      <c r="K3" s="8">
        <v>20</v>
      </c>
      <c r="L3" s="6">
        <v>6</v>
      </c>
      <c r="M3" s="6">
        <v>984</v>
      </c>
      <c r="N3" s="8">
        <v>950</v>
      </c>
      <c r="O3" s="8">
        <v>7500000</v>
      </c>
      <c r="P3" s="8">
        <v>164000</v>
      </c>
      <c r="Q3" s="8">
        <v>4</v>
      </c>
      <c r="R3" s="6">
        <v>13</v>
      </c>
      <c r="S3" s="6">
        <v>82000</v>
      </c>
      <c r="T3" s="6">
        <v>30</v>
      </c>
      <c r="U3">
        <v>12</v>
      </c>
      <c r="V3">
        <f t="shared" ref="V3:V6" si="4">W3*(X3+(Y3*AF3))</f>
        <v>0.95099999999999985</v>
      </c>
      <c r="W3">
        <f t="shared" ref="W3:W6" si="5">1000/24</f>
        <v>41.666666666666664</v>
      </c>
      <c r="X3">
        <v>8.1599999999999989E-3</v>
      </c>
      <c r="Y3">
        <v>3.1199999999999999E-2</v>
      </c>
      <c r="Z3">
        <f>X3+(Y3*AF3)</f>
        <v>2.2823999999999997E-2</v>
      </c>
      <c r="AA3">
        <f t="shared" ref="AA3:AA6" si="6">Y3+(X3/AF3)</f>
        <v>4.8561702127659576E-2</v>
      </c>
      <c r="AB3">
        <v>646487</v>
      </c>
      <c r="AC3">
        <v>30313.200000000001</v>
      </c>
      <c r="AD3">
        <v>2.76</v>
      </c>
      <c r="AE3" s="1">
        <v>20</v>
      </c>
      <c r="AF3" s="2">
        <v>0.47</v>
      </c>
      <c r="AG3">
        <f t="shared" ref="AG3:AG6" si="7">U3*(V3/W3)</f>
        <v>0.27388799999999996</v>
      </c>
    </row>
    <row r="4" spans="1:33" x14ac:dyDescent="0.5">
      <c r="A4" t="s">
        <v>0</v>
      </c>
      <c r="B4" t="s">
        <v>28</v>
      </c>
      <c r="C4">
        <f t="shared" si="0"/>
        <v>1786.8251812049959</v>
      </c>
      <c r="D4" s="14">
        <f t="shared" si="1"/>
        <v>5215487</v>
      </c>
      <c r="E4" s="14">
        <f t="shared" si="2"/>
        <v>130313.2</v>
      </c>
      <c r="F4" s="13">
        <f t="shared" si="3"/>
        <v>15.76</v>
      </c>
      <c r="G4" s="6">
        <v>80</v>
      </c>
      <c r="H4" s="6">
        <v>200</v>
      </c>
      <c r="I4" s="6">
        <v>32</v>
      </c>
      <c r="J4" s="7">
        <v>0.751</v>
      </c>
      <c r="K4" s="8">
        <v>20</v>
      </c>
      <c r="L4" s="7">
        <v>2.4</v>
      </c>
      <c r="M4" s="6">
        <v>48</v>
      </c>
      <c r="N4" s="8">
        <v>750</v>
      </c>
      <c r="O4" s="8">
        <v>4569000</v>
      </c>
      <c r="P4" s="8">
        <v>100000</v>
      </c>
      <c r="Q4" s="8">
        <v>12</v>
      </c>
      <c r="R4" s="6">
        <v>13</v>
      </c>
      <c r="S4" s="6">
        <v>40000</v>
      </c>
      <c r="T4" s="6">
        <v>30</v>
      </c>
      <c r="U4">
        <v>12</v>
      </c>
      <c r="V4">
        <f t="shared" si="4"/>
        <v>0.85999999999999988</v>
      </c>
      <c r="W4">
        <f t="shared" si="5"/>
        <v>41.666666666666664</v>
      </c>
      <c r="X4">
        <v>8.1599999999999989E-3</v>
      </c>
      <c r="Y4">
        <v>3.1199999999999999E-2</v>
      </c>
      <c r="Z4">
        <f t="shared" ref="Z4:Z6" si="8">X4+(Y4*AF4)</f>
        <v>2.0639999999999999E-2</v>
      </c>
      <c r="AA4">
        <f t="shared" si="6"/>
        <v>5.1599999999999993E-2</v>
      </c>
      <c r="AB4">
        <v>646487</v>
      </c>
      <c r="AC4">
        <v>30313.200000000001</v>
      </c>
      <c r="AD4">
        <v>2.76</v>
      </c>
      <c r="AE4" s="1">
        <v>20</v>
      </c>
      <c r="AF4" s="2">
        <v>0.4</v>
      </c>
      <c r="AG4">
        <f t="shared" si="7"/>
        <v>0.24767999999999998</v>
      </c>
    </row>
    <row r="5" spans="1:33" x14ac:dyDescent="0.5">
      <c r="A5" t="s">
        <v>0</v>
      </c>
      <c r="B5" t="s">
        <v>29</v>
      </c>
      <c r="C5">
        <f t="shared" si="0"/>
        <v>1853.7272403152292</v>
      </c>
      <c r="D5" s="14">
        <f t="shared" si="1"/>
        <v>4737487</v>
      </c>
      <c r="E5" s="14">
        <f t="shared" si="2"/>
        <v>115313.2</v>
      </c>
      <c r="F5" s="13">
        <f t="shared" si="3"/>
        <v>14.26</v>
      </c>
      <c r="G5" s="6">
        <v>141</v>
      </c>
      <c r="H5" s="6">
        <v>300</v>
      </c>
      <c r="I5" s="7">
        <v>28.2</v>
      </c>
      <c r="J5" s="7">
        <v>0.93600000000000005</v>
      </c>
      <c r="K5" s="8">
        <v>20</v>
      </c>
      <c r="L5" s="7">
        <v>0.6</v>
      </c>
      <c r="M5" s="7">
        <v>84.6</v>
      </c>
      <c r="N5" s="8">
        <v>700</v>
      </c>
      <c r="O5" s="8">
        <v>4091000</v>
      </c>
      <c r="P5" s="8">
        <v>85000</v>
      </c>
      <c r="Q5" s="8">
        <v>12</v>
      </c>
      <c r="R5" s="7">
        <v>11.5</v>
      </c>
      <c r="S5" s="6">
        <v>70500</v>
      </c>
      <c r="T5">
        <v>30</v>
      </c>
      <c r="U5">
        <v>12</v>
      </c>
      <c r="V5">
        <f t="shared" si="4"/>
        <v>0.89219999999999988</v>
      </c>
      <c r="W5">
        <f t="shared" si="5"/>
        <v>41.666666666666664</v>
      </c>
      <c r="X5">
        <v>7.1999999999999998E-3</v>
      </c>
      <c r="Y5">
        <v>3.024E-2</v>
      </c>
      <c r="Z5">
        <f t="shared" si="8"/>
        <v>2.1412799999999999E-2</v>
      </c>
      <c r="AA5">
        <f t="shared" si="6"/>
        <v>4.5559148936170211E-2</v>
      </c>
      <c r="AB5">
        <v>646487</v>
      </c>
      <c r="AC5">
        <v>30313.200000000001</v>
      </c>
      <c r="AD5">
        <v>2.76</v>
      </c>
      <c r="AE5" s="1">
        <v>20</v>
      </c>
      <c r="AF5" s="2">
        <v>0.47</v>
      </c>
      <c r="AG5">
        <f t="shared" si="7"/>
        <v>0.2569536</v>
      </c>
    </row>
    <row r="6" spans="1:33" x14ac:dyDescent="0.5">
      <c r="A6" t="s">
        <v>0</v>
      </c>
      <c r="B6" t="s">
        <v>30</v>
      </c>
      <c r="C6">
        <f t="shared" si="0"/>
        <v>1487.2203077982974</v>
      </c>
      <c r="D6" s="14">
        <f t="shared" si="1"/>
        <v>11548487</v>
      </c>
      <c r="E6" s="14">
        <f t="shared" si="2"/>
        <v>294313.2</v>
      </c>
      <c r="F6" s="13">
        <f t="shared" si="3"/>
        <v>2.76</v>
      </c>
      <c r="G6" s="7">
        <v>6.7</v>
      </c>
      <c r="H6" s="6">
        <v>20</v>
      </c>
      <c r="I6" s="7">
        <v>2.7</v>
      </c>
      <c r="J6" s="7">
        <v>0.89700000000000002</v>
      </c>
      <c r="K6" s="8">
        <v>20</v>
      </c>
      <c r="L6" s="6">
        <v>6</v>
      </c>
      <c r="M6" s="6">
        <v>24</v>
      </c>
      <c r="N6" s="8">
        <v>630</v>
      </c>
      <c r="O6" s="8">
        <v>10902000</v>
      </c>
      <c r="P6" s="8">
        <v>264000</v>
      </c>
      <c r="Q6" s="8">
        <v>12</v>
      </c>
      <c r="R6" s="6">
        <v>0</v>
      </c>
      <c r="S6" s="6">
        <v>3350</v>
      </c>
      <c r="T6" s="6">
        <v>30</v>
      </c>
      <c r="U6">
        <v>12</v>
      </c>
      <c r="V6">
        <f t="shared" si="4"/>
        <v>0.71579999999999988</v>
      </c>
      <c r="W6">
        <f t="shared" si="5"/>
        <v>41.666666666666664</v>
      </c>
      <c r="X6">
        <v>7.1999999999999998E-3</v>
      </c>
      <c r="Y6">
        <v>3.024E-2</v>
      </c>
      <c r="Z6">
        <f t="shared" si="8"/>
        <v>1.7179199999999999E-2</v>
      </c>
      <c r="AA6">
        <f t="shared" si="6"/>
        <v>5.2058181818181816E-2</v>
      </c>
      <c r="AB6">
        <v>646487</v>
      </c>
      <c r="AC6">
        <v>30313.200000000001</v>
      </c>
      <c r="AD6">
        <v>2.76</v>
      </c>
      <c r="AE6" s="1">
        <v>20</v>
      </c>
      <c r="AF6" s="2">
        <v>0.33</v>
      </c>
      <c r="AG6">
        <f t="shared" si="7"/>
        <v>0.20615039999999998</v>
      </c>
    </row>
    <row r="7" spans="1:33" x14ac:dyDescent="0.5">
      <c r="D7" s="14"/>
      <c r="E7" s="14"/>
      <c r="F7" s="13"/>
      <c r="G7" s="7"/>
      <c r="H7" s="6"/>
      <c r="I7" s="7"/>
      <c r="J7" s="7"/>
      <c r="K7" s="8"/>
      <c r="L7" s="6"/>
      <c r="M7" s="6"/>
      <c r="N7" s="8"/>
      <c r="O7" s="8"/>
      <c r="P7" s="8"/>
      <c r="Q7" s="8"/>
      <c r="R7" s="6"/>
      <c r="S7" s="6"/>
      <c r="T7" s="6"/>
      <c r="AE7" s="1"/>
      <c r="AF7" s="2"/>
    </row>
    <row r="8" spans="1:33" x14ac:dyDescent="0.5">
      <c r="A8" t="s">
        <v>76</v>
      </c>
      <c r="D8" s="14"/>
      <c r="E8" s="14"/>
      <c r="F8" s="13"/>
      <c r="G8" s="7"/>
      <c r="H8" s="6"/>
      <c r="I8" s="7"/>
      <c r="J8" s="7"/>
      <c r="K8" s="8"/>
      <c r="L8" s="6"/>
      <c r="M8" s="6"/>
      <c r="N8" s="8"/>
      <c r="O8" s="8"/>
      <c r="P8" s="8"/>
      <c r="Q8" s="8"/>
      <c r="R8" s="6"/>
      <c r="S8" s="6"/>
      <c r="T8" s="6"/>
      <c r="AE8" s="1"/>
      <c r="AF8" s="2"/>
    </row>
    <row r="9" spans="1:33" x14ac:dyDescent="0.5">
      <c r="A9" t="s">
        <v>77</v>
      </c>
      <c r="B9">
        <v>0.88</v>
      </c>
      <c r="C9" t="s">
        <v>78</v>
      </c>
      <c r="G9" s="4"/>
      <c r="H9" s="5"/>
      <c r="I9" s="4"/>
      <c r="J9" s="9"/>
      <c r="K9" s="5"/>
      <c r="L9" s="5"/>
      <c r="M9" s="10"/>
      <c r="N9" s="10"/>
      <c r="O9" s="10"/>
      <c r="P9" s="10"/>
      <c r="Q9" s="5"/>
      <c r="R9" s="5"/>
      <c r="S9" s="10"/>
      <c r="AE9" s="1"/>
      <c r="AF9" s="2"/>
    </row>
    <row r="10" spans="1:33" x14ac:dyDescent="0.5">
      <c r="G10" s="4"/>
      <c r="H10" s="5"/>
      <c r="I10" s="4"/>
      <c r="J10" s="9"/>
      <c r="K10" s="5"/>
      <c r="L10" s="5"/>
      <c r="M10" s="10"/>
      <c r="N10" s="10"/>
      <c r="O10" s="10"/>
      <c r="P10" s="10"/>
      <c r="Q10" s="5"/>
      <c r="R10" s="5"/>
      <c r="S10" s="10"/>
      <c r="AE10" s="1"/>
      <c r="AF10" s="2"/>
    </row>
    <row r="11" spans="1:33" ht="47.25" x14ac:dyDescent="0.5">
      <c r="A11" t="s">
        <v>21</v>
      </c>
      <c r="B11" t="s">
        <v>26</v>
      </c>
      <c r="C11" s="3" t="s">
        <v>74</v>
      </c>
      <c r="D11" t="s">
        <v>66</v>
      </c>
      <c r="E11" t="s">
        <v>65</v>
      </c>
      <c r="F11" t="s">
        <v>64</v>
      </c>
      <c r="H11"/>
      <c r="I11"/>
      <c r="J11"/>
      <c r="K11"/>
      <c r="L11"/>
      <c r="M11"/>
      <c r="AE11" s="1"/>
      <c r="AF11" s="2"/>
    </row>
    <row r="12" spans="1:33" x14ac:dyDescent="0.5">
      <c r="A12" t="s">
        <v>0</v>
      </c>
      <c r="B12" t="s">
        <v>27</v>
      </c>
      <c r="C12">
        <v>2857.6736677085473</v>
      </c>
      <c r="D12">
        <f>D2*$B$9</f>
        <v>5439708.5599999996</v>
      </c>
      <c r="E12">
        <f>E2*$B$9</f>
        <v>127875.61600000001</v>
      </c>
      <c r="F12">
        <f>F2*$B$9</f>
        <v>11.008799999999999</v>
      </c>
      <c r="H12"/>
      <c r="I12"/>
      <c r="J12"/>
      <c r="K12"/>
      <c r="L12"/>
      <c r="M12"/>
      <c r="AE12" s="1"/>
      <c r="AF12" s="2"/>
    </row>
    <row r="13" spans="1:33" x14ac:dyDescent="0.5">
      <c r="A13" t="s">
        <v>0</v>
      </c>
      <c r="B13" t="s">
        <v>13</v>
      </c>
      <c r="C13">
        <v>1975.8962178208728</v>
      </c>
      <c r="D13">
        <f t="shared" ref="D13:F16" si="9">D3*$B$9</f>
        <v>7168908.5599999996</v>
      </c>
      <c r="E13">
        <f t="shared" si="9"/>
        <v>170995.61600000001</v>
      </c>
      <c r="F13">
        <f t="shared" si="9"/>
        <v>13.8688</v>
      </c>
      <c r="H13"/>
      <c r="I13"/>
      <c r="J13"/>
      <c r="K13"/>
      <c r="L13"/>
      <c r="M13"/>
      <c r="AE13" s="1"/>
      <c r="AF13" s="2"/>
    </row>
    <row r="14" spans="1:33" x14ac:dyDescent="0.5">
      <c r="A14" t="s">
        <v>0</v>
      </c>
      <c r="B14" t="s">
        <v>28</v>
      </c>
      <c r="C14">
        <v>1786.8251812049959</v>
      </c>
      <c r="D14">
        <f t="shared" si="9"/>
        <v>4589628.5599999996</v>
      </c>
      <c r="E14">
        <f t="shared" si="9"/>
        <v>114675.61599999999</v>
      </c>
      <c r="F14">
        <f t="shared" si="9"/>
        <v>13.8688</v>
      </c>
      <c r="H14"/>
      <c r="I14" s="18"/>
      <c r="J14" s="18"/>
      <c r="K14" s="18"/>
      <c r="L14" s="18"/>
      <c r="M14" s="18"/>
      <c r="AE14" s="1"/>
      <c r="AF14" s="2"/>
    </row>
    <row r="15" spans="1:33" x14ac:dyDescent="0.5">
      <c r="A15" t="s">
        <v>0</v>
      </c>
      <c r="B15" t="s">
        <v>29</v>
      </c>
      <c r="C15">
        <v>1853.7272403152292</v>
      </c>
      <c r="D15">
        <f t="shared" si="9"/>
        <v>4168988.56</v>
      </c>
      <c r="E15">
        <f t="shared" si="9"/>
        <v>101475.61599999999</v>
      </c>
      <c r="F15">
        <f t="shared" si="9"/>
        <v>12.5488</v>
      </c>
      <c r="H15"/>
      <c r="I15" s="18"/>
      <c r="J15" s="18"/>
      <c r="K15" s="18"/>
      <c r="L15" s="18"/>
      <c r="M15" s="18"/>
      <c r="AE15" s="1"/>
      <c r="AF15" s="2"/>
    </row>
    <row r="16" spans="1:33" x14ac:dyDescent="0.5">
      <c r="A16" t="s">
        <v>0</v>
      </c>
      <c r="B16" t="s">
        <v>30</v>
      </c>
      <c r="C16">
        <v>1487.2203077982974</v>
      </c>
      <c r="D16">
        <f t="shared" si="9"/>
        <v>10162668.560000001</v>
      </c>
      <c r="E16">
        <f t="shared" si="9"/>
        <v>258995.61600000001</v>
      </c>
      <c r="F16">
        <f t="shared" si="9"/>
        <v>2.4287999999999998</v>
      </c>
      <c r="H16"/>
      <c r="I16" s="18"/>
      <c r="J16" s="18"/>
      <c r="K16" s="18"/>
      <c r="L16" s="18"/>
      <c r="M16" s="18"/>
      <c r="AE16" s="1"/>
      <c r="AF16" s="2"/>
    </row>
    <row r="17" spans="1:32" x14ac:dyDescent="0.5">
      <c r="AE17" s="1"/>
      <c r="AF17" s="2"/>
    </row>
    <row r="18" spans="1:32" x14ac:dyDescent="0.5">
      <c r="A18" t="s">
        <v>72</v>
      </c>
      <c r="B18">
        <v>3412</v>
      </c>
      <c r="C18" t="s">
        <v>75</v>
      </c>
      <c r="AE18" s="1"/>
      <c r="AF18" s="2"/>
    </row>
    <row r="19" spans="1:32" x14ac:dyDescent="0.5">
      <c r="A19" t="s">
        <v>69</v>
      </c>
      <c r="B19">
        <v>947.81700000000001</v>
      </c>
      <c r="C19" t="s">
        <v>68</v>
      </c>
      <c r="AE19" s="1"/>
      <c r="AF19" s="2"/>
    </row>
    <row r="20" spans="1:32" x14ac:dyDescent="0.5">
      <c r="A20" t="s">
        <v>67</v>
      </c>
      <c r="B20">
        <v>141.88</v>
      </c>
      <c r="C20" t="s">
        <v>7</v>
      </c>
    </row>
    <row r="21" spans="1:32" x14ac:dyDescent="0.5">
      <c r="A21" t="s">
        <v>67</v>
      </c>
      <c r="B21">
        <f>B20*B19</f>
        <v>134476.27596</v>
      </c>
      <c r="C21" t="s">
        <v>70</v>
      </c>
    </row>
    <row r="22" spans="1:32" x14ac:dyDescent="0.5">
      <c r="A22" t="s">
        <v>67</v>
      </c>
      <c r="B22">
        <f>B21/B18</f>
        <v>39.412742075029307</v>
      </c>
      <c r="C2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HTSE_efficiency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Garrouste, Marisol</cp:lastModifiedBy>
  <dcterms:created xsi:type="dcterms:W3CDTF">2023-09-20T15:47:55Z</dcterms:created>
  <dcterms:modified xsi:type="dcterms:W3CDTF">2024-03-27T12:13:45Z</dcterms:modified>
</cp:coreProperties>
</file>