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garrm/Projects/Kenya2023/data/"/>
    </mc:Choice>
  </mc:AlternateContent>
  <xr:revisionPtr revIDLastSave="0" documentId="13_ncr:1_{0DE005AB-7F9C-084A-AEEB-952DCAA51E80}" xr6:coauthVersionLast="47" xr6:coauthVersionMax="47" xr10:uidLastSave="{00000000-0000-0000-0000-000000000000}"/>
  <bookViews>
    <workbookView xWindow="30720" yWindow="-940" windowWidth="38400" windowHeight="21600" activeTab="1" xr2:uid="{00000000-000D-0000-FFFF-FFFF00000000}"/>
  </bookViews>
  <sheets>
    <sheet name="Sheet1" sheetId="1" r:id="rId1"/>
    <sheet name="ReverseEnginee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2" l="1"/>
  <c r="E52" i="2"/>
  <c r="E50" i="2"/>
  <c r="D45" i="2"/>
  <c r="D46" i="2"/>
  <c r="D47" i="2"/>
  <c r="D44" i="2"/>
  <c r="E15" i="2"/>
  <c r="E16" i="2"/>
  <c r="E14" i="2"/>
  <c r="D9" i="2"/>
  <c r="D10" i="2"/>
  <c r="D11" i="2"/>
  <c r="D8" i="2"/>
  <c r="B2" i="2"/>
  <c r="F8" i="2"/>
  <c r="E8" i="2"/>
  <c r="E45" i="2"/>
  <c r="G47" i="2"/>
  <c r="G45" i="2"/>
  <c r="G46" i="2"/>
  <c r="G44" i="2"/>
  <c r="G10" i="2"/>
  <c r="G11" i="2"/>
  <c r="G9" i="2"/>
  <c r="H9" i="2" s="1"/>
  <c r="F14" i="2" s="1"/>
  <c r="F51" i="2"/>
  <c r="F52" i="2"/>
  <c r="F50" i="2"/>
  <c r="E46" i="2"/>
  <c r="E47" i="2"/>
  <c r="E44" i="2"/>
  <c r="E9" i="2"/>
  <c r="E10" i="2"/>
  <c r="E11" i="2"/>
  <c r="G8" i="2"/>
  <c r="G19" i="1"/>
  <c r="C19" i="1"/>
  <c r="B19" i="1"/>
  <c r="B25" i="1"/>
  <c r="G25" i="1"/>
  <c r="F44" i="2" l="1"/>
  <c r="E41" i="2"/>
  <c r="H41" i="2"/>
  <c r="B39" i="2"/>
  <c r="G40" i="2" s="1"/>
  <c r="B38" i="2"/>
  <c r="F39" i="2" s="1"/>
  <c r="F45" i="2" s="1"/>
  <c r="H38" i="2"/>
  <c r="H10" i="2"/>
  <c r="F15" i="2" s="1"/>
  <c r="H11" i="2"/>
  <c r="F16" i="2" s="1"/>
  <c r="H8" i="2"/>
  <c r="F9" i="2"/>
  <c r="F10" i="2"/>
  <c r="F11" i="2"/>
  <c r="F5" i="2"/>
  <c r="G5" i="2"/>
  <c r="F4" i="2"/>
  <c r="G4" i="2"/>
  <c r="G3" i="2"/>
  <c r="F3" i="2"/>
  <c r="F2" i="2"/>
  <c r="H2" i="2"/>
  <c r="B3" i="2"/>
  <c r="D14" i="1"/>
  <c r="D15" i="1"/>
  <c r="D13" i="1"/>
  <c r="N19" i="1"/>
  <c r="M24" i="1"/>
  <c r="M23" i="1"/>
  <c r="M22" i="1"/>
  <c r="M21" i="1"/>
  <c r="M19" i="1"/>
  <c r="M20" i="1"/>
  <c r="C5" i="1"/>
  <c r="C8" i="1" s="1"/>
  <c r="D8" i="1" s="1"/>
  <c r="B5" i="1"/>
  <c r="D3" i="1"/>
  <c r="D4" i="1"/>
  <c r="D2" i="1"/>
  <c r="G39" i="2" l="1"/>
  <c r="F38" i="2"/>
  <c r="F47" i="2"/>
  <c r="F40" i="2"/>
  <c r="F46" i="2" s="1"/>
  <c r="C10" i="1"/>
  <c r="C9" i="1"/>
  <c r="D10" i="1"/>
  <c r="D9" i="1"/>
  <c r="B26" i="1" l="1"/>
  <c r="G26" i="1" s="1"/>
  <c r="B20" i="1"/>
  <c r="G20" i="1" s="1"/>
  <c r="B21" i="1"/>
  <c r="G21" i="1" s="1"/>
  <c r="B27" i="1"/>
  <c r="G27" i="1" s="1"/>
  <c r="C26" i="1"/>
  <c r="H26" i="1" s="1"/>
  <c r="C20" i="1"/>
  <c r="H20" i="1" s="1"/>
  <c r="C21" i="1"/>
  <c r="H21" i="1" s="1"/>
  <c r="C27" i="1"/>
  <c r="H27" i="1" s="1"/>
  <c r="H19" i="1"/>
  <c r="C25" i="1"/>
  <c r="H25" i="1" s="1"/>
  <c r="N24" i="1" l="1"/>
  <c r="N23" i="1"/>
  <c r="N21" i="1"/>
  <c r="N22" i="1"/>
  <c r="N20" i="1"/>
</calcChain>
</file>

<file path=xl/sharedStrings.xml><?xml version="1.0" encoding="utf-8"?>
<sst xmlns="http://schemas.openxmlformats.org/spreadsheetml/2006/main" count="95" uniqueCount="54">
  <si>
    <t>County</t>
  </si>
  <si>
    <t>Area (km2)</t>
  </si>
  <si>
    <t>Population (2019)</t>
  </si>
  <si>
    <t>Population Density (persons/km2)</t>
  </si>
  <si>
    <t>Mombasa</t>
  </si>
  <si>
    <t>Kwale</t>
  </si>
  <si>
    <t>Kilifi</t>
  </si>
  <si>
    <t>Total</t>
  </si>
  <si>
    <t>Level</t>
  </si>
  <si>
    <t>m3/inh/yr</t>
  </si>
  <si>
    <t>Total m3</t>
  </si>
  <si>
    <t>m3 needed</t>
  </si>
  <si>
    <t>Current</t>
  </si>
  <si>
    <t>Stress</t>
  </si>
  <si>
    <t>No stress</t>
  </si>
  <si>
    <t>Technology</t>
  </si>
  <si>
    <t>Energy Low kWh/m3</t>
  </si>
  <si>
    <t>Energy High kWh/m3</t>
  </si>
  <si>
    <t>RO</t>
  </si>
  <si>
    <t>MSF</t>
  </si>
  <si>
    <t>MED</t>
  </si>
  <si>
    <t>(Low energy usage - annual)</t>
  </si>
  <si>
    <t>Low Energy Use Capacity Needed</t>
  </si>
  <si>
    <t>Chart</t>
  </si>
  <si>
    <t>No Stress</t>
  </si>
  <si>
    <t>Subtype</t>
  </si>
  <si>
    <t>Base</t>
  </si>
  <si>
    <t>Energy Use Range</t>
  </si>
  <si>
    <t>Reverse Osmosis</t>
  </si>
  <si>
    <t>Multi-Stage Flash</t>
  </si>
  <si>
    <t>(High energy usage - annual)</t>
  </si>
  <si>
    <t>High Energy Use Capacity Needed</t>
  </si>
  <si>
    <t>Multi-Effect Distillation</t>
  </si>
  <si>
    <t>Assuming 100% capacity factor</t>
  </si>
  <si>
    <t>Energy Required to Reduce Water Stress of Select Kenyan Counties</t>
  </si>
  <si>
    <t>Average</t>
  </si>
  <si>
    <t>x-value</t>
  </si>
  <si>
    <t>x-axis</t>
  </si>
  <si>
    <t>y-axis</t>
  </si>
  <si>
    <t>y measurement</t>
  </si>
  <si>
    <t>Multiplier (1in=)</t>
  </si>
  <si>
    <t>x measurement</t>
  </si>
  <si>
    <t>y-value</t>
  </si>
  <si>
    <t>O&amp;M $M USD</t>
  </si>
  <si>
    <t>Size (MLD)</t>
  </si>
  <si>
    <t>Without Electricity</t>
  </si>
  <si>
    <t>Size (m3/h)</t>
  </si>
  <si>
    <t>log(O&amp;M wo elec $ USD)</t>
  </si>
  <si>
    <t>Log(size/ref)</t>
  </si>
  <si>
    <t>CAPEX ($M)</t>
  </si>
  <si>
    <t>log(CAPEX $)</t>
  </si>
  <si>
    <t>Size (MWe)</t>
  </si>
  <si>
    <t>Electricity consumption</t>
  </si>
  <si>
    <t>MWhe/m3-H2O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</si>
</sst>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_)&quot; GWh&quot;;_(* \(#,##0\)&quot; GWh&quot;;_(* &quot;-&quot;??_)&quot; GWh&quot;;_(@_)&quot; GWh&quot;"/>
    <numFmt numFmtId="166" formatCode="_(* #,##0_)&quot; MW&quot;;_(* \(#,##0\)&quot; MW&quot;;_(* &quot;-&quot;??_)&quot; MW&quot;;_(@_)&quot; MW&quot;"/>
    <numFmt numFmtId="167" formatCode="0.0"/>
    <numFmt numFmtId="168" formatCode="0.0000"/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left"/>
    </xf>
    <xf numFmtId="0" fontId="2" fillId="0" borderId="0" xfId="0" applyFont="1"/>
    <xf numFmtId="164" fontId="2" fillId="0" borderId="0" xfId="1" applyNumberFormat="1" applyFont="1"/>
    <xf numFmtId="0" fontId="0" fillId="0" borderId="1" xfId="0" applyBorder="1"/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0" fillId="2" borderId="0" xfId="0" applyNumberFormat="1" applyFill="1"/>
    <xf numFmtId="0" fontId="4" fillId="0" borderId="0" xfId="2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center"/>
    </xf>
    <xf numFmtId="169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Sheet1!$M$18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Sheet1!$K$19:$L$24</c:f>
              <c:multiLvlStrCache>
                <c:ptCount val="6"/>
                <c:lvl>
                  <c:pt idx="0">
                    <c:v>Stress</c:v>
                  </c:pt>
                  <c:pt idx="1">
                    <c:v>No Stress</c:v>
                  </c:pt>
                  <c:pt idx="2">
                    <c:v>Stress</c:v>
                  </c:pt>
                  <c:pt idx="3">
                    <c:v>No Stress</c:v>
                  </c:pt>
                  <c:pt idx="4">
                    <c:v>Stress</c:v>
                  </c:pt>
                  <c:pt idx="5">
                    <c:v>No Stress</c:v>
                  </c:pt>
                </c:lvl>
                <c:lvl>
                  <c:pt idx="0">
                    <c:v>Reverse Osmosis</c:v>
                  </c:pt>
                  <c:pt idx="2">
                    <c:v>Multi-Stage Flash</c:v>
                  </c:pt>
                  <c:pt idx="4">
                    <c:v>Multi-Effect Distillation</c:v>
                  </c:pt>
                </c:lvl>
              </c:multiLvlStrCache>
            </c:multiLvlStrRef>
          </c:cat>
          <c:val>
            <c:numRef>
              <c:f>Sheet1!$M$19:$M$24</c:f>
              <c:numCache>
                <c:formatCode>0</c:formatCode>
                <c:ptCount val="6"/>
                <c:pt idx="0">
                  <c:v>385.02105079908671</c:v>
                </c:pt>
                <c:pt idx="1">
                  <c:v>1090.00335673516</c:v>
                </c:pt>
                <c:pt idx="2">
                  <c:v>1955.9069380593605</c:v>
                </c:pt>
                <c:pt idx="3">
                  <c:v>5537.2170522146116</c:v>
                </c:pt>
                <c:pt idx="4">
                  <c:v>308.01684063926939</c:v>
                </c:pt>
                <c:pt idx="5">
                  <c:v>872.00268538812793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6-4F38-90DF-B2B727BB406F}"/>
            </c:ext>
          </c:extLst>
        </c:ser>
        <c:ser>
          <c:idx val="1"/>
          <c:order val="1"/>
          <c:tx>
            <c:strRef>
              <c:f>Sheet1!$N$18</c:f>
              <c:strCache>
                <c:ptCount val="1"/>
                <c:pt idx="0">
                  <c:v>Energy Use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539-450C-A266-A573134F2E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9-450C-A266-A573134F2E0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39-450C-A266-A573134F2E0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9-450C-A266-A573134F2E0B}"/>
              </c:ext>
            </c:extLst>
          </c:dPt>
          <c:cat>
            <c:multiLvlStrRef>
              <c:f>Sheet1!$K$19:$L$24</c:f>
              <c:multiLvlStrCache>
                <c:ptCount val="6"/>
                <c:lvl>
                  <c:pt idx="0">
                    <c:v>Stress</c:v>
                  </c:pt>
                  <c:pt idx="1">
                    <c:v>No Stress</c:v>
                  </c:pt>
                  <c:pt idx="2">
                    <c:v>Stress</c:v>
                  </c:pt>
                  <c:pt idx="3">
                    <c:v>No Stress</c:v>
                  </c:pt>
                  <c:pt idx="4">
                    <c:v>Stress</c:v>
                  </c:pt>
                  <c:pt idx="5">
                    <c:v>No Stress</c:v>
                  </c:pt>
                </c:lvl>
                <c:lvl>
                  <c:pt idx="0">
                    <c:v>Reverse Osmosis</c:v>
                  </c:pt>
                  <c:pt idx="2">
                    <c:v>Multi-Stage Flash</c:v>
                  </c:pt>
                  <c:pt idx="4">
                    <c:v>Multi-Effect Distillation</c:v>
                  </c:pt>
                </c:lvl>
              </c:multiLvlStrCache>
            </c:multiLvlStrRef>
          </c:cat>
          <c:val>
            <c:numRef>
              <c:f>Sheet1!$N$19:$N$24</c:f>
              <c:numCache>
                <c:formatCode>_(* #,##0_)" MW";_(* \(#,##0\)" MW";_(* "-"??_)" MW";_(@_)" MW"</c:formatCode>
                <c:ptCount val="6"/>
                <c:pt idx="0">
                  <c:v>231.01263047945207</c:v>
                </c:pt>
                <c:pt idx="1">
                  <c:v>654.00201404109589</c:v>
                </c:pt>
                <c:pt idx="2">
                  <c:v>354.21936673515984</c:v>
                </c:pt>
                <c:pt idx="3">
                  <c:v>1002.8030881963468</c:v>
                </c:pt>
                <c:pt idx="4">
                  <c:v>924.05052191780817</c:v>
                </c:pt>
                <c:pt idx="5">
                  <c:v>2616.0080561643836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6-4F38-90DF-B2B727BB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836482639"/>
        <c:axId val="836481807"/>
      </c:barChart>
      <c:catAx>
        <c:axId val="83648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Technology Type and Level of Water Stress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81807"/>
        <c:crosses val="autoZero"/>
        <c:auto val="1"/>
        <c:lblAlgn val="ctr"/>
        <c:lblOffset val="100"/>
        <c:noMultiLvlLbl val="0"/>
      </c:catAx>
      <c:valAx>
        <c:axId val="8364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GWe Required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8263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Desalination Technology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Sheet1!$A$13:$A$15</c:f>
              <c:strCache>
                <c:ptCount val="3"/>
                <c:pt idx="0">
                  <c:v>Reverse Osmosis</c:v>
                </c:pt>
                <c:pt idx="1">
                  <c:v>Multi-Stage Flash</c:v>
                </c:pt>
                <c:pt idx="2">
                  <c:v>Multi-Effect Distillation</c:v>
                </c:pt>
              </c:strCache>
            </c:str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2.5</c:v>
                </c:pt>
                <c:pt idx="1">
                  <c:v>12.7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A-429A-A8F6-BC17DE94F800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Sheet1!$A$13:$A$15</c:f>
              <c:strCache>
                <c:ptCount val="3"/>
                <c:pt idx="0">
                  <c:v>Reverse Osmosis</c:v>
                </c:pt>
                <c:pt idx="1">
                  <c:v>Multi-Stage Flash</c:v>
                </c:pt>
                <c:pt idx="2">
                  <c:v>Multi-Effect Distillation</c:v>
                </c:pt>
              </c:strCache>
            </c:str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A-429A-A8F6-BC17DE94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835591775"/>
        <c:axId val="835601343"/>
      </c:lineChart>
      <c:catAx>
        <c:axId val="83559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01343"/>
        <c:crosses val="autoZero"/>
        <c:auto val="1"/>
        <c:lblAlgn val="ctr"/>
        <c:lblOffset val="100"/>
        <c:noMultiLvlLbl val="0"/>
      </c:catAx>
      <c:valAx>
        <c:axId val="8356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ReverseEngineer!$F$13</c:f>
              <c:strCache>
                <c:ptCount val="1"/>
                <c:pt idx="0">
                  <c:v>log(O&amp;M wo elec $ 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ReverseEngineer!$E$14:$E$16</c:f>
              <c:numCache>
                <c:formatCode>General</c:formatCode>
                <c:ptCount val="3"/>
                <c:pt idx="0">
                  <c:v>0</c:v>
                </c:pt>
                <c:pt idx="1">
                  <c:v>0.60441389672143964</c:v>
                </c:pt>
                <c:pt idx="2">
                  <c:v>0.89714879335453834</c:v>
                </c:pt>
              </c:numCache>
            </c:numRef>
          </c:xVal>
          <c:yVal>
            <c:numRef>
              <c:f>ReverseEngineer!$F$14:$F$16</c:f>
              <c:numCache>
                <c:formatCode>General</c:formatCode>
                <c:ptCount val="3"/>
                <c:pt idx="0">
                  <c:v>13.071882007306126</c:v>
                </c:pt>
                <c:pt idx="1">
                  <c:v>13.372912002970107</c:v>
                </c:pt>
                <c:pt idx="2">
                  <c:v>13.469822015978163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3-F44B-8B4C-0A42D594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228960"/>
        <c:axId val="1506463568"/>
      </c:scatterChart>
      <c:valAx>
        <c:axId val="17622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63568"/>
        <c:crosses val="autoZero"/>
        <c:crossBetween val="midCat"/>
      </c:valAx>
      <c:valAx>
        <c:axId val="15064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2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ReverseEngineer!$F$49</c:f>
              <c:strCache>
                <c:ptCount val="1"/>
                <c:pt idx="0">
                  <c:v>log(CAPEX 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ReverseEngineer!$E$50:$E$52</c:f>
              <c:numCache>
                <c:formatCode>General</c:formatCode>
                <c:ptCount val="3"/>
                <c:pt idx="0">
                  <c:v>0</c:v>
                </c:pt>
                <c:pt idx="1">
                  <c:v>0.60052808680521508</c:v>
                </c:pt>
                <c:pt idx="2">
                  <c:v>0.77508201865596715</c:v>
                </c:pt>
              </c:numCache>
            </c:numRef>
          </c:xVal>
          <c:yVal>
            <c:numRef>
              <c:f>ReverseEngineer!$F$50:$F$52</c:f>
              <c:numCache>
                <c:formatCode>General</c:formatCode>
                <c:ptCount val="3"/>
                <c:pt idx="0">
                  <c:v>14.301029995663981</c:v>
                </c:pt>
                <c:pt idx="1">
                  <c:v>14.602059991327963</c:v>
                </c:pt>
                <c:pt idx="2">
                  <c:v>14.667291894300345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8-4E40-B440-0345F76F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67072"/>
        <c:axId val="1231359328"/>
      </c:scatterChart>
      <c:valAx>
        <c:axId val="12314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59328"/>
        <c:crosses val="autoZero"/>
        <c:crossBetween val="midCat"/>
      </c:valAx>
      <c:valAx>
        <c:axId val="12313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30</xdr:row>
      <xdr:rowOff>176211</xdr:rowOff>
    </xdr:from>
    <xdr:to>
      <xdr:col>15</xdr:col>
      <xdr:colOff>273326</xdr:colOff>
      <xdr:row>56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B7F28-0532-9A6F-AFF7-BE39EAFB4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323022</xdr:colOff>
      <xdr:row>0</xdr:row>
      <xdr:rowOff>119269</xdr:rowOff>
    </xdr:from>
    <xdr:to>
      <xdr:col>9</xdr:col>
      <xdr:colOff>364435</xdr:colOff>
      <xdr:row>14</xdr:row>
      <xdr:rowOff>112643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256F9-FB9A-551B-949C-85AA72E3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317502</xdr:colOff>
      <xdr:row>12</xdr:row>
      <xdr:rowOff>61685</xdr:rowOff>
    </xdr:from>
    <xdr:to>
      <xdr:col>13</xdr:col>
      <xdr:colOff>254002</xdr:colOff>
      <xdr:row>26</xdr:row>
      <xdr:rowOff>137885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6CCADB-AE89-FE63-6D1B-F49368EFF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1111251</xdr:colOff>
      <xdr:row>28</xdr:row>
      <xdr:rowOff>116115</xdr:rowOff>
    </xdr:from>
    <xdr:to>
      <xdr:col>14</xdr:col>
      <xdr:colOff>376465</xdr:colOff>
      <xdr:row>43</xdr:row>
      <xdr:rowOff>1815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E0F0C2-3B21-5DA0-D12C-EC71DE055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3.amazonaws.com/suncam/docs/38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zoomScale="115" zoomScaleNormal="115" workbookViewId="0">
      <selection activeCell="D17" sqref="D17"/>
    </sheetView>
  </sheetViews>
  <sheetFormatPr baseColWidth="10" defaultColWidth="8.83203125" defaultRowHeight="15" x14ac:dyDescent="0.2"/>
  <cols>
    <col min="1" max="1" width="18.5" customWidth="1"/>
    <col min="2" max="3" width="19.5" customWidth="1"/>
    <col min="4" max="4" width="18.5" customWidth="1"/>
    <col min="5" max="5" width="2.5" customWidth="1"/>
    <col min="6" max="6" width="12.83203125" customWidth="1"/>
    <col min="7" max="7" width="19.83203125" customWidth="1"/>
    <col min="8" max="8" width="20" customWidth="1"/>
    <col min="11" max="11" width="22.1640625" bestFit="1" customWidth="1"/>
    <col min="12" max="12" width="17.1640625" customWidth="1"/>
    <col min="13" max="13" width="9.83203125" customWidth="1"/>
    <col min="14" max="14" width="18.5" customWidth="1"/>
  </cols>
  <sheetData>
    <row r="1" spans="1:6" s="2" customFormat="1" ht="32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2">
      <c r="A2" t="s">
        <v>4</v>
      </c>
      <c r="B2" s="3">
        <v>212.5</v>
      </c>
      <c r="C2" s="1">
        <v>1208333</v>
      </c>
      <c r="D2" s="1">
        <f>C2/B2</f>
        <v>5686.2729411764703</v>
      </c>
    </row>
    <row r="3" spans="1:6" x14ac:dyDescent="0.2">
      <c r="A3" t="s">
        <v>5</v>
      </c>
      <c r="B3" s="3">
        <v>8270.2999999999993</v>
      </c>
      <c r="C3" s="1">
        <v>866820</v>
      </c>
      <c r="D3" s="1">
        <f t="shared" ref="D3:D4" si="0">C3/B3</f>
        <v>104.81119185519269</v>
      </c>
    </row>
    <row r="4" spans="1:6" ht="16" thickBot="1" x14ac:dyDescent="0.25">
      <c r="A4" s="6" t="s">
        <v>6</v>
      </c>
      <c r="B4" s="7">
        <v>12245.9</v>
      </c>
      <c r="C4" s="8">
        <v>1453787</v>
      </c>
      <c r="D4" s="8">
        <f t="shared" si="0"/>
        <v>118.71622338905267</v>
      </c>
    </row>
    <row r="5" spans="1:6" x14ac:dyDescent="0.2">
      <c r="A5" s="4" t="s">
        <v>7</v>
      </c>
      <c r="B5" s="5">
        <f>SUM(B2:B4)</f>
        <v>20728.699999999997</v>
      </c>
      <c r="C5" s="5">
        <f>SUM(C2:C4)</f>
        <v>3528940</v>
      </c>
      <c r="D5" s="5"/>
    </row>
    <row r="7" spans="1:6" s="10" customFormat="1" x14ac:dyDescent="0.2">
      <c r="A7" s="10" t="s">
        <v>8</v>
      </c>
      <c r="B7" s="10" t="s">
        <v>9</v>
      </c>
      <c r="C7" s="10" t="s">
        <v>10</v>
      </c>
      <c r="D7" s="10" t="s">
        <v>11</v>
      </c>
    </row>
    <row r="8" spans="1:6" x14ac:dyDescent="0.2">
      <c r="A8" t="s">
        <v>12</v>
      </c>
      <c r="B8" s="9">
        <v>617.70000000000005</v>
      </c>
      <c r="C8" s="1">
        <f>B8*$C$5</f>
        <v>2179826238</v>
      </c>
      <c r="D8" s="11">
        <f>C8-$C$8</f>
        <v>0</v>
      </c>
    </row>
    <row r="9" spans="1:6" x14ac:dyDescent="0.2">
      <c r="A9" t="s">
        <v>13</v>
      </c>
      <c r="B9" s="1">
        <v>1000</v>
      </c>
      <c r="C9" s="1">
        <f t="shared" ref="C9:C10" si="1">B9*$C$5</f>
        <v>3528940000</v>
      </c>
      <c r="D9" s="11">
        <f>C9-$C$8</f>
        <v>1349113762</v>
      </c>
    </row>
    <row r="10" spans="1:6" x14ac:dyDescent="0.2">
      <c r="A10" t="s">
        <v>14</v>
      </c>
      <c r="B10" s="1">
        <v>1700</v>
      </c>
      <c r="C10" s="1">
        <f t="shared" si="1"/>
        <v>5999198000</v>
      </c>
      <c r="D10" s="11">
        <f>C10-$C$8</f>
        <v>3819371762</v>
      </c>
    </row>
    <row r="12" spans="1:6" x14ac:dyDescent="0.2">
      <c r="A12" s="16" t="s">
        <v>15</v>
      </c>
      <c r="B12" t="s">
        <v>16</v>
      </c>
      <c r="C12" t="s">
        <v>17</v>
      </c>
      <c r="D12" t="s">
        <v>35</v>
      </c>
    </row>
    <row r="13" spans="1:6" x14ac:dyDescent="0.2">
      <c r="A13" t="s">
        <v>28</v>
      </c>
      <c r="B13">
        <v>2.5</v>
      </c>
      <c r="C13">
        <v>4</v>
      </c>
      <c r="D13">
        <f>AVERAGE(B13:C13)</f>
        <v>3.25</v>
      </c>
    </row>
    <row r="14" spans="1:6" x14ac:dyDescent="0.2">
      <c r="A14" t="s">
        <v>29</v>
      </c>
      <c r="B14">
        <v>12.7</v>
      </c>
      <c r="C14">
        <v>15</v>
      </c>
      <c r="D14">
        <f t="shared" ref="D14:D15" si="2">AVERAGE(B14:C14)</f>
        <v>13.85</v>
      </c>
    </row>
    <row r="15" spans="1:6" x14ac:dyDescent="0.2">
      <c r="A15" t="s">
        <v>32</v>
      </c>
      <c r="B15">
        <v>2</v>
      </c>
      <c r="C15">
        <v>8</v>
      </c>
      <c r="D15">
        <f t="shared" si="2"/>
        <v>5</v>
      </c>
    </row>
    <row r="16" spans="1:6" x14ac:dyDescent="0.2">
      <c r="F16" t="s">
        <v>33</v>
      </c>
    </row>
    <row r="17" spans="1:14" x14ac:dyDescent="0.2">
      <c r="A17" s="20" t="s">
        <v>21</v>
      </c>
      <c r="B17" s="20"/>
      <c r="C17" s="20"/>
      <c r="F17" s="20" t="s">
        <v>22</v>
      </c>
      <c r="G17" s="20"/>
      <c r="H17" s="20"/>
      <c r="K17" t="s">
        <v>23</v>
      </c>
    </row>
    <row r="18" spans="1:14" x14ac:dyDescent="0.2">
      <c r="A18" t="s">
        <v>15</v>
      </c>
      <c r="B18" t="s">
        <v>13</v>
      </c>
      <c r="C18" t="s">
        <v>24</v>
      </c>
      <c r="F18" s="10" t="s">
        <v>15</v>
      </c>
      <c r="G18" s="10" t="s">
        <v>13</v>
      </c>
      <c r="H18" s="10" t="s">
        <v>24</v>
      </c>
      <c r="K18" s="10" t="s">
        <v>15</v>
      </c>
      <c r="L18" s="10" t="s">
        <v>25</v>
      </c>
      <c r="M18" s="10" t="s">
        <v>26</v>
      </c>
      <c r="N18" s="10" t="s">
        <v>27</v>
      </c>
    </row>
    <row r="19" spans="1:14" x14ac:dyDescent="0.2">
      <c r="A19" t="s">
        <v>18</v>
      </c>
      <c r="B19" s="12">
        <f>($D$9*B13)/1000000</f>
        <v>3372.7844049999999</v>
      </c>
      <c r="C19" s="12">
        <f>($D$10*B13)/1000000</f>
        <v>9548.4294050000008</v>
      </c>
      <c r="F19" t="s">
        <v>18</v>
      </c>
      <c r="G19" s="13">
        <f>(B19*1000)/8760</f>
        <v>385.02105079908671</v>
      </c>
      <c r="H19" s="13">
        <f>(C19*1000)/8760</f>
        <v>1090.00335673516</v>
      </c>
      <c r="K19" t="s">
        <v>28</v>
      </c>
      <c r="L19" t="s">
        <v>13</v>
      </c>
      <c r="M19" s="14">
        <f>G19</f>
        <v>385.02105079908671</v>
      </c>
      <c r="N19" s="15">
        <f>G25-G19</f>
        <v>231.01263047945207</v>
      </c>
    </row>
    <row r="20" spans="1:14" x14ac:dyDescent="0.2">
      <c r="A20" t="s">
        <v>19</v>
      </c>
      <c r="B20" s="12">
        <f>($D$9*B14)/1000000</f>
        <v>17133.744777399999</v>
      </c>
      <c r="C20" s="12">
        <f>($D$10*B14)/1000000</f>
        <v>48506.021377399993</v>
      </c>
      <c r="F20" t="s">
        <v>19</v>
      </c>
      <c r="G20" s="13">
        <f t="shared" ref="G20:H21" si="3">(B20*1000)/8760</f>
        <v>1955.9069380593605</v>
      </c>
      <c r="H20" s="13">
        <f t="shared" si="3"/>
        <v>5537.2170522146116</v>
      </c>
      <c r="L20" t="s">
        <v>24</v>
      </c>
      <c r="M20" s="14">
        <f>H19</f>
        <v>1090.00335673516</v>
      </c>
      <c r="N20" s="15">
        <f>H25-H19</f>
        <v>654.00201404109589</v>
      </c>
    </row>
    <row r="21" spans="1:14" x14ac:dyDescent="0.2">
      <c r="A21" t="s">
        <v>20</v>
      </c>
      <c r="B21" s="12">
        <f>($D$9*B15)/1000000</f>
        <v>2698.2275239999999</v>
      </c>
      <c r="C21" s="12">
        <f>($D$10*B15)/1000000</f>
        <v>7638.7435240000004</v>
      </c>
      <c r="F21" t="s">
        <v>20</v>
      </c>
      <c r="G21" s="13">
        <f t="shared" si="3"/>
        <v>308.01684063926939</v>
      </c>
      <c r="H21" s="13">
        <f t="shared" si="3"/>
        <v>872.00268538812793</v>
      </c>
      <c r="K21" t="s">
        <v>29</v>
      </c>
      <c r="L21" t="s">
        <v>13</v>
      </c>
      <c r="M21" s="14">
        <f>G20</f>
        <v>1955.9069380593605</v>
      </c>
      <c r="N21" s="15">
        <f>G26-G20</f>
        <v>354.21936673515984</v>
      </c>
    </row>
    <row r="22" spans="1:14" x14ac:dyDescent="0.2">
      <c r="L22" t="s">
        <v>24</v>
      </c>
      <c r="M22" s="14">
        <f>H20</f>
        <v>5537.2170522146116</v>
      </c>
      <c r="N22" s="15">
        <f>H26-H20</f>
        <v>1002.8030881963468</v>
      </c>
    </row>
    <row r="23" spans="1:14" x14ac:dyDescent="0.2">
      <c r="A23" s="20" t="s">
        <v>30</v>
      </c>
      <c r="B23" s="20"/>
      <c r="C23" s="20"/>
      <c r="F23" s="20" t="s">
        <v>31</v>
      </c>
      <c r="G23" s="20"/>
      <c r="H23" s="20"/>
      <c r="K23" t="s">
        <v>32</v>
      </c>
      <c r="L23" t="s">
        <v>13</v>
      </c>
      <c r="M23" s="14">
        <f>G21</f>
        <v>308.01684063926939</v>
      </c>
      <c r="N23" s="15">
        <f>G27-G21</f>
        <v>924.05052191780817</v>
      </c>
    </row>
    <row r="24" spans="1:14" x14ac:dyDescent="0.2">
      <c r="A24" t="s">
        <v>15</v>
      </c>
      <c r="B24" t="s">
        <v>13</v>
      </c>
      <c r="C24" t="s">
        <v>24</v>
      </c>
      <c r="F24" s="10" t="s">
        <v>15</v>
      </c>
      <c r="G24" s="10" t="s">
        <v>13</v>
      </c>
      <c r="H24" s="10" t="s">
        <v>24</v>
      </c>
      <c r="L24" t="s">
        <v>24</v>
      </c>
      <c r="M24" s="14">
        <f>H21</f>
        <v>872.00268538812793</v>
      </c>
      <c r="N24" s="15">
        <f>H27-H21</f>
        <v>2616.0080561643836</v>
      </c>
    </row>
    <row r="25" spans="1:14" x14ac:dyDescent="0.2">
      <c r="A25" t="s">
        <v>18</v>
      </c>
      <c r="B25" s="12">
        <f>($D$9*C13)/1000000</f>
        <v>5396.4550479999998</v>
      </c>
      <c r="C25" s="12">
        <f>($D$10*C13)/1000000</f>
        <v>15277.487048000001</v>
      </c>
      <c r="F25" t="s">
        <v>18</v>
      </c>
      <c r="G25" s="13">
        <f>(B25*1000)/8760</f>
        <v>616.03368127853878</v>
      </c>
      <c r="H25" s="13">
        <f>(C25*1000)/8760</f>
        <v>1744.0053707762559</v>
      </c>
    </row>
    <row r="26" spans="1:14" x14ac:dyDescent="0.2">
      <c r="A26" t="s">
        <v>19</v>
      </c>
      <c r="B26" s="12">
        <f>($D$9*C14)/1000000</f>
        <v>20236.706429999998</v>
      </c>
      <c r="C26" s="12">
        <f>($D$10*C14)/1000000</f>
        <v>57290.576430000001</v>
      </c>
      <c r="F26" t="s">
        <v>19</v>
      </c>
      <c r="G26" s="13">
        <f t="shared" ref="G26:G27" si="4">(B26*1000)/8760</f>
        <v>2310.1263047945204</v>
      </c>
      <c r="H26" s="13">
        <f t="shared" ref="H26:H27" si="5">(C26*1000)/8760</f>
        <v>6540.0201404109584</v>
      </c>
    </row>
    <row r="27" spans="1:14" x14ac:dyDescent="0.2">
      <c r="A27" t="s">
        <v>20</v>
      </c>
      <c r="B27" s="12">
        <f>($D$9*C15)/1000000</f>
        <v>10792.910096</v>
      </c>
      <c r="C27" s="12">
        <f>($D$10*C15)/1000000</f>
        <v>30554.974096000002</v>
      </c>
      <c r="F27" t="s">
        <v>20</v>
      </c>
      <c r="G27" s="13">
        <f t="shared" si="4"/>
        <v>1232.0673625570776</v>
      </c>
      <c r="H27" s="13">
        <f t="shared" si="5"/>
        <v>3488.0107415525117</v>
      </c>
    </row>
    <row r="30" spans="1:14" x14ac:dyDescent="0.2">
      <c r="K30" t="s">
        <v>34</v>
      </c>
    </row>
  </sheetData>
  <mergeCells count="4">
    <mergeCell ref="A17:C17"/>
    <mergeCell ref="A23:C23"/>
    <mergeCell ref="F17:H17"/>
    <mergeCell ref="F23:H23"/>
  </mergeCells>
  <phoneticPr fontId="3" type="noConversion"/>
  <hyperlinks>
    <hyperlink ref="A12" r:id="rId1" xr:uid="{1A9A1A35-1216-4897-A647-CF820D938FA6}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8F88-4382-4F4A-9CA7-C097F9CC2787}">
  <dimension ref="A1:H52"/>
  <sheetViews>
    <sheetView tabSelected="1" zoomScale="140" zoomScaleNormal="140" workbookViewId="0">
      <selection activeCell="G21" sqref="G21"/>
    </sheetView>
  </sheetViews>
  <sheetFormatPr baseColWidth="10" defaultColWidth="8.83203125" defaultRowHeight="15" x14ac:dyDescent="0.2"/>
  <cols>
    <col min="1" max="1" width="9.5" bestFit="1" customWidth="1"/>
    <col min="2" max="2" width="14.83203125" bestFit="1" customWidth="1"/>
    <col min="5" max="5" width="14.33203125" bestFit="1" customWidth="1"/>
    <col min="6" max="6" width="15.33203125" customWidth="1"/>
    <col min="7" max="7" width="14.33203125" bestFit="1" customWidth="1"/>
    <col min="8" max="8" width="16.83203125" bestFit="1" customWidth="1"/>
  </cols>
  <sheetData>
    <row r="1" spans="1:8" x14ac:dyDescent="0.2">
      <c r="B1" t="s">
        <v>40</v>
      </c>
      <c r="E1" t="s">
        <v>41</v>
      </c>
      <c r="F1" t="s">
        <v>36</v>
      </c>
      <c r="G1" t="s">
        <v>39</v>
      </c>
      <c r="H1" t="s">
        <v>42</v>
      </c>
    </row>
    <row r="2" spans="1:8" x14ac:dyDescent="0.2">
      <c r="A2" t="s">
        <v>37</v>
      </c>
      <c r="B2" s="14">
        <f>200/1.21</f>
        <v>165.28925619834712</v>
      </c>
      <c r="E2" s="17">
        <v>0.12</v>
      </c>
      <c r="F2" s="18">
        <f>$B$2*E2</f>
        <v>19.834710743801654</v>
      </c>
      <c r="G2">
        <v>0</v>
      </c>
      <c r="H2">
        <f>B3*G2</f>
        <v>0</v>
      </c>
    </row>
    <row r="3" spans="1:8" x14ac:dyDescent="0.2">
      <c r="A3" t="s">
        <v>38</v>
      </c>
      <c r="B3" s="18">
        <f>10/0.88</f>
        <v>11.363636363636363</v>
      </c>
      <c r="E3">
        <v>0.46</v>
      </c>
      <c r="F3" s="18">
        <f>$B$2*E3</f>
        <v>76.033057851239676</v>
      </c>
      <c r="G3">
        <f>H3/$B$3</f>
        <v>1.76</v>
      </c>
      <c r="H3">
        <v>20</v>
      </c>
    </row>
    <row r="4" spans="1:8" x14ac:dyDescent="0.2">
      <c r="E4">
        <v>1.85</v>
      </c>
      <c r="F4" s="18">
        <f>$B$2*E4</f>
        <v>305.78512396694219</v>
      </c>
      <c r="G4">
        <f>H4/$B$3</f>
        <v>3.52</v>
      </c>
      <c r="H4">
        <v>40</v>
      </c>
    </row>
    <row r="5" spans="1:8" x14ac:dyDescent="0.2">
      <c r="E5">
        <v>3.63</v>
      </c>
      <c r="F5" s="18">
        <f>$B$2*E5</f>
        <v>600</v>
      </c>
      <c r="G5">
        <f>H5/$B$3</f>
        <v>4.4000000000000004</v>
      </c>
      <c r="H5">
        <v>50</v>
      </c>
    </row>
    <row r="7" spans="1:8" x14ac:dyDescent="0.2">
      <c r="A7" t="s">
        <v>52</v>
      </c>
      <c r="B7">
        <v>3.2499999999999999E-3</v>
      </c>
      <c r="C7" t="s">
        <v>53</v>
      </c>
      <c r="D7" t="s">
        <v>51</v>
      </c>
      <c r="E7" t="s">
        <v>46</v>
      </c>
      <c r="F7" t="s">
        <v>44</v>
      </c>
      <c r="G7" t="s">
        <v>43</v>
      </c>
      <c r="H7" t="s">
        <v>45</v>
      </c>
    </row>
    <row r="8" spans="1:8" x14ac:dyDescent="0.2">
      <c r="D8" s="21">
        <f>$B$7*E8</f>
        <v>2.6859504132231402</v>
      </c>
      <c r="E8" s="19">
        <f>F8*1000000/(24*1000)</f>
        <v>826.44628099173553</v>
      </c>
      <c r="F8" s="18">
        <f>F2</f>
        <v>19.834710743801654</v>
      </c>
      <c r="G8">
        <f>H2</f>
        <v>0</v>
      </c>
      <c r="H8">
        <f>G8*(1-0.41)</f>
        <v>0</v>
      </c>
    </row>
    <row r="9" spans="1:8" x14ac:dyDescent="0.2">
      <c r="D9" s="21">
        <f t="shared" ref="D9:D11" si="0">$B$7*E9</f>
        <v>10.296143250688706</v>
      </c>
      <c r="E9" s="19">
        <f>F9*1000000/(24*1000)</f>
        <v>3168.0440771349868</v>
      </c>
      <c r="F9" s="18">
        <f t="shared" ref="F9:F11" si="1">F3</f>
        <v>76.033057851239676</v>
      </c>
      <c r="G9">
        <f>H3*1000000</f>
        <v>20000000</v>
      </c>
      <c r="H9">
        <f>G9*(1-0.41)</f>
        <v>11800000.000000002</v>
      </c>
    </row>
    <row r="10" spans="1:8" x14ac:dyDescent="0.2">
      <c r="D10" s="21">
        <f t="shared" si="0"/>
        <v>41.408402203856753</v>
      </c>
      <c r="E10" s="19">
        <f>F10*1000000/(24*1000)</f>
        <v>12741.046831955924</v>
      </c>
      <c r="F10" s="18">
        <f t="shared" si="1"/>
        <v>305.78512396694219</v>
      </c>
      <c r="G10">
        <f t="shared" ref="G10:G11" si="2">H4*1000000</f>
        <v>40000000</v>
      </c>
      <c r="H10">
        <f t="shared" ref="H10:H11" si="3">G10*(1-0.41)</f>
        <v>23600000.000000004</v>
      </c>
    </row>
    <row r="11" spans="1:8" x14ac:dyDescent="0.2">
      <c r="D11" s="21">
        <f t="shared" si="0"/>
        <v>81.25</v>
      </c>
      <c r="E11" s="19">
        <f>F11*1000000/(24*1000)</f>
        <v>25000</v>
      </c>
      <c r="F11" s="18">
        <f t="shared" si="1"/>
        <v>600</v>
      </c>
      <c r="G11">
        <f t="shared" si="2"/>
        <v>50000000</v>
      </c>
      <c r="H11">
        <f t="shared" si="3"/>
        <v>29500000.000000004</v>
      </c>
    </row>
    <row r="13" spans="1:8" x14ac:dyDescent="0.2">
      <c r="E13" t="s">
        <v>48</v>
      </c>
      <c r="F13" t="s">
        <v>47</v>
      </c>
    </row>
    <row r="14" spans="1:8" x14ac:dyDescent="0.2">
      <c r="E14">
        <f>LOG(D9/$D$9)</f>
        <v>0</v>
      </c>
      <c r="F14">
        <f>LOG(H9*1000000)</f>
        <v>13.071882007306126</v>
      </c>
    </row>
    <row r="15" spans="1:8" x14ac:dyDescent="0.2">
      <c r="E15">
        <f t="shared" ref="E15:E16" si="4">LOG(D10/$D$9)</f>
        <v>0.60441389672143964</v>
      </c>
      <c r="F15">
        <f t="shared" ref="F15:F16" si="5">LOG(H10*1000000)</f>
        <v>13.372912002970107</v>
      </c>
    </row>
    <row r="16" spans="1:8" x14ac:dyDescent="0.2">
      <c r="E16">
        <f t="shared" si="4"/>
        <v>0.89714879335453834</v>
      </c>
      <c r="F16">
        <f t="shared" si="5"/>
        <v>13.469822015978163</v>
      </c>
    </row>
    <row r="37" spans="1:8" x14ac:dyDescent="0.2">
      <c r="B37" t="s">
        <v>40</v>
      </c>
      <c r="E37" t="s">
        <v>41</v>
      </c>
      <c r="F37" t="s">
        <v>36</v>
      </c>
      <c r="G37" t="s">
        <v>39</v>
      </c>
      <c r="H37" t="s">
        <v>42</v>
      </c>
    </row>
    <row r="38" spans="1:8" x14ac:dyDescent="0.2">
      <c r="A38" t="s">
        <v>37</v>
      </c>
      <c r="B38" s="18">
        <f>200/1.41</f>
        <v>141.84397163120568</v>
      </c>
      <c r="E38" s="17">
        <v>0.19</v>
      </c>
      <c r="F38" s="18">
        <f>$B$38*E38</f>
        <v>26.950354609929079</v>
      </c>
      <c r="G38">
        <v>0</v>
      </c>
      <c r="H38">
        <f>B39*G38</f>
        <v>0</v>
      </c>
    </row>
    <row r="39" spans="1:8" x14ac:dyDescent="0.2">
      <c r="A39" t="s">
        <v>38</v>
      </c>
      <c r="B39" s="18">
        <f>200/1.45</f>
        <v>137.93103448275863</v>
      </c>
      <c r="E39">
        <v>0.71</v>
      </c>
      <c r="F39" s="18">
        <f t="shared" ref="F39:F40" si="6">$B$38*E39</f>
        <v>100.70921985815602</v>
      </c>
      <c r="G39">
        <f>H39/$B$39</f>
        <v>1.45</v>
      </c>
      <c r="H39">
        <v>200</v>
      </c>
    </row>
    <row r="40" spans="1:8" x14ac:dyDescent="0.2">
      <c r="E40">
        <v>2.83</v>
      </c>
      <c r="F40" s="18">
        <f t="shared" si="6"/>
        <v>401.41843971631209</v>
      </c>
      <c r="G40">
        <f t="shared" ref="G40" si="7">H40/$B$39</f>
        <v>2.9</v>
      </c>
      <c r="H40">
        <v>400</v>
      </c>
    </row>
    <row r="41" spans="1:8" x14ac:dyDescent="0.2">
      <c r="E41">
        <f>F41/B38</f>
        <v>4.2299999999999995</v>
      </c>
      <c r="F41" s="18">
        <v>600</v>
      </c>
      <c r="G41">
        <v>3.37</v>
      </c>
      <c r="H41" s="14">
        <f>G41*B39</f>
        <v>464.82758620689663</v>
      </c>
    </row>
    <row r="43" spans="1:8" x14ac:dyDescent="0.2">
      <c r="D43" t="s">
        <v>51</v>
      </c>
      <c r="E43" t="s">
        <v>46</v>
      </c>
      <c r="F43" t="s">
        <v>44</v>
      </c>
      <c r="G43" t="s">
        <v>49</v>
      </c>
    </row>
    <row r="44" spans="1:8" x14ac:dyDescent="0.2">
      <c r="D44" s="21">
        <f>E44*$B$7</f>
        <v>3.6495271867612291</v>
      </c>
      <c r="E44">
        <f>F44*1000000/(24*1000)</f>
        <v>1122.9314420803782</v>
      </c>
      <c r="F44" s="18">
        <f>F38</f>
        <v>26.950354609929079</v>
      </c>
      <c r="G44">
        <f>H38*1000000</f>
        <v>0</v>
      </c>
    </row>
    <row r="45" spans="1:8" x14ac:dyDescent="0.2">
      <c r="D45" s="21">
        <f t="shared" ref="D45:D47" si="8">E45*$B$7</f>
        <v>13.63770685579196</v>
      </c>
      <c r="E45">
        <f>F45*1000000/(24*1000)</f>
        <v>4196.217494089834</v>
      </c>
      <c r="F45" s="18">
        <f t="shared" ref="F45:F47" si="9">F39</f>
        <v>100.70921985815602</v>
      </c>
      <c r="G45">
        <f t="shared" ref="G45:G46" si="10">H39*1000000</f>
        <v>200000000</v>
      </c>
    </row>
    <row r="46" spans="1:8" x14ac:dyDescent="0.2">
      <c r="D46" s="21">
        <f t="shared" si="8"/>
        <v>54.358747044917266</v>
      </c>
      <c r="E46">
        <f t="shared" ref="E45:E47" si="11">F46*1000000/(24*1000)</f>
        <v>16725.768321513006</v>
      </c>
      <c r="F46" s="18">
        <f t="shared" si="9"/>
        <v>401.41843971631209</v>
      </c>
      <c r="G46">
        <f t="shared" si="10"/>
        <v>400000000</v>
      </c>
    </row>
    <row r="47" spans="1:8" x14ac:dyDescent="0.2">
      <c r="D47" s="21">
        <f t="shared" si="8"/>
        <v>81.25</v>
      </c>
      <c r="E47">
        <f t="shared" si="11"/>
        <v>25000</v>
      </c>
      <c r="F47" s="18">
        <f t="shared" si="9"/>
        <v>600</v>
      </c>
      <c r="G47">
        <f>H41*1000000</f>
        <v>464827586.2068966</v>
      </c>
    </row>
    <row r="49" spans="5:6" x14ac:dyDescent="0.2">
      <c r="E49" t="s">
        <v>48</v>
      </c>
      <c r="F49" t="s">
        <v>50</v>
      </c>
    </row>
    <row r="50" spans="5:6" x14ac:dyDescent="0.2">
      <c r="E50">
        <f>LOG(D45/$D$45)</f>
        <v>0</v>
      </c>
      <c r="F50">
        <f>LOG(1000000*G45)</f>
        <v>14.301029995663981</v>
      </c>
    </row>
    <row r="51" spans="5:6" x14ac:dyDescent="0.2">
      <c r="E51">
        <f t="shared" ref="E51:E52" si="12">LOG(D46/$D$45)</f>
        <v>0.60052808680521508</v>
      </c>
      <c r="F51">
        <f t="shared" ref="F51:F52" si="13">LOG(1000000*G46)</f>
        <v>14.602059991327963</v>
      </c>
    </row>
    <row r="52" spans="5:6" x14ac:dyDescent="0.2">
      <c r="E52">
        <f t="shared" si="12"/>
        <v>0.77508201865596715</v>
      </c>
      <c r="F52">
        <f t="shared" si="13"/>
        <v>14.667291894300345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96272D6B1C1248BA61F90272C32260" ma:contentTypeVersion="12" ma:contentTypeDescription="Create a new document." ma:contentTypeScope="" ma:versionID="531a93ae3a83a115bbeb49669be066cf">
  <xsd:schema xmlns:xsd="http://www.w3.org/2001/XMLSchema" xmlns:xs="http://www.w3.org/2001/XMLSchema" xmlns:p="http://schemas.microsoft.com/office/2006/metadata/properties" xmlns:ns2="f9af1e83-57e1-45b2-b43e-822085829100" xmlns:ns3="b944ac21-af7d-4017-a20b-3a18ec0067d2" xmlns:ns4="ca77b916-f394-4de9-b274-c15ee8638632" targetNamespace="http://schemas.microsoft.com/office/2006/metadata/properties" ma:root="true" ma:fieldsID="a47a8a0d46cc54d4d61d50ae418c7173" ns2:_="" ns3:_="" ns4:_="">
    <xsd:import namespace="f9af1e83-57e1-45b2-b43e-822085829100"/>
    <xsd:import namespace="b944ac21-af7d-4017-a20b-3a18ec0067d2"/>
    <xsd:import namespace="ca77b916-f394-4de9-b274-c15ee8638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f1e83-57e1-45b2-b43e-8220858291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b78db39-37aa-4e28-bb7e-9642684d4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4ac21-af7d-4017-a20b-3a18ec0067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7b916-f394-4de9-b274-c15ee863863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67c9551a-bf93-4c70-b262-17c3c8b39553}" ma:internalName="TaxCatchAll" ma:showField="CatchAllData" ma:web="b944ac21-af7d-4017-a20b-3a18ec0067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F468DC-AC80-4B5C-9AC0-51BC70A568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B894BA-BC54-47C5-9238-FF5A8BF37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f1e83-57e1-45b2-b43e-822085829100"/>
    <ds:schemaRef ds:uri="b944ac21-af7d-4017-a20b-3a18ec0067d2"/>
    <ds:schemaRef ds:uri="ca77b916-f394-4de9-b274-c15ee8638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ReverseEngineer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Haydn C. Bryan</dc:creator>
  <cp:keywords/>
  <dc:description/>
  <cp:lastModifiedBy>Marisol Garrouste</cp:lastModifiedBy>
  <cp:revision/>
  <dcterms:created xsi:type="dcterms:W3CDTF">2015-06-05T18:17:20Z</dcterms:created>
  <dcterms:modified xsi:type="dcterms:W3CDTF">2023-10-31T21:47:13Z</dcterms:modified>
  <cp:category/>
  <cp:contentStatus/>
</cp:coreProperties>
</file>