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mc:AlternateContent xmlns:mc="http://schemas.openxmlformats.org/markup-compatibility/2006">
    <mc:Choice Requires="x15">
      <x15ac:absPath xmlns:x15ac="http://schemas.microsoft.com/office/spreadsheetml/2010/11/ac" url="/Users/mgecim93/Desktop/Desktop - Mehmet’s MacBook Pro/Resume Folder/Interview work/Final presentation 8.8.2025/Excel Case/"/>
    </mc:Choice>
  </mc:AlternateContent>
  <xr:revisionPtr revIDLastSave="0" documentId="13_ncr:1_{15A3C8FE-BA8B-BD47-AEDD-F21C4512A672}" xr6:coauthVersionLast="47" xr6:coauthVersionMax="47" xr10:uidLastSave="{00000000-0000-0000-0000-000000000000}"/>
  <bookViews>
    <workbookView xWindow="32520" yWindow="2980" windowWidth="23900" windowHeight="16740" xr2:uid="{00000000-000D-0000-FFFF-FFFF00000000}"/>
  </bookViews>
  <sheets>
    <sheet name="case study" sheetId="1" r:id="rId1"/>
    <sheet name="Introduction" sheetId="4" r:id="rId2"/>
    <sheet name="Space Allocation Analysis" sheetId="3" r:id="rId3"/>
    <sheet name="Visuals" sheetId="5" r:id="rId4"/>
    <sheet name="Summary"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4" i="3" l="1"/>
  <c r="D143" i="4"/>
  <c r="D26" i="4"/>
  <c r="E55" i="3"/>
  <c r="E57" i="3"/>
  <c r="E59" i="3" s="1"/>
  <c r="E60" i="3" s="1"/>
  <c r="E73" i="3"/>
  <c r="D39" i="4"/>
  <c r="E75" i="3"/>
  <c r="E76" i="3"/>
  <c r="U44" i="3"/>
  <c r="L16" i="3"/>
  <c r="M36" i="3"/>
  <c r="M35" i="3"/>
  <c r="P29" i="3"/>
  <c r="O52" i="3"/>
  <c r="M16" i="3"/>
  <c r="R40" i="3"/>
  <c r="P27" i="3"/>
  <c r="P26" i="3"/>
  <c r="P25" i="3"/>
  <c r="P24" i="3"/>
  <c r="P23" i="3"/>
  <c r="P22" i="3"/>
  <c r="P21" i="3"/>
  <c r="P20" i="3"/>
  <c r="O49" i="3"/>
  <c r="O47" i="3"/>
  <c r="O45" i="3"/>
  <c r="O42" i="3"/>
  <c r="O40" i="3"/>
  <c r="O36" i="3"/>
  <c r="O20" i="3"/>
  <c r="L22" i="3"/>
  <c r="L18" i="3"/>
  <c r="L17" i="3"/>
  <c r="J20" i="3"/>
  <c r="F40" i="3"/>
  <c r="E89" i="3"/>
  <c r="E88" i="3"/>
  <c r="E87" i="3"/>
  <c r="E86" i="3"/>
  <c r="H104" i="3"/>
  <c r="H103" i="3"/>
  <c r="D132" i="4"/>
  <c r="N104" i="3"/>
  <c r="D21" i="4"/>
  <c r="D40" i="4"/>
  <c r="D19" i="4"/>
  <c r="H133" i="3"/>
  <c r="H122" i="3"/>
  <c r="N109" i="3"/>
  <c r="N108" i="3"/>
  <c r="N107" i="3"/>
  <c r="N106" i="3"/>
  <c r="N105" i="3"/>
  <c r="H105" i="3"/>
  <c r="H98" i="3"/>
  <c r="M115" i="3"/>
  <c r="M120" i="3"/>
  <c r="M119" i="3"/>
  <c r="M118" i="3"/>
  <c r="M117" i="3"/>
  <c r="M116" i="3"/>
  <c r="J104" i="3"/>
  <c r="J105" i="3"/>
  <c r="K110" i="4"/>
  <c r="D151" i="4"/>
  <c r="H109" i="3"/>
  <c r="H131" i="3"/>
  <c r="H127" i="3"/>
  <c r="H126" i="3"/>
  <c r="H137" i="3"/>
  <c r="D42" i="4"/>
  <c r="H64" i="3"/>
  <c r="H121" i="3"/>
  <c r="H132" i="3" s="1"/>
  <c r="H102" i="3"/>
  <c r="H74" i="3"/>
  <c r="I79" i="3" s="1"/>
  <c r="D131" i="4"/>
  <c r="K72" i="4"/>
  <c r="D141" i="4" s="1"/>
  <c r="D142" i="4"/>
  <c r="D31" i="4"/>
  <c r="D43" i="4"/>
  <c r="E105" i="4"/>
  <c r="E44" i="4"/>
  <c r="J106" i="3"/>
  <c r="J107" i="3"/>
  <c r="J108" i="3"/>
  <c r="J109" i="3"/>
  <c r="H106" i="3"/>
  <c r="H107" i="3"/>
  <c r="H108" i="3"/>
  <c r="H92" i="3"/>
  <c r="H93" i="3" s="1"/>
  <c r="H94" i="3" s="1"/>
  <c r="H95" i="3" s="1"/>
  <c r="H96" i="3" s="1"/>
  <c r="H97" i="3" s="1"/>
  <c r="H63" i="3"/>
  <c r="H65" i="3" s="1"/>
  <c r="H66" i="3" s="1"/>
  <c r="H67" i="3" s="1"/>
  <c r="H68" i="3" s="1"/>
  <c r="H69" i="3" s="1"/>
  <c r="F16" i="3"/>
  <c r="L26" i="3"/>
  <c r="L27" i="3"/>
  <c r="L28" i="3"/>
  <c r="F30" i="3"/>
  <c r="J30" i="3" s="1"/>
  <c r="F33" i="3"/>
  <c r="J33" i="3" s="1"/>
  <c r="J35" i="3"/>
  <c r="L35" i="3" s="1"/>
  <c r="F42" i="3"/>
  <c r="J42" i="3" s="1"/>
  <c r="J45" i="3"/>
  <c r="F26" i="3"/>
  <c r="F17" i="3"/>
  <c r="F18" i="3"/>
  <c r="F19" i="3"/>
  <c r="F20" i="3"/>
  <c r="F21" i="3"/>
  <c r="F22" i="3"/>
  <c r="F23" i="3"/>
  <c r="F24" i="3"/>
  <c r="F25" i="3"/>
  <c r="F27" i="3"/>
  <c r="F28" i="3"/>
  <c r="F29" i="3"/>
  <c r="J29" i="3" s="1"/>
  <c r="F31" i="3"/>
  <c r="J31" i="3" s="1"/>
  <c r="F32" i="3"/>
  <c r="J32" i="3" s="1"/>
  <c r="F34" i="3"/>
  <c r="J34" i="3" s="1"/>
  <c r="F35" i="3"/>
  <c r="F36" i="3"/>
  <c r="J36" i="3" s="1"/>
  <c r="F37" i="3"/>
  <c r="F38" i="3"/>
  <c r="J38" i="3" s="1"/>
  <c r="F39" i="3"/>
  <c r="J39" i="3" s="1"/>
  <c r="F41" i="3"/>
  <c r="J41" i="3" s="1"/>
  <c r="F43" i="3"/>
  <c r="J43" i="3" s="1"/>
  <c r="F44" i="3"/>
  <c r="J44" i="3" s="1"/>
  <c r="F45" i="3"/>
  <c r="F46" i="3"/>
  <c r="F47" i="3"/>
  <c r="F48" i="3"/>
  <c r="J48" i="3" s="1"/>
  <c r="F49" i="3"/>
  <c r="J49" i="3" s="1"/>
  <c r="E125" i="4"/>
  <c r="D130" i="4"/>
  <c r="E86" i="4"/>
  <c r="F58" i="4" s="1"/>
  <c r="D30" i="4"/>
  <c r="D32" i="4" s="1"/>
  <c r="D33" i="4" s="1"/>
  <c r="D34" i="4" s="1"/>
  <c r="D35" i="4" s="1"/>
  <c r="D36" i="4" s="1"/>
  <c r="I77" i="3" l="1"/>
  <c r="I82" i="3"/>
  <c r="I78" i="3"/>
  <c r="L50" i="3"/>
  <c r="M33" i="3" s="1"/>
  <c r="E42" i="4"/>
  <c r="E39" i="4"/>
  <c r="D41" i="4"/>
  <c r="F57" i="4"/>
  <c r="I80" i="3"/>
  <c r="I81" i="3"/>
  <c r="E43" i="4"/>
  <c r="E41" i="4"/>
  <c r="D45" i="4"/>
  <c r="E45" i="4" s="1"/>
  <c r="D44" i="4"/>
  <c r="D46" i="4"/>
  <c r="E46" i="4" s="1"/>
  <c r="E40" i="4"/>
  <c r="F52" i="4"/>
  <c r="F56" i="4"/>
  <c r="F85" i="4"/>
  <c r="F65" i="4"/>
  <c r="F74" i="4"/>
  <c r="F73" i="4"/>
  <c r="F77" i="4"/>
  <c r="F76" i="4"/>
  <c r="F66" i="4"/>
  <c r="F64" i="4"/>
  <c r="F53" i="4"/>
  <c r="F67" i="4"/>
  <c r="F75" i="4"/>
  <c r="F55" i="4"/>
  <c r="F84" i="4"/>
  <c r="F54" i="4"/>
  <c r="F83" i="4"/>
  <c r="F63" i="4"/>
  <c r="F82" i="4"/>
  <c r="F72" i="4"/>
  <c r="F62" i="4"/>
  <c r="D129" i="4"/>
  <c r="F81" i="4"/>
  <c r="F71" i="4"/>
  <c r="F61" i="4"/>
  <c r="F80" i="4"/>
  <c r="F70" i="4"/>
  <c r="F60" i="4"/>
  <c r="F79" i="4"/>
  <c r="F69" i="4"/>
  <c r="F59" i="4"/>
  <c r="F78" i="4"/>
  <c r="F68" i="4"/>
  <c r="H123" i="3" l="1"/>
  <c r="I85" i="3"/>
  <c r="F86" i="4"/>
  <c r="M28" i="3"/>
  <c r="M38" i="3"/>
  <c r="M49" i="3"/>
  <c r="M31" i="3"/>
  <c r="M41" i="3"/>
  <c r="M25" i="3"/>
  <c r="M27" i="3"/>
  <c r="M19" i="3"/>
  <c r="M29" i="3"/>
  <c r="M39" i="3"/>
  <c r="M30" i="3"/>
  <c r="M40" i="3"/>
  <c r="M32" i="3"/>
  <c r="M43" i="3"/>
  <c r="M45" i="3"/>
  <c r="M17" i="3"/>
  <c r="M20" i="3"/>
  <c r="M42" i="3"/>
  <c r="M23" i="3"/>
  <c r="M24" i="3"/>
  <c r="M34" i="3"/>
  <c r="M44" i="3"/>
  <c r="M48" i="3"/>
  <c r="M37" i="3"/>
  <c r="M21" i="3"/>
  <c r="M26" i="3"/>
  <c r="M46" i="3"/>
  <c r="M47" i="3"/>
  <c r="M22" i="3"/>
  <c r="M18" i="3"/>
  <c r="H134" i="3" l="1"/>
  <c r="H124" i="3"/>
  <c r="M50" i="3"/>
  <c r="H125" i="3" l="1"/>
  <c r="H135" i="3"/>
  <c r="E120" i="4"/>
  <c r="E93" i="4"/>
  <c r="E104" i="4"/>
  <c r="E119" i="4"/>
  <c r="E117" i="4"/>
  <c r="E124" i="4"/>
  <c r="E95" i="4"/>
  <c r="E108" i="4"/>
  <c r="E103" i="4"/>
  <c r="E116" i="4"/>
  <c r="E100" i="4"/>
  <c r="E109" i="4"/>
  <c r="E111" i="4"/>
  <c r="E97" i="4"/>
  <c r="E114" i="4"/>
  <c r="E123" i="4"/>
  <c r="E121" i="4"/>
  <c r="E113" i="4"/>
  <c r="E106" i="4"/>
  <c r="E102" i="4"/>
  <c r="E118" i="4"/>
  <c r="E110" i="4"/>
  <c r="E107" i="4"/>
  <c r="E101" i="4"/>
  <c r="E94" i="4"/>
  <c r="E96" i="4"/>
  <c r="E112" i="4"/>
  <c r="E98" i="4"/>
  <c r="E122" i="4"/>
  <c r="E99" i="4"/>
  <c r="E92" i="4"/>
  <c r="E115" i="4"/>
  <c r="H136" i="3" l="1"/>
  <c r="H13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tc={93F6CCAB-4043-2F4C-91A6-B3AA00C9F5A0}</author>
  </authors>
  <commentList>
    <comment ref="H102" authorId="0" shapeId="0" xr:uid="{93F6CCAB-4043-2F4C-91A6-B3AA00C9F5A0}">
      <text>
        <t xml:space="preserve">[Threaded comment]
Your version of Excel allows you to read this threaded comment; however, any edits to it will get removed if the file is opened in a newer version of Excel. Learn more: https://go.microsoft.com/fwlink/?linkid=870924
Comment:
    In order to calculate optimal SQ FT needed I need to multiply meals/day *7 and then multiply it by 2.19 to find optimal SQ FT needed. </t>
      </text>
    </comment>
  </commentList>
</comments>
</file>

<file path=xl/sharedStrings.xml><?xml version="1.0" encoding="utf-8"?>
<sst xmlns="http://schemas.openxmlformats.org/spreadsheetml/2006/main" count="394" uniqueCount="156">
  <si>
    <t>We have identified a new potential facility to expand and relocate our Miami operations. The site is 30,000 net sqft of usable space, and requires a design construction build-out to fit our operation. You are tasked with making a recomendation to leadership on how to allocate space in this new potential site to ensure we have suficient room to run and grow our Miami operations, taking into account key learnings from our past development project in Market X. 
Leadership wants to know based on our current production capacity in Miami and the latest growth projections, whats the maximum capacity this new potential site can handle in terms of meal production. This week Miami broke its record and produced 13,000 meals on its busiest day of the week. We expect our current facility in Miami to max out by the end of 2024, doubling its volume from current levels by end of year. The CFO reports Miami will double in size again in 2025 and then grow 40% in 2026, and 30% YoYfrom 2027-2030.
Meanwhile our largest investor wants to understand how much ARR can be generated from this new potential facility, and how long we can operate out of it until our growth surpases its maximum capacity. Leadership has asked you a summary table and/or visual representation of how capacity (meals and ARR) would play out starting on the target grand opening date for this new site (Jan 2025) until it reaches the max potential output you've calculated so they can show investors how much runway we can extract form this space.
Use the below data from Market X which underwent a similar facility development investment to make your recomendations. Remember that Market X is currently having capacity issues that are being discovered due to potentially having allocated the wrong amount of space to key areas of the operations that impact our ability to produce meals like prep and cook station square footage. The CEO is particularly intererest in improving the space allocation ratios so we dont run into similar capacity blockers again.
Point out any assumptions you make and about your calculations or the data you use.</t>
  </si>
  <si>
    <t>Market X Current Max Capacity</t>
  </si>
  <si>
    <t>Chef Cooking Station Shifts per Day</t>
  </si>
  <si>
    <t>Peak Day Meal production</t>
  </si>
  <si>
    <t>Week Meal Production</t>
  </si>
  <si>
    <t>ARR (Production Based)</t>
  </si>
  <si>
    <t>Ops Program</t>
  </si>
  <si>
    <t>Area</t>
  </si>
  <si>
    <t>Market X sq ft</t>
  </si>
  <si>
    <t>Recieving (SC)</t>
  </si>
  <si>
    <t>Dry Packaging</t>
  </si>
  <si>
    <t>Frozen Ice</t>
  </si>
  <si>
    <t>Cold protein</t>
  </si>
  <si>
    <t>Cold produce</t>
  </si>
  <si>
    <t>Distribution &amp; Sustainability Station</t>
  </si>
  <si>
    <t>Waste Management</t>
  </si>
  <si>
    <t xml:space="preserve">Frozen food </t>
  </si>
  <si>
    <t>Dry food</t>
  </si>
  <si>
    <t xml:space="preserve">Marketplace dist </t>
  </si>
  <si>
    <t>Marketplace BreakDown Dock Area</t>
  </si>
  <si>
    <t>Prep/Cook Stations</t>
  </si>
  <si>
    <t>Hotline (hood coverage)</t>
  </si>
  <si>
    <t xml:space="preserve">Kitchen Cold storage </t>
  </si>
  <si>
    <t>Blast Chill</t>
  </si>
  <si>
    <t xml:space="preserve">Plating </t>
  </si>
  <si>
    <t>Dishwashing</t>
  </si>
  <si>
    <t>Smallware Storage</t>
  </si>
  <si>
    <t xml:space="preserve">Food Safety Check </t>
  </si>
  <si>
    <t>Meal Sealing</t>
  </si>
  <si>
    <t xml:space="preserve">Fulfillment Reserve cooler </t>
  </si>
  <si>
    <t>Box building</t>
  </si>
  <si>
    <t>Order Assembly</t>
  </si>
  <si>
    <t>Bag/Box Staging</t>
  </si>
  <si>
    <t xml:space="preserve">Printing </t>
  </si>
  <si>
    <t>Labeling</t>
  </si>
  <si>
    <t xml:space="preserve">Order Handoff Station </t>
  </si>
  <si>
    <t>Lockers</t>
  </si>
  <si>
    <t>Bathroom</t>
  </si>
  <si>
    <t xml:space="preserve">Linnen room </t>
  </si>
  <si>
    <t>Management office</t>
  </si>
  <si>
    <t>Culinary QA office</t>
  </si>
  <si>
    <t>Chef and chef success office</t>
  </si>
  <si>
    <t>Content kitchen</t>
  </si>
  <si>
    <t>Break Room</t>
  </si>
  <si>
    <t>Assumptions</t>
  </si>
  <si>
    <t xml:space="preserve">ARR/Total Meal Production will be taken from Market X data given </t>
  </si>
  <si>
    <t>ARR Per Meal</t>
  </si>
  <si>
    <t>Estimated Meal Production Per Year in Market X</t>
  </si>
  <si>
    <t>Production</t>
  </si>
  <si>
    <t xml:space="preserve">2024 Current production </t>
  </si>
  <si>
    <t xml:space="preserve">2024 EOY Projected Production </t>
  </si>
  <si>
    <t>2025 Projected Production</t>
  </si>
  <si>
    <t xml:space="preserve">2026 Projected Production </t>
  </si>
  <si>
    <t xml:space="preserve">2027 Projected Production </t>
  </si>
  <si>
    <t xml:space="preserve">2028 Projected Production </t>
  </si>
  <si>
    <t xml:space="preserve">2029 Projected Production </t>
  </si>
  <si>
    <t xml:space="preserve">2030 Projected Production </t>
  </si>
  <si>
    <t>ARR Calculation</t>
  </si>
  <si>
    <t>2024 EOY ARR Calculation</t>
  </si>
  <si>
    <t>2025 Projected ARR</t>
  </si>
  <si>
    <t>2026 Projected ARR</t>
  </si>
  <si>
    <t>2027 Projected ARR</t>
  </si>
  <si>
    <t>2028 Projected ARR</t>
  </si>
  <si>
    <t>2029 Projected ARR</t>
  </si>
  <si>
    <t>2030 Projected ARR</t>
  </si>
  <si>
    <t>Yearly</t>
  </si>
  <si>
    <t>I am taking weekly production/peak day production because we want to see how many peak days equal a week</t>
  </si>
  <si>
    <t xml:space="preserve">I will assume Miami will operate in the same sq ft ratios as Market X. After we calculate current production levels we will make recommendations accordingly. </t>
  </si>
  <si>
    <t xml:space="preserve">Ratio Calculation </t>
  </si>
  <si>
    <t>Receiving (SC)</t>
  </si>
  <si>
    <t>Culinary</t>
  </si>
  <si>
    <t>Fullfillment</t>
  </si>
  <si>
    <t>Fulfillment Reserve Cooler</t>
  </si>
  <si>
    <t>Marketplace</t>
  </si>
  <si>
    <t>Non Priority Space</t>
  </si>
  <si>
    <t>Chef and Chef success office</t>
  </si>
  <si>
    <t>SUM For Market X SQ Ft</t>
  </si>
  <si>
    <t>Miami Potential Site Space Allocation Blue Print</t>
  </si>
  <si>
    <t>Space Allocation in SQ FT</t>
  </si>
  <si>
    <t>Market X Ratios</t>
  </si>
  <si>
    <t>MARKET X Space Allocation</t>
  </si>
  <si>
    <t>SUM For Miami Market SQ Ft</t>
  </si>
  <si>
    <t>SUM For Miami Market SQ FT</t>
  </si>
  <si>
    <t>Capacity Ratio</t>
  </si>
  <si>
    <t>Overall Production Capacity at the Potential Miami market is %17 less than Market X. (30,000/36,000)</t>
  </si>
  <si>
    <t>Capacity Shortfall</t>
  </si>
  <si>
    <t>When Reallocating Space, I will divide each station into High,Low Priority.The goal is to increase production by reducing unnecessary space assigned. (Please Review Space Allocation Analysis Tab)</t>
  </si>
  <si>
    <t>Priority</t>
  </si>
  <si>
    <t>Low</t>
  </si>
  <si>
    <t>High</t>
  </si>
  <si>
    <t xml:space="preserve">meals/day </t>
  </si>
  <si>
    <t>Summary/Final Recommendation</t>
  </si>
  <si>
    <t xml:space="preserve">Decrease </t>
  </si>
  <si>
    <t xml:space="preserve">Increase </t>
  </si>
  <si>
    <t>Merge: Mgmt, Chef Success, Culinary QA Office</t>
  </si>
  <si>
    <t>Reduce Locker Space and make accomodations</t>
  </si>
  <si>
    <t>Combine space with printing area</t>
  </si>
  <si>
    <t>Utilize boxes in Box Building Station and do rest in Order Assembly Station.</t>
  </si>
  <si>
    <t>Move part of Sustainability Station to Waste Management</t>
  </si>
  <si>
    <t>Space Left to be Reallocated in Miami Potential Site</t>
  </si>
  <si>
    <t>Space Reduction</t>
  </si>
  <si>
    <t>Space Increase</t>
  </si>
  <si>
    <t>Reallocate 20% of Remaining Space</t>
  </si>
  <si>
    <t>Space Reduction Reasoning</t>
  </si>
  <si>
    <t>Space Increase Reasoning</t>
  </si>
  <si>
    <t>Reduce Break Room by half</t>
  </si>
  <si>
    <t>Reallocate 10% of Remaining Space</t>
  </si>
  <si>
    <t xml:space="preserve">Reallocate 10% of Remaining Space </t>
  </si>
  <si>
    <t xml:space="preserve">Space Allocation Analysis: </t>
  </si>
  <si>
    <t>Revised Potential Site Ratio</t>
  </si>
  <si>
    <t>Miami Current Layout Production Capacity</t>
  </si>
  <si>
    <t xml:space="preserve">Total SQ FT of Production </t>
  </si>
  <si>
    <t>Total Production Facility</t>
  </si>
  <si>
    <t>Weekly ARR Total</t>
  </si>
  <si>
    <t>Annual</t>
  </si>
  <si>
    <t>Meal per week/SQ FT</t>
  </si>
  <si>
    <t xml:space="preserve">Annual ARR Total </t>
  </si>
  <si>
    <t>Weekly</t>
  </si>
  <si>
    <t>Week to Peak Day Ratio</t>
  </si>
  <si>
    <t>ARR Calculation for Miami Adjusted Current Layout</t>
  </si>
  <si>
    <t>Miami Projected ARR</t>
  </si>
  <si>
    <t xml:space="preserve"> ARR MAX </t>
  </si>
  <si>
    <t>TOTAL ARR w/ Adjusted MIA Location</t>
  </si>
  <si>
    <t xml:space="preserve">2024 Optimal SQ FT </t>
  </si>
  <si>
    <t>2024 EOY Optimal SQ FT</t>
  </si>
  <si>
    <t>2025 Optimal SQ FT</t>
  </si>
  <si>
    <t>2026 Optimal SQ FT</t>
  </si>
  <si>
    <t>2027 Optimal SQ FT</t>
  </si>
  <si>
    <t>2028 Optimal SQ FT</t>
  </si>
  <si>
    <t>2029 Optimal SQ FT</t>
  </si>
  <si>
    <t>2030 Optimal SQ FT</t>
  </si>
  <si>
    <t>Miami Potential Site Revised Space Allocation</t>
  </si>
  <si>
    <t>Total Maximum Meal Capacity Per Week</t>
  </si>
  <si>
    <t>This is the ARR Calculation with no capacity constraint</t>
  </si>
  <si>
    <t xml:space="preserve">Market X SQ FT to Meal Production </t>
  </si>
  <si>
    <t>Market X Production SQ FT</t>
  </si>
  <si>
    <t>Meals Produced at Market X Per Week</t>
  </si>
  <si>
    <t>SQ FT to Meal Production Per Week</t>
  </si>
  <si>
    <t>With the Current constrained layout Market X can produce 70,000 meals/week and the 30,000 sq ft layout can produce maximum 58,320 meals/week.</t>
  </si>
  <si>
    <t xml:space="preserve">I have calculated that 2.19 meals per SQ FT can be produced. </t>
  </si>
  <si>
    <t xml:space="preserve">1)  For SQ FT allocation reduction, I went ahead and reduced areas that I believed were not relevant (office space to be exact). For other areas, I went ahead and combined operational space to increase capacity of areas that I believed directly impacted production.                                                                                                                                                                                                                                                                                                                                                                2) I increased space allocation of areas that I believed directly impacted production.                                                                                                                                                                                                                                                                                                                                                            3) Based on Meals/day projections the new Miami site will be able to meet demand for 2025 but will not be able to meet expectations for 2026. With the adjusted layout, the potential Miami location can produce up to 61,171 meals per week.                                                                                                                          4) I identified the last Ops Program as Non-Priority space as it did not affect production and therefore carved out as much of the space as possible to reallocate to production OPS programs.                                                                                          </t>
  </si>
  <si>
    <t>5)</t>
  </si>
  <si>
    <t>4)</t>
  </si>
  <si>
    <t>1)</t>
  </si>
  <si>
    <t>Important: The Capacity is calculated based on the Adjusted Space Allocation made by my analysis.</t>
  </si>
  <si>
    <t>3)</t>
  </si>
  <si>
    <t>Optimal SQ FT  (with Given Ops Program Space Allocations) (Based on CFO Projections)</t>
  </si>
  <si>
    <t>Needed SQ FT Capacity to make Adjusted Potential Site Feasible for Regular Operations</t>
  </si>
  <si>
    <t>Miami Adjusted  Layout Capacity</t>
  </si>
  <si>
    <r>
      <t xml:space="preserve"> Based on our calculations, Capacity of the Potential Miami Site (with the revised production layout) will not be able to meet projected demand in 2025. The maximum of production capacity is </t>
    </r>
    <r>
      <rPr>
        <b/>
        <sz val="10"/>
        <color rgb="FF000000"/>
        <rFont val="Arial"/>
        <family val="2"/>
        <scheme val="minor"/>
      </rPr>
      <t xml:space="preserve">61,171 meals/week.     </t>
    </r>
    <r>
      <rPr>
        <sz val="10"/>
        <color rgb="FF000000"/>
        <rFont val="Arial"/>
        <family val="2"/>
        <scheme val="minor"/>
      </rPr>
      <t xml:space="preserve">                                                                                                                                                         I recommend that we adjust the space allocation as recommended as it increases </t>
    </r>
    <r>
      <rPr>
        <b/>
        <sz val="10"/>
        <color rgb="FF000000"/>
        <rFont val="Arial"/>
        <family val="2"/>
        <scheme val="minor"/>
      </rPr>
      <t>productivity by %5.</t>
    </r>
    <r>
      <rPr>
        <sz val="10"/>
        <color rgb="FF000000"/>
        <rFont val="Arial"/>
        <family val="2"/>
        <scheme val="minor"/>
      </rPr>
      <t xml:space="preserve">  (Review table in Space allocation analysis tab)                                                                                                                                                                                                                                                                           With Maximum Capacity and revised reallocation, Miami can produce </t>
    </r>
    <r>
      <rPr>
        <b/>
        <sz val="10"/>
        <color rgb="FF000000"/>
        <rFont val="Arial"/>
        <family val="2"/>
        <scheme val="minor"/>
      </rPr>
      <t xml:space="preserve">$43,705,310.24 of ARR.     </t>
    </r>
    <r>
      <rPr>
        <sz val="10"/>
        <color rgb="FF000000"/>
        <rFont val="Arial"/>
        <family val="2"/>
        <scheme val="minor"/>
      </rPr>
      <t xml:space="preserve">                                                                                                                                                                                                                            If Space does not get expanded or a new location is not signed, the Potential site with the adjusted layout will lose </t>
    </r>
    <r>
      <rPr>
        <sz val="10"/>
        <color rgb="FFFF0000"/>
        <rFont val="Arial (Body)"/>
      </rPr>
      <t xml:space="preserve">- $1,217,638,305.23 </t>
    </r>
    <r>
      <rPr>
        <sz val="10"/>
        <color theme="1"/>
        <rFont val="Arial (Body)"/>
      </rPr>
      <t xml:space="preserve">by 2030.   </t>
    </r>
    <r>
      <rPr>
        <sz val="10"/>
        <color rgb="FFFF0000"/>
        <rFont val="Arial (Body)"/>
      </rPr>
      <t xml:space="preserve">                      </t>
    </r>
    <r>
      <rPr>
        <sz val="10"/>
        <color theme="1"/>
        <rFont val="Arial (Body)"/>
      </rPr>
      <t>Major Capacity adjustments will need to be made to meet projected demand. Finding Additional Satellite locations will be very important for production health.</t>
    </r>
    <r>
      <rPr>
        <sz val="10"/>
        <color rgb="FFFF0000"/>
        <rFont val="Arial (Body)"/>
      </rPr>
      <t xml:space="preserve">                                                                                                                                       </t>
    </r>
    <r>
      <rPr>
        <sz val="10"/>
        <color rgb="FF000000"/>
        <rFont val="Arial"/>
        <family val="2"/>
        <scheme val="minor"/>
      </rPr>
      <t xml:space="preserve">                                                                                                                              </t>
    </r>
  </si>
  <si>
    <t>Miami Potential Site SQ FT need</t>
  </si>
  <si>
    <t># of Satelitte Locations Needed (w/ adjusted layout) Per week to run operations full</t>
  </si>
  <si>
    <t>Percentage Layout covers meals</t>
  </si>
  <si>
    <t>Market X Capacity</t>
  </si>
  <si>
    <t>ARR Total</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</si>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</sst>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mmmm\ yyyy"/>
    <numFmt numFmtId="165" formatCode="&quot;$&quot;#,##0"/>
    <numFmt numFmtId="166" formatCode="&quot;$&quot;#,##0.00"/>
    <numFmt numFmtId="167" formatCode="_(* #,##0_);_(* \(#,##0\);_(* &quot;-&quot;??_);_(@_)"/>
  </numFmts>
  <fonts count="23" x14ac:knownFonts="1">
    <font>
      <sz val="10"/>
      <color rgb="FF000000"/>
      <name val="Arial"/>
      <scheme val="minor"/>
    </font>
    <font>
      <sz val="10"/>
      <color theme="1"/>
      <name val="Arial"/>
      <family val="2"/>
      <scheme val="minor"/>
    </font>
    <font>
      <b/>
      <sz val="10"/>
      <color theme="1"/>
      <name val="Arial"/>
      <family val="2"/>
      <scheme val="minor"/>
    </font>
    <font>
      <i/>
      <sz val="8"/>
      <color theme="1"/>
      <name val="Arial"/>
      <family val="2"/>
    </font>
    <font>
      <sz val="8"/>
      <color theme="1"/>
      <name val="Arial"/>
      <family val="2"/>
      <scheme val="minor"/>
    </font>
    <font>
      <b/>
      <sz val="10"/>
      <color theme="1"/>
      <name val="Arial"/>
      <family val="2"/>
    </font>
    <font>
      <sz val="10"/>
      <name val="Arial"/>
      <family val="2"/>
    </font>
    <font>
      <sz val="10"/>
      <color theme="1"/>
      <name val="Arial"/>
      <family val="2"/>
    </font>
    <font>
      <sz val="10"/>
      <color rgb="FF000000"/>
      <name val="Arial"/>
      <family val="2"/>
    </font>
    <font>
      <sz val="10"/>
      <color rgb="FF000000"/>
      <name val="Arial"/>
      <family val="2"/>
      <scheme val="minor"/>
    </font>
    <font>
      <i/>
      <sz val="10"/>
      <color theme="1"/>
      <name val="Arial"/>
      <family val="2"/>
    </font>
    <font>
      <i/>
      <sz val="10"/>
      <color theme="1"/>
      <name val="Arial (Body)"/>
    </font>
    <font>
      <sz val="10"/>
      <color theme="1"/>
      <name val="Arial (Body)"/>
    </font>
    <font>
      <b/>
      <sz val="10"/>
      <color rgb="FF000000"/>
      <name val="Arial"/>
      <family val="2"/>
      <scheme val="minor"/>
    </font>
    <font>
      <b/>
      <sz val="15"/>
      <color rgb="FF000000"/>
      <name val="Arial"/>
      <family val="2"/>
      <scheme val="minor"/>
    </font>
    <font>
      <b/>
      <sz val="12"/>
      <color rgb="FF000000"/>
      <name val="Arial"/>
      <family val="2"/>
      <scheme val="minor"/>
    </font>
    <font>
      <b/>
      <sz val="12"/>
      <color theme="1"/>
      <name val="Arial"/>
      <family val="2"/>
    </font>
    <font>
      <sz val="10"/>
      <color rgb="FFFF0000"/>
      <name val="Arial"/>
      <family val="2"/>
      <scheme val="minor"/>
    </font>
    <font>
      <sz val="8"/>
      <name val="Arial"/>
      <family val="2"/>
      <scheme val="minor"/>
    </font>
    <font>
      <b/>
      <sz val="10"/>
      <color rgb="FFFF0000"/>
      <name val="Arial"/>
      <family val="2"/>
      <scheme val="minor"/>
    </font>
    <font>
      <sz val="10"/>
      <color rgb="FF000000"/>
      <name val="Arial"/>
      <family val="2"/>
      <scheme val="minor"/>
    </font>
    <font>
      <sz val="10"/>
      <color rgb="FFFF0000"/>
      <name val="Arial (Body)"/>
    </font>
    <font>
      <b/>
      <sz val="13"/>
      <color rgb="FF000000"/>
      <name val="Arial"/>
      <family val="2"/>
      <scheme val="minor"/>
    </font>
  </fonts>
  <fills count="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00B050"/>
        <bgColor indexed="64"/>
      </patternFill>
    </fill>
    <fill>
      <patternFill patternType="solid">
        <fgColor theme="2"/>
        <bgColor rgb="FF000000"/>
      </patternFill>
    </fill>
    <fill>
      <patternFill patternType="solid">
        <fgColor rgb="FFFFFFFF"/>
        <bgColor rgb="FF000000"/>
      </patternFill>
    </fill>
    <fill>
      <patternFill patternType="solid">
        <fgColor rgb="FFFFFF00"/>
        <bgColor indexed="64"/>
      </patternFill>
    </fill>
  </fills>
  <borders count="33">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4" fontId="9" fillId="0" borderId="0" applyFont="0" applyFill="0" applyBorder="0" applyAlignment="0" applyProtection="0"/>
    <xf numFmtId="9" fontId="9" fillId="0" borderId="0" applyFont="0" applyFill="0" applyBorder="0" applyAlignment="0" applyProtection="0"/>
    <xf numFmtId="0" fontId="9" fillId="0" borderId="0"/>
    <xf numFmtId="43" fontId="20" fillId="0" borderId="0" applyFont="0" applyFill="0" applyBorder="0" applyAlignment="0" applyProtection="0"/>
  </cellStyleXfs>
  <cellXfs count="148">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wrapText="1"/>
    </xf>
    <xf numFmtId="164" fontId="2" fillId="0" borderId="0" xfId="0" applyNumberFormat="1" applyFont="1" applyAlignment="1">
      <alignment horizontal="left" vertical="center" wrapText="1"/>
    </xf>
    <xf numFmtId="0" fontId="3" fillId="0" borderId="1" xfId="0" applyFont="1" applyBorder="1" applyAlignment="1">
      <alignment horizontal="right"/>
    </xf>
    <xf numFmtId="1" fontId="4" fillId="0" borderId="2" xfId="0" applyNumberFormat="1" applyFont="1" applyBorder="1" applyAlignment="1">
      <alignment horizontal="right"/>
    </xf>
    <xf numFmtId="0" fontId="3" fillId="0" borderId="3" xfId="0" applyFont="1" applyBorder="1" applyAlignment="1">
      <alignment horizontal="right"/>
    </xf>
    <xf numFmtId="3" fontId="4" fillId="0" borderId="4" xfId="0" applyNumberFormat="1" applyFont="1" applyBorder="1" applyAlignment="1">
      <alignment horizontal="right"/>
    </xf>
    <xf numFmtId="0" fontId="3" fillId="0" borderId="5" xfId="0" applyFont="1" applyBorder="1" applyAlignment="1">
      <alignment horizontal="right"/>
    </xf>
    <xf numFmtId="3" fontId="4" fillId="0" borderId="6" xfId="0" applyNumberFormat="1" applyFont="1" applyBorder="1" applyAlignment="1">
      <alignment horizontal="right"/>
    </xf>
    <xf numFmtId="0" fontId="3" fillId="0" borderId="7" xfId="0" applyFont="1" applyBorder="1" applyAlignment="1">
      <alignment horizontal="right"/>
    </xf>
    <xf numFmtId="165" fontId="4" fillId="0" borderId="8" xfId="0" applyNumberFormat="1" applyFont="1" applyBorder="1" applyAlignment="1">
      <alignment horizontal="right"/>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0" borderId="8" xfId="0" applyFont="1" applyBorder="1"/>
    <xf numFmtId="3" fontId="2" fillId="0" borderId="11" xfId="0" applyNumberFormat="1" applyFont="1" applyBorder="1" applyAlignment="1">
      <alignment horizontal="center"/>
    </xf>
    <xf numFmtId="0" fontId="7" fillId="0" borderId="0" xfId="0" applyFont="1"/>
    <xf numFmtId="3" fontId="8" fillId="0" borderId="0" xfId="0" applyNumberFormat="1" applyFont="1" applyAlignment="1">
      <alignment horizontal="center"/>
    </xf>
    <xf numFmtId="0" fontId="7" fillId="0" borderId="0" xfId="0" applyFont="1" applyAlignment="1">
      <alignment wrapText="1"/>
    </xf>
    <xf numFmtId="0" fontId="7" fillId="0" borderId="9" xfId="0" applyFont="1" applyBorder="1"/>
    <xf numFmtId="3" fontId="8" fillId="0" borderId="9" xfId="0" applyNumberFormat="1" applyFont="1" applyBorder="1" applyAlignment="1">
      <alignment horizontal="center"/>
    </xf>
    <xf numFmtId="0" fontId="7" fillId="0" borderId="1" xfId="0" applyFont="1" applyBorder="1"/>
    <xf numFmtId="0" fontId="7" fillId="0" borderId="3" xfId="0" applyFont="1" applyBorder="1"/>
    <xf numFmtId="0" fontId="7" fillId="0" borderId="5" xfId="0" applyFont="1" applyBorder="1"/>
    <xf numFmtId="0" fontId="7" fillId="0" borderId="0" xfId="0" applyFont="1" applyAlignment="1">
      <alignment horizontal="center"/>
    </xf>
    <xf numFmtId="0" fontId="9" fillId="2" borderId="0" xfId="0" applyFont="1" applyFill="1"/>
    <xf numFmtId="0" fontId="0" fillId="2" borderId="0" xfId="0" applyFill="1"/>
    <xf numFmtId="166" fontId="0" fillId="2" borderId="0" xfId="0" applyNumberFormat="1" applyFill="1"/>
    <xf numFmtId="0" fontId="13" fillId="0" borderId="14" xfId="0" applyFont="1" applyBorder="1"/>
    <xf numFmtId="0" fontId="9" fillId="0" borderId="14" xfId="0" applyFont="1" applyBorder="1"/>
    <xf numFmtId="0" fontId="0" fillId="0" borderId="14" xfId="0" applyBorder="1"/>
    <xf numFmtId="1" fontId="0" fillId="0" borderId="14" xfId="0" applyNumberFormat="1" applyBorder="1"/>
    <xf numFmtId="166" fontId="0" fillId="2" borderId="14" xfId="0" applyNumberFormat="1" applyFill="1" applyBorder="1"/>
    <xf numFmtId="0" fontId="13" fillId="2" borderId="14" xfId="0" applyFont="1" applyFill="1" applyBorder="1"/>
    <xf numFmtId="0" fontId="9" fillId="2" borderId="14" xfId="0" applyFont="1" applyFill="1" applyBorder="1"/>
    <xf numFmtId="0" fontId="0" fillId="3" borderId="0" xfId="0" applyFill="1"/>
    <xf numFmtId="0" fontId="7" fillId="3" borderId="0" xfId="0" applyFont="1" applyFill="1"/>
    <xf numFmtId="10" fontId="0" fillId="3" borderId="0" xfId="0" applyNumberFormat="1" applyFill="1"/>
    <xf numFmtId="0" fontId="9" fillId="3" borderId="0" xfId="0" applyFont="1" applyFill="1"/>
    <xf numFmtId="1" fontId="0" fillId="3" borderId="0" xfId="0" applyNumberFormat="1" applyFill="1"/>
    <xf numFmtId="0" fontId="2" fillId="0" borderId="14" xfId="0" applyFont="1" applyBorder="1" applyAlignment="1">
      <alignment horizontal="center" vertical="center" wrapText="1"/>
    </xf>
    <xf numFmtId="0" fontId="2" fillId="0" borderId="14" xfId="0" applyFont="1" applyBorder="1" applyAlignment="1">
      <alignment horizontal="left" vertical="center" wrapText="1"/>
    </xf>
    <xf numFmtId="0" fontId="7" fillId="0" borderId="14" xfId="0" applyFont="1" applyBorder="1"/>
    <xf numFmtId="3" fontId="8" fillId="0" borderId="14" xfId="0" applyNumberFormat="1" applyFont="1" applyBorder="1" applyAlignment="1">
      <alignment horizontal="center"/>
    </xf>
    <xf numFmtId="10" fontId="0" fillId="0" borderId="14" xfId="0" applyNumberFormat="1" applyBorder="1"/>
    <xf numFmtId="0" fontId="7" fillId="0" borderId="14" xfId="0" applyFont="1" applyBorder="1" applyAlignment="1">
      <alignment wrapText="1"/>
    </xf>
    <xf numFmtId="3" fontId="7" fillId="0" borderId="14" xfId="0" applyNumberFormat="1" applyFont="1" applyBorder="1" applyAlignment="1">
      <alignment horizontal="center"/>
    </xf>
    <xf numFmtId="0" fontId="9" fillId="3" borderId="14" xfId="0" applyFont="1" applyFill="1" applyBorder="1"/>
    <xf numFmtId="0" fontId="13" fillId="3" borderId="14" xfId="0" applyFont="1" applyFill="1" applyBorder="1"/>
    <xf numFmtId="0" fontId="0" fillId="3" borderId="14" xfId="0" applyFill="1" applyBorder="1"/>
    <xf numFmtId="1" fontId="0" fillId="3" borderId="14" xfId="0" applyNumberFormat="1" applyFill="1" applyBorder="1"/>
    <xf numFmtId="10" fontId="0" fillId="3" borderId="14" xfId="2" applyNumberFormat="1" applyFont="1" applyFill="1" applyBorder="1"/>
    <xf numFmtId="0" fontId="14" fillId="2" borderId="0" xfId="0" applyFont="1" applyFill="1"/>
    <xf numFmtId="0" fontId="7" fillId="3" borderId="14" xfId="0" applyFont="1" applyFill="1" applyBorder="1"/>
    <xf numFmtId="1" fontId="0" fillId="2" borderId="0" xfId="0" applyNumberFormat="1" applyFill="1"/>
    <xf numFmtId="166" fontId="13" fillId="2" borderId="14" xfId="0" applyNumberFormat="1" applyFont="1" applyFill="1" applyBorder="1"/>
    <xf numFmtId="9" fontId="0" fillId="3" borderId="14" xfId="2" applyFont="1" applyFill="1" applyBorder="1"/>
    <xf numFmtId="9" fontId="13" fillId="3" borderId="14" xfId="2" applyFont="1" applyFill="1" applyBorder="1"/>
    <xf numFmtId="2" fontId="13" fillId="2" borderId="14" xfId="0" applyNumberFormat="1" applyFont="1" applyFill="1" applyBorder="1"/>
    <xf numFmtId="0" fontId="14" fillId="3" borderId="0" xfId="0" applyFont="1" applyFill="1"/>
    <xf numFmtId="0" fontId="7" fillId="3" borderId="14" xfId="0" applyFont="1" applyFill="1" applyBorder="1" applyAlignment="1">
      <alignment wrapText="1"/>
    </xf>
    <xf numFmtId="0" fontId="2" fillId="3" borderId="14" xfId="0" applyFont="1" applyFill="1" applyBorder="1" applyAlignment="1">
      <alignment horizontal="center" vertical="center" wrapText="1"/>
    </xf>
    <xf numFmtId="0" fontId="2" fillId="3" borderId="14" xfId="0" applyFont="1" applyFill="1" applyBorder="1" applyAlignment="1">
      <alignment horizontal="left" vertical="center" wrapText="1"/>
    </xf>
    <xf numFmtId="0" fontId="15" fillId="3" borderId="0" xfId="0" applyFont="1" applyFill="1"/>
    <xf numFmtId="1" fontId="0" fillId="3" borderId="14" xfId="2" applyNumberFormat="1" applyFont="1" applyFill="1" applyBorder="1"/>
    <xf numFmtId="0" fontId="0" fillId="4" borderId="0" xfId="0" applyFill="1"/>
    <xf numFmtId="0" fontId="0" fillId="5" borderId="0" xfId="0" applyFill="1"/>
    <xf numFmtId="1" fontId="0" fillId="4" borderId="14" xfId="2" applyNumberFormat="1" applyFont="1" applyFill="1" applyBorder="1"/>
    <xf numFmtId="2" fontId="0" fillId="3" borderId="14" xfId="0" applyNumberFormat="1" applyFill="1" applyBorder="1"/>
    <xf numFmtId="1" fontId="9" fillId="3" borderId="14" xfId="0" applyNumberFormat="1" applyFont="1" applyFill="1" applyBorder="1"/>
    <xf numFmtId="1" fontId="9" fillId="3" borderId="14" xfId="2" applyNumberFormat="1" applyFont="1" applyFill="1" applyBorder="1"/>
    <xf numFmtId="44" fontId="0" fillId="3" borderId="14" xfId="1" applyFont="1" applyFill="1" applyBorder="1"/>
    <xf numFmtId="1" fontId="0" fillId="5" borderId="14" xfId="0" applyNumberFormat="1" applyFill="1" applyBorder="1"/>
    <xf numFmtId="1" fontId="0" fillId="0" borderId="14" xfId="2" applyNumberFormat="1" applyFont="1" applyFill="1" applyBorder="1"/>
    <xf numFmtId="2" fontId="0" fillId="0" borderId="14" xfId="2" applyNumberFormat="1" applyFont="1" applyFill="1" applyBorder="1"/>
    <xf numFmtId="9" fontId="0" fillId="3" borderId="14" xfId="0" applyNumberFormat="1" applyFill="1" applyBorder="1"/>
    <xf numFmtId="44" fontId="9" fillId="3" borderId="0" xfId="0" applyNumberFormat="1" applyFont="1" applyFill="1"/>
    <xf numFmtId="3" fontId="0" fillId="2" borderId="0" xfId="0" applyNumberFormat="1" applyFill="1"/>
    <xf numFmtId="2" fontId="9" fillId="3" borderId="0" xfId="0" applyNumberFormat="1" applyFont="1" applyFill="1"/>
    <xf numFmtId="0" fontId="16" fillId="3" borderId="0" xfId="0" applyFont="1" applyFill="1"/>
    <xf numFmtId="0" fontId="9" fillId="6" borderId="14" xfId="0" applyFont="1" applyFill="1" applyBorder="1" applyAlignment="1">
      <alignment horizontal="left" vertical="center" wrapText="1"/>
    </xf>
    <xf numFmtId="44" fontId="0" fillId="3" borderId="14" xfId="0" applyNumberFormat="1" applyFill="1" applyBorder="1"/>
    <xf numFmtId="0" fontId="10" fillId="2" borderId="14" xfId="0" applyFont="1" applyFill="1" applyBorder="1" applyAlignment="1">
      <alignment horizontal="left" vertical="top"/>
    </xf>
    <xf numFmtId="3" fontId="1" fillId="2" borderId="14" xfId="0" applyNumberFormat="1" applyFont="1" applyFill="1" applyBorder="1" applyAlignment="1">
      <alignment horizontal="right"/>
    </xf>
    <xf numFmtId="0" fontId="11" fillId="3" borderId="14" xfId="0" applyFont="1" applyFill="1" applyBorder="1" applyAlignment="1">
      <alignment horizontal="left" vertical="top"/>
    </xf>
    <xf numFmtId="165" fontId="12" fillId="3" borderId="14" xfId="0" applyNumberFormat="1" applyFont="1" applyFill="1" applyBorder="1" applyAlignment="1">
      <alignment horizontal="right"/>
    </xf>
    <xf numFmtId="0" fontId="11" fillId="2" borderId="14" xfId="0" applyFont="1" applyFill="1" applyBorder="1" applyAlignment="1">
      <alignment horizontal="left" vertical="top"/>
    </xf>
    <xf numFmtId="3" fontId="12" fillId="2" borderId="14" xfId="0" applyNumberFormat="1" applyFont="1" applyFill="1" applyBorder="1" applyAlignment="1">
      <alignment horizontal="left" vertical="top"/>
    </xf>
    <xf numFmtId="3" fontId="12" fillId="3" borderId="14" xfId="0" applyNumberFormat="1" applyFont="1" applyFill="1" applyBorder="1" applyAlignment="1">
      <alignment horizontal="left" vertical="top"/>
    </xf>
    <xf numFmtId="3" fontId="7" fillId="3" borderId="14" xfId="0" applyNumberFormat="1" applyFont="1" applyFill="1" applyBorder="1" applyAlignment="1">
      <alignment horizontal="right"/>
    </xf>
    <xf numFmtId="0" fontId="15" fillId="2" borderId="0" xfId="0" applyFont="1" applyFill="1"/>
    <xf numFmtId="2" fontId="0" fillId="2" borderId="0" xfId="0" applyNumberFormat="1" applyFill="1"/>
    <xf numFmtId="0" fontId="7" fillId="2" borderId="0" xfId="0" applyFont="1" applyFill="1"/>
    <xf numFmtId="44" fontId="0" fillId="2" borderId="0" xfId="1" applyFont="1" applyFill="1" applyBorder="1"/>
    <xf numFmtId="0" fontId="17" fillId="3" borderId="0" xfId="0" applyFont="1" applyFill="1"/>
    <xf numFmtId="44" fontId="17" fillId="3" borderId="14" xfId="0" applyNumberFormat="1" applyFont="1" applyFill="1" applyBorder="1"/>
    <xf numFmtId="0" fontId="9" fillId="0" borderId="31" xfId="0" applyFont="1" applyBorder="1"/>
    <xf numFmtId="0" fontId="15" fillId="7" borderId="0" xfId="0" applyFont="1" applyFill="1"/>
    <xf numFmtId="0" fontId="9" fillId="7" borderId="0" xfId="0" applyFont="1" applyFill="1"/>
    <xf numFmtId="0" fontId="9" fillId="7" borderId="14" xfId="0" applyFont="1" applyFill="1" applyBorder="1" applyAlignment="1">
      <alignment horizontal="left" vertical="center" wrapText="1"/>
    </xf>
    <xf numFmtId="1" fontId="9" fillId="7" borderId="32" xfId="0" applyNumberFormat="1" applyFont="1" applyFill="1" applyBorder="1"/>
    <xf numFmtId="0" fontId="9" fillId="7" borderId="31" xfId="0" applyFont="1" applyFill="1" applyBorder="1"/>
    <xf numFmtId="1" fontId="9" fillId="7" borderId="30" xfId="0" applyNumberFormat="1" applyFont="1" applyFill="1" applyBorder="1"/>
    <xf numFmtId="0" fontId="9" fillId="8" borderId="14" xfId="0" applyFont="1" applyFill="1" applyBorder="1"/>
    <xf numFmtId="1" fontId="0" fillId="8" borderId="14" xfId="0" applyNumberFormat="1" applyFill="1" applyBorder="1"/>
    <xf numFmtId="44" fontId="13" fillId="2" borderId="14" xfId="1" applyFont="1" applyFill="1" applyBorder="1"/>
    <xf numFmtId="44" fontId="19" fillId="3" borderId="14" xfId="0" applyNumberFormat="1" applyFont="1" applyFill="1" applyBorder="1"/>
    <xf numFmtId="3" fontId="0" fillId="2" borderId="14" xfId="0" applyNumberFormat="1" applyFill="1" applyBorder="1"/>
    <xf numFmtId="0" fontId="0" fillId="2" borderId="14" xfId="0" applyFill="1" applyBorder="1"/>
    <xf numFmtId="2" fontId="13" fillId="7" borderId="30" xfId="0" applyNumberFormat="1" applyFont="1" applyFill="1" applyBorder="1"/>
    <xf numFmtId="167" fontId="13" fillId="3" borderId="14" xfId="4" applyNumberFormat="1" applyFont="1" applyFill="1" applyBorder="1"/>
    <xf numFmtId="44" fontId="0" fillId="3" borderId="0" xfId="1" applyFont="1" applyFill="1"/>
    <xf numFmtId="0" fontId="9" fillId="0" borderId="0" xfId="0" applyFont="1"/>
    <xf numFmtId="43" fontId="0" fillId="3" borderId="0" xfId="0" applyNumberFormat="1" applyFill="1"/>
    <xf numFmtId="9" fontId="0" fillId="3" borderId="0" xfId="2" applyFont="1" applyFill="1"/>
    <xf numFmtId="3" fontId="0" fillId="3" borderId="14" xfId="0" applyNumberFormat="1" applyFill="1" applyBorder="1"/>
    <xf numFmtId="0" fontId="5" fillId="0" borderId="10" xfId="0" applyFont="1" applyBorder="1" applyAlignment="1">
      <alignment horizontal="center" vertical="center"/>
    </xf>
    <xf numFmtId="0" fontId="6" fillId="0" borderId="12" xfId="0" applyFont="1" applyBorder="1"/>
    <xf numFmtId="0" fontId="6" fillId="0" borderId="13" xfId="0" applyFont="1" applyBorder="1"/>
    <xf numFmtId="0" fontId="1" fillId="0" borderId="0" xfId="0" applyFont="1" applyAlignment="1">
      <alignment horizontal="left" vertical="center" wrapText="1"/>
    </xf>
    <xf numFmtId="0" fontId="0" fillId="0" borderId="0" xfId="0"/>
    <xf numFmtId="0" fontId="5" fillId="0" borderId="10" xfId="0" applyFont="1" applyBorder="1" applyAlignment="1">
      <alignment horizontal="center" vertical="center" wrapText="1"/>
    </xf>
    <xf numFmtId="0" fontId="5" fillId="0" borderId="14" xfId="0" applyFont="1" applyBorder="1" applyAlignment="1">
      <alignment horizontal="center" vertical="center" wrapText="1"/>
    </xf>
    <xf numFmtId="0" fontId="6" fillId="0" borderId="14" xfId="0" applyFont="1" applyBorder="1"/>
    <xf numFmtId="0" fontId="5" fillId="0" borderId="14" xfId="0" applyFont="1" applyBorder="1" applyAlignment="1">
      <alignment horizontal="center" vertical="center"/>
    </xf>
    <xf numFmtId="0" fontId="9" fillId="3" borderId="23" xfId="0" applyFont="1" applyFill="1" applyBorder="1" applyAlignment="1">
      <alignment horizontal="left" vertical="top" wrapText="1"/>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3" borderId="0" xfId="0" applyFill="1" applyAlignment="1">
      <alignment horizontal="left" vertical="top" wrapText="1"/>
    </xf>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0" fillId="3" borderId="29" xfId="0" applyFill="1" applyBorder="1" applyAlignment="1">
      <alignment horizontal="left" vertical="top" wrapText="1"/>
    </xf>
    <xf numFmtId="0" fontId="0" fillId="3" borderId="30" xfId="0" applyFill="1" applyBorder="1" applyAlignment="1">
      <alignment horizontal="left" vertical="top" wrapText="1"/>
    </xf>
    <xf numFmtId="0" fontId="5" fillId="3" borderId="14" xfId="0" applyFont="1" applyFill="1" applyBorder="1" applyAlignment="1">
      <alignment horizontal="center" vertical="center"/>
    </xf>
    <xf numFmtId="0" fontId="6" fillId="3" borderId="14" xfId="0" applyFont="1" applyFill="1" applyBorder="1"/>
    <xf numFmtId="0" fontId="5" fillId="3" borderId="14" xfId="0" applyFont="1" applyFill="1" applyBorder="1" applyAlignment="1">
      <alignment horizontal="center" vertical="center" wrapText="1"/>
    </xf>
    <xf numFmtId="0" fontId="22" fillId="0" borderId="0" xfId="0" applyFont="1" applyAlignment="1">
      <alignment horizontal="center"/>
    </xf>
    <xf numFmtId="0" fontId="14" fillId="2" borderId="0" xfId="0" applyFont="1" applyFill="1" applyAlignment="1">
      <alignment horizontal="center"/>
    </xf>
    <xf numFmtId="0" fontId="9" fillId="2" borderId="15"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0" xfId="0" applyFill="1" applyAlignment="1">
      <alignment horizontal="left" vertical="top"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cellXfs>
  <cellStyles count="5">
    <cellStyle name="Comma" xfId="4" builtinId="3"/>
    <cellStyle name="Currency" xfId="1" builtinId="4"/>
    <cellStyle name="Normal" xfId="0" builtinId="0"/>
    <cellStyle name="Normal 2" xfId="3" xr:uid="{0C62E5CA-DD4D-0242-9A62-825B901484B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139700</xdr:colOff>
      <xdr:row>11</xdr:row>
      <xdr:rowOff>38100</xdr:rowOff>
    </xdr:from>
    <xdr:to>
      <xdr:col>11</xdr:col>
      <xdr:colOff>558848</xdr:colOff>
      <xdr:row>46</xdr:row>
      <xdr:rowOff>139700</xdr:rowOff>
    </xdr:to>
    <xdr:pic>
      <xdr:nvPicPr>
        <xdr:cNvPr id="3" name="Picture 2">
          <a:extLst>
            <a:ext uri="{FF2B5EF4-FFF2-40B4-BE49-F238E27FC236}">
              <a16:creationId xmlns:a16="http://schemas.microsoft.com/office/drawing/2014/main" id="{6C5EDA9F-942B-798E-FBF9-D377FBABC056}"/>
            </a:ext>
          </a:extLst>
        </xdr:cNvPr>
        <xdr:cNvPicPr>
          <a:picLocks noChangeAspect="1"/>
        </xdr:cNvPicPr>
      </xdr:nvPicPr>
      <xdr:blipFill>
        <a:blip xmlns:r="http://schemas.openxmlformats.org/officeDocument/2006/relationships" r:embed="rId1"/>
        <a:stretch>
          <a:fillRect/>
        </a:stretch>
      </xdr:blipFill>
      <xdr:spPr>
        <a:xfrm>
          <a:off x="2616200" y="1905000"/>
          <a:ext cx="7023148" cy="5880100"/>
        </a:xfrm>
        <a:prstGeom prst="rect">
          <a:avLst/>
        </a:prstGeom>
      </xdr:spPr>
    </xdr:pic>
    <xdr:clientData/>
  </xdr:twoCellAnchor>
  <xdr:twoCellAnchor editAs="oneCell">
    <xdr:from>
      <xdr:col>2</xdr:col>
      <xdr:colOff>647700</xdr:colOff>
      <xdr:row>48</xdr:row>
      <xdr:rowOff>101600</xdr:rowOff>
    </xdr:from>
    <xdr:to>
      <xdr:col>12</xdr:col>
      <xdr:colOff>165100</xdr:colOff>
      <xdr:row>77</xdr:row>
      <xdr:rowOff>106880</xdr:rowOff>
    </xdr:to>
    <xdr:pic>
      <xdr:nvPicPr>
        <xdr:cNvPr id="5" name="Picture 4">
          <a:extLst>
            <a:ext uri="{FF2B5EF4-FFF2-40B4-BE49-F238E27FC236}">
              <a16:creationId xmlns:a16="http://schemas.microsoft.com/office/drawing/2014/main" id="{20450EFF-9BE5-E5C6-66F9-415A5F47AE87}"/>
            </a:ext>
          </a:extLst>
        </xdr:cNvPr>
        <xdr:cNvPicPr>
          <a:picLocks noChangeAspect="1"/>
        </xdr:cNvPicPr>
      </xdr:nvPicPr>
      <xdr:blipFill>
        <a:blip xmlns:r="http://schemas.openxmlformats.org/officeDocument/2006/relationships" r:embed="rId2"/>
        <a:stretch>
          <a:fillRect/>
        </a:stretch>
      </xdr:blipFill>
      <xdr:spPr>
        <a:xfrm>
          <a:off x="2298700" y="8077200"/>
          <a:ext cx="7772400" cy="4793180"/>
        </a:xfrm>
        <a:prstGeom prst="rect">
          <a:avLst/>
        </a:prstGeom>
      </xdr:spPr>
    </xdr:pic>
    <xdr:clientData/>
  </xdr:twoCellAnchor>
  <xdr:twoCellAnchor editAs="oneCell">
    <xdr:from>
      <xdr:col>14</xdr:col>
      <xdr:colOff>800100</xdr:colOff>
      <xdr:row>11</xdr:row>
      <xdr:rowOff>114300</xdr:rowOff>
    </xdr:from>
    <xdr:to>
      <xdr:col>24</xdr:col>
      <xdr:colOff>317500</xdr:colOff>
      <xdr:row>48</xdr:row>
      <xdr:rowOff>39602</xdr:rowOff>
    </xdr:to>
    <xdr:pic>
      <xdr:nvPicPr>
        <xdr:cNvPr id="6" name="Picture 5">
          <a:extLst>
            <a:ext uri="{FF2B5EF4-FFF2-40B4-BE49-F238E27FC236}">
              <a16:creationId xmlns:a16="http://schemas.microsoft.com/office/drawing/2014/main" id="{20A724D6-4817-81D4-374E-E098059C17EA}"/>
            </a:ext>
          </a:extLst>
        </xdr:cNvPr>
        <xdr:cNvPicPr>
          <a:picLocks noChangeAspect="1"/>
        </xdr:cNvPicPr>
      </xdr:nvPicPr>
      <xdr:blipFill>
        <a:blip xmlns:r="http://schemas.openxmlformats.org/officeDocument/2006/relationships" r:embed="rId3"/>
        <a:stretch>
          <a:fillRect/>
        </a:stretch>
      </xdr:blipFill>
      <xdr:spPr>
        <a:xfrm>
          <a:off x="12357100" y="1981200"/>
          <a:ext cx="7772400" cy="6034002"/>
        </a:xfrm>
        <a:prstGeom prst="rect">
          <a:avLst/>
        </a:prstGeom>
      </xdr:spPr>
    </xdr:pic>
    <xdr:clientData/>
  </xdr:twoCellAnchor>
  <xdr:twoCellAnchor editAs="oneCell">
    <xdr:from>
      <xdr:col>14</xdr:col>
      <xdr:colOff>812800</xdr:colOff>
      <xdr:row>48</xdr:row>
      <xdr:rowOff>50800</xdr:rowOff>
    </xdr:from>
    <xdr:to>
      <xdr:col>24</xdr:col>
      <xdr:colOff>228600</xdr:colOff>
      <xdr:row>72</xdr:row>
      <xdr:rowOff>139700</xdr:rowOff>
    </xdr:to>
    <xdr:pic>
      <xdr:nvPicPr>
        <xdr:cNvPr id="9" name="Picture 8">
          <a:extLst>
            <a:ext uri="{FF2B5EF4-FFF2-40B4-BE49-F238E27FC236}">
              <a16:creationId xmlns:a16="http://schemas.microsoft.com/office/drawing/2014/main" id="{5C937EFD-42AC-02C4-A5F0-67CA4F28F5CF}"/>
            </a:ext>
          </a:extLst>
        </xdr:cNvPr>
        <xdr:cNvPicPr>
          <a:picLocks noChangeAspect="1"/>
        </xdr:cNvPicPr>
      </xdr:nvPicPr>
      <xdr:blipFill>
        <a:blip xmlns:r="http://schemas.openxmlformats.org/officeDocument/2006/relationships" r:embed="rId4"/>
        <a:stretch>
          <a:fillRect/>
        </a:stretch>
      </xdr:blipFill>
      <xdr:spPr>
        <a:xfrm>
          <a:off x="12369800" y="8026400"/>
          <a:ext cx="7670800" cy="4051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431800</xdr:colOff>
      <xdr:row>35</xdr:row>
      <xdr:rowOff>25400</xdr:rowOff>
    </xdr:from>
    <xdr:to>
      <xdr:col>20</xdr:col>
      <xdr:colOff>91362</xdr:colOff>
      <xdr:row>58</xdr:row>
      <xdr:rowOff>127000</xdr:rowOff>
    </xdr:to>
    <xdr:pic>
      <xdr:nvPicPr>
        <xdr:cNvPr id="3" name="Picture 2">
          <a:extLst>
            <a:ext uri="{FF2B5EF4-FFF2-40B4-BE49-F238E27FC236}">
              <a16:creationId xmlns:a16="http://schemas.microsoft.com/office/drawing/2014/main" id="{B67C2A0F-59BB-051D-8A1A-4C5EF103BA81}"/>
            </a:ext>
          </a:extLst>
        </xdr:cNvPr>
        <xdr:cNvPicPr>
          <a:picLocks noChangeAspect="1"/>
        </xdr:cNvPicPr>
      </xdr:nvPicPr>
      <xdr:blipFill>
        <a:blip xmlns:r="http://schemas.openxmlformats.org/officeDocument/2006/relationships" r:embed="rId1"/>
        <a:stretch>
          <a:fillRect/>
        </a:stretch>
      </xdr:blipFill>
      <xdr:spPr>
        <a:xfrm>
          <a:off x="2082800" y="5905500"/>
          <a:ext cx="14518562" cy="3898900"/>
        </a:xfrm>
        <a:prstGeom prst="rect">
          <a:avLst/>
        </a:prstGeom>
      </xdr:spPr>
    </xdr:pic>
    <xdr:clientData/>
  </xdr:twoCellAnchor>
  <xdr:twoCellAnchor editAs="oneCell">
    <xdr:from>
      <xdr:col>3</xdr:col>
      <xdr:colOff>76200</xdr:colOff>
      <xdr:row>89</xdr:row>
      <xdr:rowOff>101600</xdr:rowOff>
    </xdr:from>
    <xdr:to>
      <xdr:col>11</xdr:col>
      <xdr:colOff>241300</xdr:colOff>
      <xdr:row>103</xdr:row>
      <xdr:rowOff>50800</xdr:rowOff>
    </xdr:to>
    <xdr:pic>
      <xdr:nvPicPr>
        <xdr:cNvPr id="5" name="Picture 4">
          <a:extLst>
            <a:ext uri="{FF2B5EF4-FFF2-40B4-BE49-F238E27FC236}">
              <a16:creationId xmlns:a16="http://schemas.microsoft.com/office/drawing/2014/main" id="{CA633432-E526-34DC-B237-9DA63228C01A}"/>
            </a:ext>
          </a:extLst>
        </xdr:cNvPr>
        <xdr:cNvPicPr>
          <a:picLocks noChangeAspect="1"/>
        </xdr:cNvPicPr>
      </xdr:nvPicPr>
      <xdr:blipFill>
        <a:blip xmlns:r="http://schemas.openxmlformats.org/officeDocument/2006/relationships" r:embed="rId2"/>
        <a:stretch>
          <a:fillRect/>
        </a:stretch>
      </xdr:blipFill>
      <xdr:spPr>
        <a:xfrm>
          <a:off x="2552700" y="14897100"/>
          <a:ext cx="6769100" cy="2260600"/>
        </a:xfrm>
        <a:prstGeom prst="rect">
          <a:avLst/>
        </a:prstGeom>
      </xdr:spPr>
    </xdr:pic>
    <xdr:clientData/>
  </xdr:twoCellAnchor>
  <xdr:twoCellAnchor editAs="oneCell">
    <xdr:from>
      <xdr:col>1</xdr:col>
      <xdr:colOff>698499</xdr:colOff>
      <xdr:row>63</xdr:row>
      <xdr:rowOff>114300</xdr:rowOff>
    </xdr:from>
    <xdr:to>
      <xdr:col>18</xdr:col>
      <xdr:colOff>217310</xdr:colOff>
      <xdr:row>88</xdr:row>
      <xdr:rowOff>76200</xdr:rowOff>
    </xdr:to>
    <xdr:pic>
      <xdr:nvPicPr>
        <xdr:cNvPr id="6" name="Picture 5">
          <a:extLst>
            <a:ext uri="{FF2B5EF4-FFF2-40B4-BE49-F238E27FC236}">
              <a16:creationId xmlns:a16="http://schemas.microsoft.com/office/drawing/2014/main" id="{257A1F7C-0FED-309A-56AD-55688F65C4A2}"/>
            </a:ext>
          </a:extLst>
        </xdr:cNvPr>
        <xdr:cNvPicPr>
          <a:picLocks noChangeAspect="1"/>
        </xdr:cNvPicPr>
      </xdr:nvPicPr>
      <xdr:blipFill>
        <a:blip xmlns:r="http://schemas.openxmlformats.org/officeDocument/2006/relationships" r:embed="rId3"/>
        <a:stretch>
          <a:fillRect/>
        </a:stretch>
      </xdr:blipFill>
      <xdr:spPr>
        <a:xfrm>
          <a:off x="1523999" y="10617200"/>
          <a:ext cx="13552311" cy="4089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hmet Gecim" id="{EB1AEB8B-BC57-5B41-AF09-038331351A35}" userId="S::mgecim@uw.edu::4d1b5de2-21af-4cd1-bf6f-0d1c90bfd5b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02" dT="2025-08-08T12:06:57.43" personId="{EB1AEB8B-BC57-5B41-AF09-038331351A35}" id="{93F6CCAB-4043-2F4C-91A6-B3AA00C9F5A0}">
    <text xml:space="preserve">In order to calculate optimal SQ FT needed I need to multiply meals/day *7 and then multiply it by 2.19 to find optimal SQ FT needed. </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6"/>
  <sheetViews>
    <sheetView tabSelected="1" workbookViewId="0">
      <selection activeCell="B2" sqref="B2:I2"/>
    </sheetView>
  </sheetViews>
  <sheetFormatPr baseColWidth="10" defaultColWidth="12.6640625" defaultRowHeight="15.75" customHeight="1" x14ac:dyDescent="0.15"/>
  <cols>
    <col min="1" max="1" width="4.83203125" customWidth="1"/>
    <col min="2" max="2" width="17" customWidth="1"/>
    <col min="3" max="3" width="31.6640625" customWidth="1"/>
    <col min="5" max="5" width="11.83203125" customWidth="1"/>
    <col min="6" max="6" width="10.6640625" customWidth="1"/>
  </cols>
  <sheetData>
    <row r="2" spans="2:9" ht="284.25" customHeight="1" x14ac:dyDescent="0.15">
      <c r="B2" s="119" t="s">
        <v>0</v>
      </c>
      <c r="C2" s="120"/>
      <c r="D2" s="120"/>
      <c r="E2" s="120"/>
      <c r="F2" s="120"/>
      <c r="G2" s="120"/>
      <c r="H2" s="120"/>
      <c r="I2" s="120"/>
    </row>
    <row r="3" spans="2:9" ht="13" x14ac:dyDescent="0.15">
      <c r="B3" s="1"/>
      <c r="C3" s="2"/>
      <c r="D3" s="3"/>
    </row>
    <row r="4" spans="2:9" ht="14" x14ac:dyDescent="0.15">
      <c r="B4" s="1"/>
      <c r="C4" s="2" t="s">
        <v>1</v>
      </c>
      <c r="D4" s="3">
        <v>45352</v>
      </c>
    </row>
    <row r="5" spans="2:9" ht="13" x14ac:dyDescent="0.15">
      <c r="C5" s="4" t="s">
        <v>2</v>
      </c>
      <c r="D5" s="5">
        <v>30.889959845540826</v>
      </c>
    </row>
    <row r="6" spans="2:9" ht="13" x14ac:dyDescent="0.15">
      <c r="B6" s="1"/>
      <c r="C6" s="6" t="s">
        <v>3</v>
      </c>
      <c r="D6" s="7">
        <v>24000</v>
      </c>
    </row>
    <row r="7" spans="2:9" ht="13" x14ac:dyDescent="0.15">
      <c r="B7" s="1"/>
      <c r="C7" s="8" t="s">
        <v>4</v>
      </c>
      <c r="D7" s="9">
        <v>70000</v>
      </c>
    </row>
    <row r="8" spans="2:9" ht="13" x14ac:dyDescent="0.15">
      <c r="B8" s="1"/>
      <c r="C8" s="10" t="s">
        <v>5</v>
      </c>
      <c r="D8" s="11">
        <v>50000000</v>
      </c>
    </row>
    <row r="9" spans="2:9" ht="13" x14ac:dyDescent="0.15">
      <c r="B9" s="1"/>
      <c r="C9" s="2"/>
      <c r="D9" s="1"/>
    </row>
    <row r="10" spans="2:9" ht="14" x14ac:dyDescent="0.15">
      <c r="B10" s="12" t="s">
        <v>6</v>
      </c>
      <c r="C10" s="13" t="s">
        <v>7</v>
      </c>
      <c r="D10" s="12" t="s">
        <v>8</v>
      </c>
    </row>
    <row r="11" spans="2:9" ht="13" x14ac:dyDescent="0.15">
      <c r="B11" s="116" t="s">
        <v>9</v>
      </c>
      <c r="C11" s="14"/>
      <c r="D11" s="15"/>
    </row>
    <row r="12" spans="2:9" ht="13" x14ac:dyDescent="0.15">
      <c r="B12" s="117"/>
      <c r="C12" s="16" t="s">
        <v>10</v>
      </c>
      <c r="D12" s="17">
        <v>2798.0855999999999</v>
      </c>
    </row>
    <row r="13" spans="2:9" ht="13" x14ac:dyDescent="0.15">
      <c r="B13" s="117"/>
      <c r="C13" s="16" t="s">
        <v>11</v>
      </c>
      <c r="D13" s="17">
        <v>1000</v>
      </c>
    </row>
    <row r="14" spans="2:9" ht="13" x14ac:dyDescent="0.15">
      <c r="B14" s="117"/>
      <c r="C14" s="16" t="s">
        <v>12</v>
      </c>
      <c r="D14" s="17">
        <v>700</v>
      </c>
    </row>
    <row r="15" spans="2:9" ht="13" x14ac:dyDescent="0.15">
      <c r="B15" s="117"/>
      <c r="C15" s="16" t="s">
        <v>13</v>
      </c>
      <c r="D15" s="17">
        <v>590</v>
      </c>
    </row>
    <row r="16" spans="2:9" ht="14" x14ac:dyDescent="0.15">
      <c r="B16" s="117"/>
      <c r="C16" s="18" t="s">
        <v>14</v>
      </c>
      <c r="D16" s="17">
        <v>664.16</v>
      </c>
    </row>
    <row r="17" spans="2:4" ht="13" x14ac:dyDescent="0.15">
      <c r="B17" s="117"/>
      <c r="C17" s="16" t="s">
        <v>15</v>
      </c>
      <c r="D17" s="17">
        <v>894.06</v>
      </c>
    </row>
    <row r="18" spans="2:4" ht="13" x14ac:dyDescent="0.15">
      <c r="B18" s="117"/>
      <c r="C18" s="16" t="s">
        <v>16</v>
      </c>
      <c r="D18" s="17">
        <v>644</v>
      </c>
    </row>
    <row r="19" spans="2:4" ht="13" x14ac:dyDescent="0.15">
      <c r="B19" s="117"/>
      <c r="C19" s="16" t="s">
        <v>17</v>
      </c>
      <c r="D19" s="17">
        <v>769.44999999999993</v>
      </c>
    </row>
    <row r="20" spans="2:4" ht="13" x14ac:dyDescent="0.15">
      <c r="B20" s="117"/>
      <c r="C20" s="16" t="s">
        <v>18</v>
      </c>
      <c r="D20" s="17">
        <v>784</v>
      </c>
    </row>
    <row r="21" spans="2:4" ht="13" x14ac:dyDescent="0.15">
      <c r="B21" s="118"/>
      <c r="C21" s="19" t="s">
        <v>19</v>
      </c>
      <c r="D21" s="20">
        <v>1681.134</v>
      </c>
    </row>
    <row r="22" spans="2:4" ht="13" x14ac:dyDescent="0.15">
      <c r="B22" s="121"/>
      <c r="C22" s="16" t="s">
        <v>20</v>
      </c>
      <c r="D22" s="17">
        <v>7944.8549999999996</v>
      </c>
    </row>
    <row r="23" spans="2:4" ht="13" x14ac:dyDescent="0.15">
      <c r="B23" s="117"/>
      <c r="C23" s="16" t="s">
        <v>21</v>
      </c>
      <c r="D23" s="17">
        <v>864</v>
      </c>
    </row>
    <row r="24" spans="2:4" ht="13" x14ac:dyDescent="0.15">
      <c r="B24" s="117"/>
      <c r="C24" s="16" t="s">
        <v>22</v>
      </c>
      <c r="D24" s="17">
        <v>2266</v>
      </c>
    </row>
    <row r="25" spans="2:4" ht="13" x14ac:dyDescent="0.15">
      <c r="B25" s="117"/>
      <c r="C25" s="16" t="s">
        <v>23</v>
      </c>
      <c r="D25" s="17">
        <v>336</v>
      </c>
    </row>
    <row r="26" spans="2:4" ht="13" x14ac:dyDescent="0.15">
      <c r="B26" s="117"/>
      <c r="C26" s="16" t="s">
        <v>24</v>
      </c>
      <c r="D26" s="17">
        <v>1243</v>
      </c>
    </row>
    <row r="27" spans="2:4" ht="13" x14ac:dyDescent="0.15">
      <c r="B27" s="117"/>
      <c r="C27" s="16" t="s">
        <v>25</v>
      </c>
      <c r="D27" s="17">
        <v>819.36</v>
      </c>
    </row>
    <row r="28" spans="2:4" ht="13" x14ac:dyDescent="0.15">
      <c r="B28" s="118"/>
      <c r="C28" s="19" t="s">
        <v>26</v>
      </c>
      <c r="D28" s="20">
        <v>332.5</v>
      </c>
    </row>
    <row r="29" spans="2:4" ht="13" x14ac:dyDescent="0.15">
      <c r="B29" s="121"/>
      <c r="C29" s="16" t="s">
        <v>27</v>
      </c>
      <c r="D29" s="17">
        <v>495</v>
      </c>
    </row>
    <row r="30" spans="2:4" ht="13" x14ac:dyDescent="0.15">
      <c r="B30" s="117"/>
      <c r="C30" s="16" t="s">
        <v>28</v>
      </c>
      <c r="D30" s="17">
        <v>865</v>
      </c>
    </row>
    <row r="31" spans="2:4" ht="13" x14ac:dyDescent="0.15">
      <c r="B31" s="117"/>
      <c r="C31" s="16" t="s">
        <v>29</v>
      </c>
      <c r="D31" s="17">
        <v>844</v>
      </c>
    </row>
    <row r="32" spans="2:4" ht="13" x14ac:dyDescent="0.15">
      <c r="B32" s="117"/>
      <c r="C32" s="16" t="s">
        <v>30</v>
      </c>
      <c r="D32" s="17">
        <v>320.16999999999996</v>
      </c>
    </row>
    <row r="33" spans="2:4" ht="13" x14ac:dyDescent="0.15">
      <c r="B33" s="118"/>
      <c r="C33" s="19" t="s">
        <v>31</v>
      </c>
      <c r="D33" s="20">
        <v>1365</v>
      </c>
    </row>
    <row r="34" spans="2:4" ht="13" x14ac:dyDescent="0.15">
      <c r="B34" s="121"/>
      <c r="C34" s="16" t="s">
        <v>32</v>
      </c>
      <c r="D34" s="17">
        <v>664.16</v>
      </c>
    </row>
    <row r="35" spans="2:4" ht="13" x14ac:dyDescent="0.15">
      <c r="B35" s="117"/>
      <c r="C35" s="16" t="s">
        <v>33</v>
      </c>
      <c r="D35" s="17">
        <v>420.97999999999996</v>
      </c>
    </row>
    <row r="36" spans="2:4" ht="13" x14ac:dyDescent="0.15">
      <c r="B36" s="117"/>
      <c r="C36" s="16" t="s">
        <v>34</v>
      </c>
      <c r="D36" s="17">
        <v>222.3</v>
      </c>
    </row>
    <row r="37" spans="2:4" ht="13" x14ac:dyDescent="0.15">
      <c r="B37" s="118"/>
      <c r="C37" s="19" t="s">
        <v>35</v>
      </c>
      <c r="D37" s="20">
        <v>2399.4</v>
      </c>
    </row>
    <row r="38" spans="2:4" ht="13" x14ac:dyDescent="0.15">
      <c r="B38" s="116"/>
      <c r="C38" s="21" t="s">
        <v>36</v>
      </c>
      <c r="D38" s="17">
        <v>564.57999999999993</v>
      </c>
    </row>
    <row r="39" spans="2:4" ht="13" x14ac:dyDescent="0.15">
      <c r="B39" s="117"/>
      <c r="C39" s="22" t="s">
        <v>37</v>
      </c>
      <c r="D39" s="17">
        <v>698.9</v>
      </c>
    </row>
    <row r="40" spans="2:4" ht="13" x14ac:dyDescent="0.15">
      <c r="B40" s="117"/>
      <c r="C40" s="22" t="s">
        <v>38</v>
      </c>
      <c r="D40" s="17">
        <v>174.24</v>
      </c>
    </row>
    <row r="41" spans="2:4" ht="13" x14ac:dyDescent="0.15">
      <c r="B41" s="117"/>
      <c r="C41" s="22" t="s">
        <v>39</v>
      </c>
      <c r="D41" s="17">
        <v>659.12000000000012</v>
      </c>
    </row>
    <row r="42" spans="2:4" ht="13" x14ac:dyDescent="0.15">
      <c r="B42" s="117"/>
      <c r="C42" s="22" t="s">
        <v>40</v>
      </c>
      <c r="D42" s="17">
        <v>819.36</v>
      </c>
    </row>
    <row r="43" spans="2:4" ht="13" x14ac:dyDescent="0.15">
      <c r="B43" s="117"/>
      <c r="C43" s="22" t="s">
        <v>41</v>
      </c>
      <c r="D43" s="17">
        <v>222.21200000000002</v>
      </c>
    </row>
    <row r="44" spans="2:4" ht="13" x14ac:dyDescent="0.15">
      <c r="B44" s="117"/>
      <c r="C44" s="22" t="s">
        <v>42</v>
      </c>
      <c r="D44" s="17">
        <v>147</v>
      </c>
    </row>
    <row r="45" spans="2:4" ht="13" x14ac:dyDescent="0.15">
      <c r="B45" s="118"/>
      <c r="C45" s="23" t="s">
        <v>43</v>
      </c>
      <c r="D45" s="20">
        <v>795.78</v>
      </c>
    </row>
    <row r="46" spans="2:4" ht="13" x14ac:dyDescent="0.15">
      <c r="D46" s="24"/>
    </row>
  </sheetData>
  <mergeCells count="6">
    <mergeCell ref="B38:B45"/>
    <mergeCell ref="B2:I2"/>
    <mergeCell ref="B11:B21"/>
    <mergeCell ref="B22:B28"/>
    <mergeCell ref="B29:B33"/>
    <mergeCell ref="B34:B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03C09-71C3-C342-8C54-32BA647C22F0}">
  <dimension ref="B4:M151"/>
  <sheetViews>
    <sheetView topLeftCell="A104" zoomScaleNormal="100" workbookViewId="0">
      <selection activeCell="D144" sqref="D144"/>
    </sheetView>
  </sheetViews>
  <sheetFormatPr baseColWidth="10" defaultRowHeight="13" x14ac:dyDescent="0.15"/>
  <cols>
    <col min="1" max="2" width="10.83203125" style="26"/>
    <col min="3" max="3" width="52.5" style="26" customWidth="1"/>
    <col min="4" max="4" width="29.83203125" style="26" customWidth="1"/>
    <col min="5" max="5" width="25" style="26" customWidth="1"/>
    <col min="6" max="6" width="20.5" style="26" customWidth="1"/>
    <col min="7" max="8" width="10.83203125" style="26"/>
    <col min="9" max="9" width="11.1640625" style="26" bestFit="1" customWidth="1"/>
    <col min="10" max="10" width="21.83203125" style="26" customWidth="1"/>
    <col min="11" max="11" width="21" style="26" customWidth="1"/>
    <col min="12" max="12" width="10.83203125" style="26"/>
    <col min="13" max="13" width="18.6640625" style="26" customWidth="1"/>
    <col min="14" max="16384" width="10.83203125" style="26"/>
  </cols>
  <sheetData>
    <row r="4" spans="2:3" ht="19" x14ac:dyDescent="0.2">
      <c r="C4" s="52" t="s">
        <v>44</v>
      </c>
    </row>
    <row r="5" spans="2:3" x14ac:dyDescent="0.15">
      <c r="B5" s="26">
        <v>1</v>
      </c>
      <c r="C5" s="25" t="s">
        <v>45</v>
      </c>
    </row>
    <row r="6" spans="2:3" x14ac:dyDescent="0.15">
      <c r="B6" s="26">
        <v>2</v>
      </c>
      <c r="C6" s="25" t="s">
        <v>66</v>
      </c>
    </row>
    <row r="7" spans="2:3" x14ac:dyDescent="0.15">
      <c r="B7" s="26">
        <v>3</v>
      </c>
      <c r="C7" s="25" t="s">
        <v>133</v>
      </c>
    </row>
    <row r="8" spans="2:3" x14ac:dyDescent="0.15">
      <c r="B8" s="26">
        <v>4</v>
      </c>
      <c r="C8" s="25" t="s">
        <v>67</v>
      </c>
    </row>
    <row r="9" spans="2:3" x14ac:dyDescent="0.15">
      <c r="B9" s="26">
        <v>5</v>
      </c>
      <c r="C9" s="25" t="s">
        <v>84</v>
      </c>
    </row>
    <row r="10" spans="2:3" x14ac:dyDescent="0.15">
      <c r="B10" s="26">
        <v>6</v>
      </c>
      <c r="C10" s="25" t="s">
        <v>86</v>
      </c>
    </row>
    <row r="11" spans="2:3" x14ac:dyDescent="0.15">
      <c r="B11" s="26">
        <v>7</v>
      </c>
      <c r="C11" s="25" t="s">
        <v>138</v>
      </c>
    </row>
    <row r="12" spans="2:3" x14ac:dyDescent="0.15">
      <c r="B12" s="26">
        <v>8</v>
      </c>
      <c r="C12" s="25" t="s">
        <v>139</v>
      </c>
    </row>
    <row r="13" spans="2:3" x14ac:dyDescent="0.15">
      <c r="C13" s="25"/>
    </row>
    <row r="14" spans="2:3" x14ac:dyDescent="0.15">
      <c r="C14" s="25"/>
    </row>
    <row r="15" spans="2:3" x14ac:dyDescent="0.15">
      <c r="C15" s="25"/>
    </row>
    <row r="16" spans="2:3" x14ac:dyDescent="0.15">
      <c r="C16" s="25"/>
    </row>
    <row r="18" spans="2:4" x14ac:dyDescent="0.15">
      <c r="B18" s="26">
        <v>1</v>
      </c>
      <c r="C18" s="82" t="s">
        <v>4</v>
      </c>
      <c r="D18" s="83">
        <v>70000</v>
      </c>
    </row>
    <row r="19" spans="2:4" x14ac:dyDescent="0.15">
      <c r="C19" s="34" t="s">
        <v>47</v>
      </c>
      <c r="D19" s="34">
        <f>D18*52</f>
        <v>3640000</v>
      </c>
    </row>
    <row r="20" spans="2:4" x14ac:dyDescent="0.15">
      <c r="C20" s="84" t="s">
        <v>5</v>
      </c>
      <c r="D20" s="85">
        <v>50000000</v>
      </c>
    </row>
    <row r="21" spans="2:4" x14ac:dyDescent="0.15">
      <c r="C21" s="33" t="s">
        <v>46</v>
      </c>
      <c r="D21" s="55">
        <f>D20/D19</f>
        <v>13.736263736263735</v>
      </c>
    </row>
    <row r="24" spans="2:4" x14ac:dyDescent="0.15">
      <c r="B24" s="26">
        <v>2</v>
      </c>
      <c r="C24" s="86" t="s">
        <v>4</v>
      </c>
      <c r="D24" s="87">
        <v>70000</v>
      </c>
    </row>
    <row r="25" spans="2:4" x14ac:dyDescent="0.15">
      <c r="C25" s="84" t="s">
        <v>3</v>
      </c>
      <c r="D25" s="88">
        <v>24000</v>
      </c>
    </row>
    <row r="26" spans="2:4" x14ac:dyDescent="0.15">
      <c r="C26" s="33" t="s">
        <v>118</v>
      </c>
      <c r="D26" s="58">
        <f>D24/D25</f>
        <v>2.9166666666666665</v>
      </c>
    </row>
    <row r="28" spans="2:4" x14ac:dyDescent="0.15">
      <c r="B28" s="26">
        <v>3</v>
      </c>
      <c r="C28" s="28" t="s">
        <v>48</v>
      </c>
      <c r="D28" s="29" t="s">
        <v>90</v>
      </c>
    </row>
    <row r="29" spans="2:4" x14ac:dyDescent="0.15">
      <c r="C29" s="29" t="s">
        <v>49</v>
      </c>
      <c r="D29" s="30">
        <v>13000</v>
      </c>
    </row>
    <row r="30" spans="2:4" x14ac:dyDescent="0.15">
      <c r="C30" s="29" t="s">
        <v>50</v>
      </c>
      <c r="D30" s="30">
        <f>D29*2</f>
        <v>26000</v>
      </c>
    </row>
    <row r="31" spans="2:4" x14ac:dyDescent="0.15">
      <c r="C31" s="29" t="s">
        <v>51</v>
      </c>
      <c r="D31" s="30">
        <f>D30*2</f>
        <v>52000</v>
      </c>
    </row>
    <row r="32" spans="2:4" x14ac:dyDescent="0.15">
      <c r="C32" s="29" t="s">
        <v>52</v>
      </c>
      <c r="D32" s="30">
        <f>D31*1.4</f>
        <v>72800</v>
      </c>
    </row>
    <row r="33" spans="2:11" x14ac:dyDescent="0.15">
      <c r="C33" s="29" t="s">
        <v>53</v>
      </c>
      <c r="D33" s="30">
        <f>D32*1.3</f>
        <v>94640</v>
      </c>
    </row>
    <row r="34" spans="2:11" x14ac:dyDescent="0.15">
      <c r="C34" s="29" t="s">
        <v>54</v>
      </c>
      <c r="D34" s="30">
        <f t="shared" ref="D34:D36" si="0">D33*1.3</f>
        <v>123032</v>
      </c>
      <c r="I34" s="27"/>
      <c r="J34" s="27"/>
      <c r="K34" s="27"/>
    </row>
    <row r="35" spans="2:11" x14ac:dyDescent="0.15">
      <c r="C35" s="29" t="s">
        <v>55</v>
      </c>
      <c r="D35" s="31">
        <f t="shared" si="0"/>
        <v>159941.6</v>
      </c>
    </row>
    <row r="36" spans="2:11" x14ac:dyDescent="0.15">
      <c r="C36" s="29" t="s">
        <v>56</v>
      </c>
      <c r="D36" s="31">
        <f t="shared" si="0"/>
        <v>207924.08000000002</v>
      </c>
    </row>
    <row r="38" spans="2:11" x14ac:dyDescent="0.15">
      <c r="C38" s="33" t="s">
        <v>57</v>
      </c>
      <c r="D38" s="34" t="s">
        <v>117</v>
      </c>
      <c r="E38" s="34" t="s">
        <v>65</v>
      </c>
      <c r="F38" s="25"/>
    </row>
    <row r="39" spans="2:11" x14ac:dyDescent="0.15">
      <c r="C39" s="29" t="s">
        <v>49</v>
      </c>
      <c r="D39" s="32">
        <f>$D$21*D29*$D$26</f>
        <v>520833.33333333326</v>
      </c>
      <c r="E39" s="32">
        <f>D39*52</f>
        <v>27083333.333333328</v>
      </c>
      <c r="F39" s="27"/>
    </row>
    <row r="40" spans="2:11" x14ac:dyDescent="0.15">
      <c r="C40" s="29" t="s">
        <v>58</v>
      </c>
      <c r="D40" s="32">
        <f>$D$21*D30*$D$26</f>
        <v>1041666.6666666665</v>
      </c>
      <c r="E40" s="32">
        <f t="shared" ref="E40:E46" si="1">D40*52</f>
        <v>54166666.666666657</v>
      </c>
      <c r="F40" s="27"/>
    </row>
    <row r="41" spans="2:11" x14ac:dyDescent="0.15">
      <c r="C41" s="29" t="s">
        <v>59</v>
      </c>
      <c r="D41" s="32">
        <f>$D$21*D31*$D$26</f>
        <v>2083333.333333333</v>
      </c>
      <c r="E41" s="32">
        <f t="shared" si="1"/>
        <v>108333333.33333331</v>
      </c>
      <c r="F41" s="27"/>
    </row>
    <row r="42" spans="2:11" x14ac:dyDescent="0.15">
      <c r="C42" s="29" t="s">
        <v>60</v>
      </c>
      <c r="D42" s="32">
        <f>$D$21*D32*$D$26</f>
        <v>2916666.666666666</v>
      </c>
      <c r="E42" s="32">
        <f>D42*52</f>
        <v>151666666.66666663</v>
      </c>
      <c r="F42" s="27"/>
    </row>
    <row r="43" spans="2:11" x14ac:dyDescent="0.15">
      <c r="C43" s="29" t="s">
        <v>61</v>
      </c>
      <c r="D43" s="32">
        <f>$D$21*D33*$D$26</f>
        <v>3791666.6666666665</v>
      </c>
      <c r="E43" s="32">
        <f t="shared" si="1"/>
        <v>197166666.66666666</v>
      </c>
      <c r="F43" s="27"/>
    </row>
    <row r="44" spans="2:11" x14ac:dyDescent="0.15">
      <c r="C44" s="29" t="s">
        <v>62</v>
      </c>
      <c r="D44" s="32">
        <f t="shared" ref="D44:D45" si="2">$D$21*D34*$D$26</f>
        <v>4929166.666666666</v>
      </c>
      <c r="E44" s="32">
        <f>D44*52</f>
        <v>256316666.66666663</v>
      </c>
      <c r="F44" s="27"/>
    </row>
    <row r="45" spans="2:11" x14ac:dyDescent="0.15">
      <c r="C45" s="29" t="s">
        <v>63</v>
      </c>
      <c r="D45" s="32">
        <f t="shared" si="2"/>
        <v>6407916.666666666</v>
      </c>
      <c r="E45" s="32">
        <f t="shared" si="1"/>
        <v>333211666.66666663</v>
      </c>
      <c r="F45" s="27"/>
    </row>
    <row r="46" spans="2:11" x14ac:dyDescent="0.15">
      <c r="C46" s="29" t="s">
        <v>64</v>
      </c>
      <c r="D46" s="32">
        <f t="shared" ref="D46" si="3">$D$21*D36*$D$26</f>
        <v>8330291.666666666</v>
      </c>
      <c r="E46" s="32">
        <f t="shared" si="1"/>
        <v>433175166.66666663</v>
      </c>
      <c r="F46" s="27"/>
    </row>
    <row r="48" spans="2:11" x14ac:dyDescent="0.15">
      <c r="B48" s="26">
        <v>4</v>
      </c>
      <c r="H48" s="25"/>
    </row>
    <row r="49" spans="3:6" ht="19" x14ac:dyDescent="0.2">
      <c r="D49" s="52" t="s">
        <v>80</v>
      </c>
    </row>
    <row r="50" spans="3:6" ht="14" x14ac:dyDescent="0.15">
      <c r="C50" s="40" t="s">
        <v>6</v>
      </c>
      <c r="D50" s="41" t="s">
        <v>7</v>
      </c>
      <c r="E50" s="40" t="s">
        <v>8</v>
      </c>
      <c r="F50" s="28" t="s">
        <v>68</v>
      </c>
    </row>
    <row r="51" spans="3:6" x14ac:dyDescent="0.15">
      <c r="C51" s="124" t="s">
        <v>69</v>
      </c>
      <c r="D51" s="30"/>
      <c r="E51" s="30"/>
      <c r="F51" s="30"/>
    </row>
    <row r="52" spans="3:6" x14ac:dyDescent="0.15">
      <c r="C52" s="123"/>
      <c r="D52" s="42" t="s">
        <v>10</v>
      </c>
      <c r="E52" s="43">
        <v>2798.0855999999999</v>
      </c>
      <c r="F52" s="44">
        <f>E52/$E$86</f>
        <v>7.7707749074613169E-2</v>
      </c>
    </row>
    <row r="53" spans="3:6" x14ac:dyDescent="0.15">
      <c r="C53" s="123"/>
      <c r="D53" s="42" t="s">
        <v>11</v>
      </c>
      <c r="E53" s="43">
        <v>1000</v>
      </c>
      <c r="F53" s="44">
        <f t="shared" ref="F53:F85" si="4">E53/$E$86</f>
        <v>2.7771755472603545E-2</v>
      </c>
    </row>
    <row r="54" spans="3:6" x14ac:dyDescent="0.15">
      <c r="C54" s="123"/>
      <c r="D54" s="42" t="s">
        <v>12</v>
      </c>
      <c r="E54" s="43">
        <v>700</v>
      </c>
      <c r="F54" s="44">
        <f t="shared" si="4"/>
        <v>1.9440228830822484E-2</v>
      </c>
    </row>
    <row r="55" spans="3:6" x14ac:dyDescent="0.15">
      <c r="C55" s="123"/>
      <c r="D55" s="42" t="s">
        <v>13</v>
      </c>
      <c r="E55" s="43">
        <v>590</v>
      </c>
      <c r="F55" s="44">
        <f t="shared" si="4"/>
        <v>1.6385335728836093E-2</v>
      </c>
    </row>
    <row r="56" spans="3:6" ht="14" x14ac:dyDescent="0.15">
      <c r="C56" s="123"/>
      <c r="D56" s="45" t="s">
        <v>14</v>
      </c>
      <c r="E56" s="43">
        <v>664.16</v>
      </c>
      <c r="F56" s="44">
        <f t="shared" si="4"/>
        <v>1.8444889114684372E-2</v>
      </c>
    </row>
    <row r="57" spans="3:6" x14ac:dyDescent="0.15">
      <c r="C57" s="123"/>
      <c r="D57" s="42" t="s">
        <v>15</v>
      </c>
      <c r="E57" s="43">
        <v>894.06</v>
      </c>
      <c r="F57" s="44">
        <f t="shared" si="4"/>
        <v>2.4829615697835924E-2</v>
      </c>
    </row>
    <row r="58" spans="3:6" x14ac:dyDescent="0.15">
      <c r="C58" s="123"/>
      <c r="D58" s="42" t="s">
        <v>16</v>
      </c>
      <c r="E58" s="43">
        <v>644</v>
      </c>
      <c r="F58" s="44">
        <f t="shared" si="4"/>
        <v>1.7885010524356683E-2</v>
      </c>
    </row>
    <row r="59" spans="3:6" x14ac:dyDescent="0.15">
      <c r="C59" s="123"/>
      <c r="D59" s="42" t="s">
        <v>17</v>
      </c>
      <c r="E59" s="43">
        <v>769.44999999999993</v>
      </c>
      <c r="F59" s="44">
        <f t="shared" si="4"/>
        <v>2.1368977248394799E-2</v>
      </c>
    </row>
    <row r="60" spans="3:6" x14ac:dyDescent="0.15">
      <c r="C60" s="123"/>
      <c r="D60" s="42" t="s">
        <v>18</v>
      </c>
      <c r="E60" s="43">
        <v>784</v>
      </c>
      <c r="F60" s="44">
        <f t="shared" si="4"/>
        <v>2.1773056290521179E-2</v>
      </c>
    </row>
    <row r="61" spans="3:6" x14ac:dyDescent="0.15">
      <c r="C61" s="123"/>
      <c r="D61" s="42" t="s">
        <v>19</v>
      </c>
      <c r="E61" s="43">
        <v>1681.134</v>
      </c>
      <c r="F61" s="44">
        <f t="shared" si="4"/>
        <v>4.6688042364679889E-2</v>
      </c>
    </row>
    <row r="62" spans="3:6" x14ac:dyDescent="0.15">
      <c r="C62" s="122" t="s">
        <v>70</v>
      </c>
      <c r="D62" s="42" t="s">
        <v>20</v>
      </c>
      <c r="E62" s="43">
        <v>7944.8549999999996</v>
      </c>
      <c r="F62" s="44">
        <f t="shared" si="4"/>
        <v>0.22064257032529164</v>
      </c>
    </row>
    <row r="63" spans="3:6" x14ac:dyDescent="0.15">
      <c r="C63" s="123"/>
      <c r="D63" s="42" t="s">
        <v>21</v>
      </c>
      <c r="E63" s="43">
        <v>864</v>
      </c>
      <c r="F63" s="44">
        <f t="shared" si="4"/>
        <v>2.3994796728329465E-2</v>
      </c>
    </row>
    <row r="64" spans="3:6" x14ac:dyDescent="0.15">
      <c r="C64" s="123"/>
      <c r="D64" s="42" t="s">
        <v>22</v>
      </c>
      <c r="E64" s="43">
        <v>2266</v>
      </c>
      <c r="F64" s="44">
        <f t="shared" si="4"/>
        <v>6.2930797900919641E-2</v>
      </c>
    </row>
    <row r="65" spans="3:13" x14ac:dyDescent="0.15">
      <c r="C65" s="123"/>
      <c r="D65" s="42" t="s">
        <v>23</v>
      </c>
      <c r="E65" s="43">
        <v>336</v>
      </c>
      <c r="F65" s="44">
        <f t="shared" si="4"/>
        <v>9.3313098387947917E-3</v>
      </c>
    </row>
    <row r="66" spans="3:13" x14ac:dyDescent="0.15">
      <c r="C66" s="123"/>
      <c r="D66" s="42" t="s">
        <v>24</v>
      </c>
      <c r="E66" s="43">
        <v>1243</v>
      </c>
      <c r="F66" s="44">
        <f t="shared" si="4"/>
        <v>3.4520292052446208E-2</v>
      </c>
    </row>
    <row r="67" spans="3:13" x14ac:dyDescent="0.15">
      <c r="C67" s="123"/>
      <c r="D67" s="42" t="s">
        <v>25</v>
      </c>
      <c r="E67" s="43">
        <v>819.36</v>
      </c>
      <c r="F67" s="44">
        <f t="shared" si="4"/>
        <v>2.2755065564032444E-2</v>
      </c>
    </row>
    <row r="68" spans="3:13" x14ac:dyDescent="0.15">
      <c r="C68" s="123"/>
      <c r="D68" s="42" t="s">
        <v>26</v>
      </c>
      <c r="E68" s="43">
        <v>332.5</v>
      </c>
      <c r="F68" s="44">
        <f t="shared" si="4"/>
        <v>9.2341086946406796E-3</v>
      </c>
    </row>
    <row r="69" spans="3:13" x14ac:dyDescent="0.15">
      <c r="C69" s="122" t="s">
        <v>71</v>
      </c>
      <c r="D69" s="42" t="s">
        <v>27</v>
      </c>
      <c r="E69" s="43">
        <v>495</v>
      </c>
      <c r="F69" s="44">
        <f t="shared" si="4"/>
        <v>1.3747018958938756E-2</v>
      </c>
    </row>
    <row r="70" spans="3:13" x14ac:dyDescent="0.15">
      <c r="C70" s="123"/>
      <c r="D70" s="42" t="s">
        <v>28</v>
      </c>
      <c r="E70" s="43">
        <v>865</v>
      </c>
      <c r="F70" s="44">
        <f t="shared" si="4"/>
        <v>2.4022568483802069E-2</v>
      </c>
    </row>
    <row r="71" spans="3:13" x14ac:dyDescent="0.15">
      <c r="C71" s="123"/>
      <c r="D71" s="42" t="s">
        <v>72</v>
      </c>
      <c r="E71" s="43">
        <v>844</v>
      </c>
      <c r="F71" s="44">
        <f t="shared" si="4"/>
        <v>2.3439361618877393E-2</v>
      </c>
    </row>
    <row r="72" spans="3:13" x14ac:dyDescent="0.15">
      <c r="C72" s="123"/>
      <c r="D72" s="42" t="s">
        <v>30</v>
      </c>
      <c r="E72" s="43">
        <v>320.16999999999996</v>
      </c>
      <c r="F72" s="44">
        <f t="shared" si="4"/>
        <v>8.891682949663476E-3</v>
      </c>
      <c r="J72" s="25" t="s">
        <v>112</v>
      </c>
      <c r="K72" s="77">
        <f>SUM(E52:E77)</f>
        <v>31926.614599999997</v>
      </c>
    </row>
    <row r="73" spans="3:13" x14ac:dyDescent="0.15">
      <c r="C73" s="123"/>
      <c r="D73" s="42" t="s">
        <v>31</v>
      </c>
      <c r="E73" s="43">
        <v>1365</v>
      </c>
      <c r="F73" s="44">
        <f t="shared" si="4"/>
        <v>3.7908446220103843E-2</v>
      </c>
    </row>
    <row r="74" spans="3:13" x14ac:dyDescent="0.15">
      <c r="C74" s="122" t="s">
        <v>73</v>
      </c>
      <c r="D74" s="42" t="s">
        <v>32</v>
      </c>
      <c r="E74" s="43">
        <v>664.16</v>
      </c>
      <c r="F74" s="44">
        <f t="shared" si="4"/>
        <v>1.8444889114684372E-2</v>
      </c>
    </row>
    <row r="75" spans="3:13" x14ac:dyDescent="0.15">
      <c r="C75" s="123"/>
      <c r="D75" s="42" t="s">
        <v>33</v>
      </c>
      <c r="E75" s="43">
        <v>420.97999999999996</v>
      </c>
      <c r="F75" s="44">
        <f t="shared" si="4"/>
        <v>1.1691353618856639E-2</v>
      </c>
    </row>
    <row r="76" spans="3:13" x14ac:dyDescent="0.15">
      <c r="C76" s="123"/>
      <c r="D76" s="42" t="s">
        <v>34</v>
      </c>
      <c r="E76" s="43">
        <v>222.3</v>
      </c>
      <c r="F76" s="44">
        <f t="shared" si="4"/>
        <v>6.1736612415597691E-3</v>
      </c>
      <c r="M76" s="25"/>
    </row>
    <row r="77" spans="3:13" x14ac:dyDescent="0.15">
      <c r="C77" s="123"/>
      <c r="D77" s="42" t="s">
        <v>35</v>
      </c>
      <c r="E77" s="43">
        <v>2399.4</v>
      </c>
      <c r="F77" s="44">
        <f t="shared" si="4"/>
        <v>6.6635550080964959E-2</v>
      </c>
    </row>
    <row r="78" spans="3:13" x14ac:dyDescent="0.15">
      <c r="C78" s="124" t="s">
        <v>74</v>
      </c>
      <c r="D78" s="42" t="s">
        <v>36</v>
      </c>
      <c r="E78" s="43">
        <v>564.57999999999993</v>
      </c>
      <c r="F78" s="44">
        <f t="shared" si="4"/>
        <v>1.5679377704722507E-2</v>
      </c>
    </row>
    <row r="79" spans="3:13" x14ac:dyDescent="0.15">
      <c r="C79" s="123"/>
      <c r="D79" s="42" t="s">
        <v>37</v>
      </c>
      <c r="E79" s="43">
        <v>698.9</v>
      </c>
      <c r="F79" s="44">
        <f t="shared" si="4"/>
        <v>1.9409679899802617E-2</v>
      </c>
      <c r="K79" s="77"/>
    </row>
    <row r="80" spans="3:13" x14ac:dyDescent="0.15">
      <c r="C80" s="123"/>
      <c r="D80" s="42" t="s">
        <v>38</v>
      </c>
      <c r="E80" s="43">
        <v>174.24</v>
      </c>
      <c r="F80" s="44">
        <f t="shared" si="4"/>
        <v>4.8389506735464424E-3</v>
      </c>
    </row>
    <row r="81" spans="3:9" x14ac:dyDescent="0.15">
      <c r="C81" s="123"/>
      <c r="D81" s="42" t="s">
        <v>39</v>
      </c>
      <c r="E81" s="43">
        <v>659.12000000000012</v>
      </c>
      <c r="F81" s="44">
        <f t="shared" si="4"/>
        <v>1.8304919467102453E-2</v>
      </c>
    </row>
    <row r="82" spans="3:9" x14ac:dyDescent="0.15">
      <c r="C82" s="123"/>
      <c r="D82" s="42" t="s">
        <v>40</v>
      </c>
      <c r="E82" s="43">
        <v>819.36</v>
      </c>
      <c r="F82" s="44">
        <f t="shared" si="4"/>
        <v>2.2755065564032444E-2</v>
      </c>
    </row>
    <row r="83" spans="3:9" x14ac:dyDescent="0.15">
      <c r="C83" s="123"/>
      <c r="D83" s="42" t="s">
        <v>75</v>
      </c>
      <c r="E83" s="43">
        <v>222.21200000000002</v>
      </c>
      <c r="F83" s="44">
        <f t="shared" si="4"/>
        <v>6.1712173270781802E-3</v>
      </c>
    </row>
    <row r="84" spans="3:9" x14ac:dyDescent="0.15">
      <c r="C84" s="123"/>
      <c r="D84" s="42" t="s">
        <v>42</v>
      </c>
      <c r="E84" s="43">
        <v>147</v>
      </c>
      <c r="F84" s="44">
        <f t="shared" si="4"/>
        <v>4.0824480544727213E-3</v>
      </c>
    </row>
    <row r="85" spans="3:9" x14ac:dyDescent="0.15">
      <c r="C85" s="123"/>
      <c r="D85" s="42" t="s">
        <v>43</v>
      </c>
      <c r="E85" s="43">
        <v>795.78</v>
      </c>
      <c r="F85" s="44">
        <f t="shared" si="4"/>
        <v>2.2100207569988449E-2</v>
      </c>
    </row>
    <row r="86" spans="3:9" x14ac:dyDescent="0.15">
      <c r="C86" s="30"/>
      <c r="D86" s="42" t="s">
        <v>76</v>
      </c>
      <c r="E86" s="46">
        <f>SUM(E52:E85)</f>
        <v>36007.806599999996</v>
      </c>
      <c r="F86" s="44">
        <f>SUM(F52:F85)</f>
        <v>0.99999999999999978</v>
      </c>
    </row>
    <row r="87" spans="3:9" x14ac:dyDescent="0.15">
      <c r="I87" s="25"/>
    </row>
    <row r="89" spans="3:9" ht="19" x14ac:dyDescent="0.2">
      <c r="D89" s="52" t="s">
        <v>77</v>
      </c>
    </row>
    <row r="90" spans="3:9" ht="14" x14ac:dyDescent="0.15">
      <c r="C90" s="40" t="s">
        <v>6</v>
      </c>
      <c r="D90" s="41" t="s">
        <v>7</v>
      </c>
      <c r="E90" s="47" t="s">
        <v>78</v>
      </c>
      <c r="F90" s="47" t="s">
        <v>79</v>
      </c>
    </row>
    <row r="91" spans="3:9" x14ac:dyDescent="0.15">
      <c r="C91" s="124" t="s">
        <v>69</v>
      </c>
      <c r="D91" s="30"/>
      <c r="E91" s="48"/>
      <c r="F91" s="49"/>
    </row>
    <row r="92" spans="3:9" x14ac:dyDescent="0.15">
      <c r="C92" s="123"/>
      <c r="D92" s="42" t="s">
        <v>10</v>
      </c>
      <c r="E92" s="50">
        <f>$E$126*F92</f>
        <v>2331.2324722383951</v>
      </c>
      <c r="F92" s="51">
        <v>7.7707749074613169E-2</v>
      </c>
    </row>
    <row r="93" spans="3:9" x14ac:dyDescent="0.15">
      <c r="C93" s="123"/>
      <c r="D93" s="42" t="s">
        <v>11</v>
      </c>
      <c r="E93" s="50">
        <f t="shared" ref="E93:E124" si="5">$E$126*F93</f>
        <v>833.15266417810631</v>
      </c>
      <c r="F93" s="51">
        <v>2.7771755472603545E-2</v>
      </c>
    </row>
    <row r="94" spans="3:9" x14ac:dyDescent="0.15">
      <c r="C94" s="123"/>
      <c r="D94" s="42" t="s">
        <v>12</v>
      </c>
      <c r="E94" s="50">
        <f t="shared" si="5"/>
        <v>583.20686492467451</v>
      </c>
      <c r="F94" s="51">
        <v>1.9440228830822484E-2</v>
      </c>
    </row>
    <row r="95" spans="3:9" x14ac:dyDescent="0.15">
      <c r="C95" s="123"/>
      <c r="D95" s="42" t="s">
        <v>13</v>
      </c>
      <c r="E95" s="50">
        <f t="shared" si="5"/>
        <v>491.56007186508282</v>
      </c>
      <c r="F95" s="51">
        <v>1.6385335728836093E-2</v>
      </c>
    </row>
    <row r="96" spans="3:9" ht="14" x14ac:dyDescent="0.15">
      <c r="C96" s="123"/>
      <c r="D96" s="45" t="s">
        <v>14</v>
      </c>
      <c r="E96" s="50">
        <f t="shared" si="5"/>
        <v>553.34667344053116</v>
      </c>
      <c r="F96" s="51">
        <v>1.8444889114684372E-2</v>
      </c>
    </row>
    <row r="97" spans="3:12" x14ac:dyDescent="0.15">
      <c r="C97" s="123"/>
      <c r="D97" s="42" t="s">
        <v>15</v>
      </c>
      <c r="E97" s="50">
        <f t="shared" si="5"/>
        <v>744.88847093507775</v>
      </c>
      <c r="F97" s="51">
        <v>2.4829615697835924E-2</v>
      </c>
    </row>
    <row r="98" spans="3:12" x14ac:dyDescent="0.15">
      <c r="C98" s="123"/>
      <c r="D98" s="42" t="s">
        <v>16</v>
      </c>
      <c r="E98" s="50">
        <f t="shared" si="5"/>
        <v>536.5503157307005</v>
      </c>
      <c r="F98" s="51">
        <v>1.7885010524356683E-2</v>
      </c>
    </row>
    <row r="99" spans="3:12" x14ac:dyDescent="0.15">
      <c r="C99" s="123"/>
      <c r="D99" s="42" t="s">
        <v>17</v>
      </c>
      <c r="E99" s="50">
        <f t="shared" si="5"/>
        <v>641.06931745184397</v>
      </c>
      <c r="F99" s="51">
        <v>2.1368977248394799E-2</v>
      </c>
    </row>
    <row r="100" spans="3:12" x14ac:dyDescent="0.15">
      <c r="C100" s="123"/>
      <c r="D100" s="42" t="s">
        <v>18</v>
      </c>
      <c r="E100" s="50">
        <f t="shared" si="5"/>
        <v>653.19168871563534</v>
      </c>
      <c r="F100" s="51">
        <v>2.1773056290521179E-2</v>
      </c>
    </row>
    <row r="101" spans="3:12" x14ac:dyDescent="0.15">
      <c r="C101" s="123"/>
      <c r="D101" s="42" t="s">
        <v>19</v>
      </c>
      <c r="E101" s="50">
        <f t="shared" si="5"/>
        <v>1400.6412709403967</v>
      </c>
      <c r="F101" s="51">
        <v>4.6688042364679889E-2</v>
      </c>
    </row>
    <row r="102" spans="3:12" x14ac:dyDescent="0.15">
      <c r="C102" s="122" t="s">
        <v>70</v>
      </c>
      <c r="D102" s="42" t="s">
        <v>20</v>
      </c>
      <c r="E102" s="50">
        <f t="shared" si="5"/>
        <v>6619.2771097587492</v>
      </c>
      <c r="F102" s="51">
        <v>0.22064257032529164</v>
      </c>
    </row>
    <row r="103" spans="3:12" x14ac:dyDescent="0.15">
      <c r="C103" s="123"/>
      <c r="D103" s="42" t="s">
        <v>21</v>
      </c>
      <c r="E103" s="50">
        <f t="shared" si="5"/>
        <v>719.84390184988399</v>
      </c>
      <c r="F103" s="51">
        <v>2.3994796728329465E-2</v>
      </c>
    </row>
    <row r="104" spans="3:12" x14ac:dyDescent="0.15">
      <c r="C104" s="123"/>
      <c r="D104" s="42" t="s">
        <v>22</v>
      </c>
      <c r="E104" s="50">
        <f t="shared" si="5"/>
        <v>1887.9239370275893</v>
      </c>
      <c r="F104" s="51">
        <v>6.2930797900919641E-2</v>
      </c>
    </row>
    <row r="105" spans="3:12" x14ac:dyDescent="0.15">
      <c r="C105" s="123"/>
      <c r="D105" s="42" t="s">
        <v>23</v>
      </c>
      <c r="E105" s="50">
        <f>$E$126*F105</f>
        <v>279.93929516384372</v>
      </c>
      <c r="F105" s="51">
        <v>9.3313098387947917E-3</v>
      </c>
    </row>
    <row r="106" spans="3:12" x14ac:dyDescent="0.15">
      <c r="C106" s="123"/>
      <c r="D106" s="42" t="s">
        <v>24</v>
      </c>
      <c r="E106" s="50">
        <f t="shared" si="5"/>
        <v>1035.6087615733863</v>
      </c>
      <c r="F106" s="51">
        <v>3.4520292052446208E-2</v>
      </c>
    </row>
    <row r="107" spans="3:12" x14ac:dyDescent="0.15">
      <c r="C107" s="123"/>
      <c r="D107" s="42" t="s">
        <v>25</v>
      </c>
      <c r="E107" s="50">
        <f t="shared" si="5"/>
        <v>682.65196692097334</v>
      </c>
      <c r="F107" s="51">
        <v>2.2755065564032444E-2</v>
      </c>
    </row>
    <row r="108" spans="3:12" x14ac:dyDescent="0.15">
      <c r="C108" s="123"/>
      <c r="D108" s="42" t="s">
        <v>26</v>
      </c>
      <c r="E108" s="50">
        <f t="shared" si="5"/>
        <v>277.02326083922037</v>
      </c>
      <c r="F108" s="51">
        <v>9.2341086946406796E-3</v>
      </c>
    </row>
    <row r="109" spans="3:12" x14ac:dyDescent="0.15">
      <c r="C109" s="122" t="s">
        <v>71</v>
      </c>
      <c r="D109" s="42" t="s">
        <v>27</v>
      </c>
      <c r="E109" s="50">
        <f t="shared" si="5"/>
        <v>412.4105687681627</v>
      </c>
      <c r="F109" s="51">
        <v>1.3747018958938756E-2</v>
      </c>
    </row>
    <row r="110" spans="3:12" x14ac:dyDescent="0.15">
      <c r="C110" s="123"/>
      <c r="D110" s="42" t="s">
        <v>28</v>
      </c>
      <c r="E110" s="50">
        <f t="shared" si="5"/>
        <v>720.67705451406209</v>
      </c>
      <c r="F110" s="51">
        <v>2.4022568483802069E-2</v>
      </c>
      <c r="J110" s="25" t="s">
        <v>112</v>
      </c>
      <c r="K110" s="54">
        <f>SUM(E92:E117)</f>
        <v>26599.74401217762</v>
      </c>
    </row>
    <row r="111" spans="3:12" x14ac:dyDescent="0.15">
      <c r="C111" s="123"/>
      <c r="D111" s="42" t="s">
        <v>72</v>
      </c>
      <c r="E111" s="50">
        <f t="shared" si="5"/>
        <v>703.18084856632174</v>
      </c>
      <c r="F111" s="51">
        <v>2.3439361618877393E-2</v>
      </c>
      <c r="K111" s="25"/>
      <c r="L111" s="54"/>
    </row>
    <row r="112" spans="3:12" x14ac:dyDescent="0.15">
      <c r="C112" s="123"/>
      <c r="D112" s="42" t="s">
        <v>30</v>
      </c>
      <c r="E112" s="50">
        <f t="shared" si="5"/>
        <v>266.75048848990428</v>
      </c>
      <c r="F112" s="51">
        <v>8.891682949663476E-3</v>
      </c>
    </row>
    <row r="113" spans="3:6" x14ac:dyDescent="0.15">
      <c r="C113" s="123"/>
      <c r="D113" s="42" t="s">
        <v>31</v>
      </c>
      <c r="E113" s="50">
        <f t="shared" si="5"/>
        <v>1137.2533866031154</v>
      </c>
      <c r="F113" s="51">
        <v>3.7908446220103843E-2</v>
      </c>
    </row>
    <row r="114" spans="3:6" x14ac:dyDescent="0.15">
      <c r="C114" s="122" t="s">
        <v>73</v>
      </c>
      <c r="D114" s="42" t="s">
        <v>32</v>
      </c>
      <c r="E114" s="50">
        <f t="shared" si="5"/>
        <v>553.34667344053116</v>
      </c>
      <c r="F114" s="51">
        <v>1.8444889114684372E-2</v>
      </c>
    </row>
    <row r="115" spans="3:6" x14ac:dyDescent="0.15">
      <c r="C115" s="123"/>
      <c r="D115" s="42" t="s">
        <v>33</v>
      </c>
      <c r="E115" s="50">
        <f t="shared" si="5"/>
        <v>350.74060856569918</v>
      </c>
      <c r="F115" s="51">
        <v>1.1691353618856639E-2</v>
      </c>
    </row>
    <row r="116" spans="3:6" x14ac:dyDescent="0.15">
      <c r="C116" s="123"/>
      <c r="D116" s="42" t="s">
        <v>34</v>
      </c>
      <c r="E116" s="50">
        <f t="shared" si="5"/>
        <v>185.20983724679309</v>
      </c>
      <c r="F116" s="51">
        <v>6.1736612415597691E-3</v>
      </c>
    </row>
    <row r="117" spans="3:6" x14ac:dyDescent="0.15">
      <c r="C117" s="123"/>
      <c r="D117" s="42" t="s">
        <v>35</v>
      </c>
      <c r="E117" s="50">
        <f t="shared" si="5"/>
        <v>1999.0665024289488</v>
      </c>
      <c r="F117" s="51">
        <v>6.6635550080964959E-2</v>
      </c>
    </row>
    <row r="118" spans="3:6" x14ac:dyDescent="0.15">
      <c r="C118" s="124" t="s">
        <v>74</v>
      </c>
      <c r="D118" s="42" t="s">
        <v>36</v>
      </c>
      <c r="E118" s="50">
        <f t="shared" si="5"/>
        <v>470.38133114167522</v>
      </c>
      <c r="F118" s="51">
        <v>1.5679377704722507E-2</v>
      </c>
    </row>
    <row r="119" spans="3:6" x14ac:dyDescent="0.15">
      <c r="C119" s="123"/>
      <c r="D119" s="42" t="s">
        <v>37</v>
      </c>
      <c r="E119" s="50">
        <f t="shared" si="5"/>
        <v>582.29039699407849</v>
      </c>
      <c r="F119" s="51">
        <v>1.9409679899802617E-2</v>
      </c>
    </row>
    <row r="120" spans="3:6" x14ac:dyDescent="0.15">
      <c r="C120" s="123"/>
      <c r="D120" s="42" t="s">
        <v>38</v>
      </c>
      <c r="E120" s="50">
        <f t="shared" si="5"/>
        <v>145.16852020639328</v>
      </c>
      <c r="F120" s="51">
        <v>4.8389506735464424E-3</v>
      </c>
    </row>
    <row r="121" spans="3:6" x14ac:dyDescent="0.15">
      <c r="C121" s="123"/>
      <c r="D121" s="42" t="s">
        <v>39</v>
      </c>
      <c r="E121" s="50">
        <f t="shared" si="5"/>
        <v>549.14758401307358</v>
      </c>
      <c r="F121" s="51">
        <v>1.8304919467102453E-2</v>
      </c>
    </row>
    <row r="122" spans="3:6" x14ac:dyDescent="0.15">
      <c r="C122" s="123"/>
      <c r="D122" s="42" t="s">
        <v>40</v>
      </c>
      <c r="E122" s="50">
        <f t="shared" si="5"/>
        <v>682.65196692097334</v>
      </c>
      <c r="F122" s="51">
        <v>2.2755065564032444E-2</v>
      </c>
    </row>
    <row r="123" spans="3:6" x14ac:dyDescent="0.15">
      <c r="C123" s="123"/>
      <c r="D123" s="42" t="s">
        <v>75</v>
      </c>
      <c r="E123" s="50">
        <f t="shared" si="5"/>
        <v>185.1365198123454</v>
      </c>
      <c r="F123" s="51">
        <v>6.1712173270781802E-3</v>
      </c>
    </row>
    <row r="124" spans="3:6" x14ac:dyDescent="0.15">
      <c r="C124" s="123"/>
      <c r="D124" s="42" t="s">
        <v>42</v>
      </c>
      <c r="E124" s="50">
        <f t="shared" si="5"/>
        <v>122.47344163418164</v>
      </c>
      <c r="F124" s="51">
        <v>4.0824480544727213E-3</v>
      </c>
    </row>
    <row r="125" spans="3:6" x14ac:dyDescent="0.15">
      <c r="C125" s="123"/>
      <c r="D125" s="42" t="s">
        <v>43</v>
      </c>
      <c r="E125" s="50">
        <f>$E$126*F125</f>
        <v>663.00622709965342</v>
      </c>
      <c r="F125" s="51">
        <v>2.2100207569988449E-2</v>
      </c>
    </row>
    <row r="126" spans="3:6" x14ac:dyDescent="0.15">
      <c r="C126" s="30"/>
      <c r="D126" s="42" t="s">
        <v>81</v>
      </c>
      <c r="E126" s="49">
        <v>30000</v>
      </c>
      <c r="F126" s="51">
        <v>0.99999999999999978</v>
      </c>
    </row>
    <row r="127" spans="3:6" x14ac:dyDescent="0.15">
      <c r="C127" s="35"/>
      <c r="D127" s="36"/>
      <c r="E127" s="37"/>
      <c r="F127" s="35"/>
    </row>
    <row r="129" spans="2:10" x14ac:dyDescent="0.15">
      <c r="B129" s="26">
        <v>5</v>
      </c>
      <c r="C129" s="53" t="s">
        <v>76</v>
      </c>
      <c r="D129" s="89">
        <f>E86</f>
        <v>36007.806599999996</v>
      </c>
    </row>
    <row r="130" spans="2:10" x14ac:dyDescent="0.15">
      <c r="C130" s="47" t="s">
        <v>82</v>
      </c>
      <c r="D130" s="49">
        <f>E126</f>
        <v>30000</v>
      </c>
      <c r="G130" s="54"/>
    </row>
    <row r="131" spans="2:10" x14ac:dyDescent="0.15">
      <c r="C131" s="47" t="s">
        <v>83</v>
      </c>
      <c r="D131" s="56">
        <f>D130/D129</f>
        <v>0.83315266417810641</v>
      </c>
      <c r="E131" s="25"/>
      <c r="J131" s="54"/>
    </row>
    <row r="132" spans="2:10" x14ac:dyDescent="0.15">
      <c r="C132" s="48" t="s">
        <v>85</v>
      </c>
      <c r="D132" s="57">
        <f>1-D131</f>
        <v>0.16684733582189359</v>
      </c>
    </row>
    <row r="134" spans="2:10" x14ac:dyDescent="0.15">
      <c r="C134" s="25"/>
    </row>
    <row r="140" spans="2:10" ht="16" x14ac:dyDescent="0.2">
      <c r="B140" s="26">
        <v>8</v>
      </c>
      <c r="C140" s="90" t="s">
        <v>134</v>
      </c>
    </row>
    <row r="141" spans="2:10" x14ac:dyDescent="0.15">
      <c r="C141" s="34" t="s">
        <v>135</v>
      </c>
      <c r="D141" s="107">
        <f>K72</f>
        <v>31926.614599999997</v>
      </c>
    </row>
    <row r="142" spans="2:10" x14ac:dyDescent="0.15">
      <c r="C142" s="34" t="s">
        <v>136</v>
      </c>
      <c r="D142" s="108">
        <f>70000</f>
        <v>70000</v>
      </c>
    </row>
    <row r="143" spans="2:10" x14ac:dyDescent="0.15">
      <c r="C143" s="34" t="s">
        <v>137</v>
      </c>
      <c r="D143" s="58">
        <f>D142/D141</f>
        <v>2.1925281110136874</v>
      </c>
    </row>
    <row r="146" spans="3:4" x14ac:dyDescent="0.15">
      <c r="C146" s="25"/>
      <c r="D146" s="77"/>
    </row>
    <row r="148" spans="3:4" ht="16" x14ac:dyDescent="0.2">
      <c r="C148" s="97" t="s">
        <v>110</v>
      </c>
      <c r="D148" s="98"/>
    </row>
    <row r="149" spans="3:4" ht="14" x14ac:dyDescent="0.15">
      <c r="C149" s="99" t="s">
        <v>111</v>
      </c>
      <c r="D149" s="100">
        <v>26599.744012177602</v>
      </c>
    </row>
    <row r="150" spans="3:4" x14ac:dyDescent="0.15">
      <c r="C150" s="101" t="s">
        <v>115</v>
      </c>
      <c r="D150" s="109">
        <v>2.1925016443762302</v>
      </c>
    </row>
    <row r="151" spans="3:4" x14ac:dyDescent="0.15">
      <c r="C151" s="101" t="s">
        <v>132</v>
      </c>
      <c r="D151" s="102">
        <f>D149*D150</f>
        <v>58319.982486686175</v>
      </c>
    </row>
  </sheetData>
  <mergeCells count="10">
    <mergeCell ref="C102:C108"/>
    <mergeCell ref="C109:C113"/>
    <mergeCell ref="C114:C117"/>
    <mergeCell ref="C118:C125"/>
    <mergeCell ref="C51:C61"/>
    <mergeCell ref="C62:C68"/>
    <mergeCell ref="C69:C73"/>
    <mergeCell ref="C74:C77"/>
    <mergeCell ref="C78:C85"/>
    <mergeCell ref="C91:C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66CAD-D4AE-E046-B417-178C861AAF7C}">
  <dimension ref="D13:Z138"/>
  <sheetViews>
    <sheetView zoomScale="75" zoomScaleNormal="100" workbookViewId="0">
      <selection activeCell="R45" sqref="R45"/>
    </sheetView>
  </sheetViews>
  <sheetFormatPr baseColWidth="10" defaultRowHeight="13" x14ac:dyDescent="0.15"/>
  <cols>
    <col min="1" max="3" width="10.83203125" style="35"/>
    <col min="4" max="4" width="43.5" style="35" customWidth="1"/>
    <col min="5" max="5" width="28.33203125" style="35" customWidth="1"/>
    <col min="6" max="6" width="25.1640625" style="35" customWidth="1"/>
    <col min="7" max="7" width="44" style="35" customWidth="1"/>
    <col min="8" max="8" width="33.33203125" style="35" customWidth="1"/>
    <col min="9" max="9" width="61.33203125" style="35" customWidth="1"/>
    <col min="10" max="10" width="26.1640625" style="35" customWidth="1"/>
    <col min="11" max="11" width="31.5" style="35" customWidth="1"/>
    <col min="12" max="12" width="15.6640625" style="35" customWidth="1"/>
    <col min="13" max="13" width="22.83203125" style="35" customWidth="1"/>
    <col min="14" max="14" width="16.5" style="35" customWidth="1"/>
    <col min="15" max="16384" width="10.83203125" style="35"/>
  </cols>
  <sheetData>
    <row r="13" spans="4:16" ht="19" x14ac:dyDescent="0.2">
      <c r="E13" s="59" t="s">
        <v>77</v>
      </c>
      <c r="I13" s="59" t="s">
        <v>131</v>
      </c>
      <c r="K13" s="38"/>
    </row>
    <row r="14" spans="4:16" ht="14" x14ac:dyDescent="0.15">
      <c r="D14" s="61" t="s">
        <v>6</v>
      </c>
      <c r="E14" s="62" t="s">
        <v>7</v>
      </c>
      <c r="F14" s="48" t="s">
        <v>78</v>
      </c>
      <c r="G14" s="48" t="s">
        <v>79</v>
      </c>
      <c r="H14" s="48" t="s">
        <v>87</v>
      </c>
      <c r="I14" s="48" t="s">
        <v>103</v>
      </c>
      <c r="J14" s="48" t="s">
        <v>100</v>
      </c>
      <c r="K14" s="48" t="s">
        <v>104</v>
      </c>
      <c r="L14" s="48" t="s">
        <v>101</v>
      </c>
      <c r="M14" s="47" t="s">
        <v>109</v>
      </c>
      <c r="O14" s="38" t="s">
        <v>92</v>
      </c>
      <c r="P14" s="65"/>
    </row>
    <row r="15" spans="4:16" x14ac:dyDescent="0.15">
      <c r="D15" s="134" t="s">
        <v>69</v>
      </c>
      <c r="E15" s="49"/>
      <c r="F15" s="48"/>
      <c r="G15" s="49"/>
      <c r="H15" s="49"/>
      <c r="I15" s="49"/>
      <c r="J15" s="68"/>
      <c r="K15" s="68"/>
      <c r="L15" s="49"/>
      <c r="M15" s="49"/>
      <c r="O15" s="38" t="s">
        <v>93</v>
      </c>
      <c r="P15" s="66"/>
    </row>
    <row r="16" spans="4:16" x14ac:dyDescent="0.15">
      <c r="D16" s="135"/>
      <c r="E16" s="53" t="s">
        <v>10</v>
      </c>
      <c r="F16" s="50">
        <f>$F$50*G16</f>
        <v>2331.2324722383951</v>
      </c>
      <c r="G16" s="51">
        <v>7.7707749074613169E-2</v>
      </c>
      <c r="H16" s="47" t="s">
        <v>89</v>
      </c>
      <c r="J16" s="64">
        <v>2331.2324722383951</v>
      </c>
      <c r="K16" s="69" t="s">
        <v>107</v>
      </c>
      <c r="L16" s="72">
        <f>J50*0.1+J16</f>
        <v>2520.8571162660041</v>
      </c>
      <c r="M16" s="51">
        <f>L16/$L$50</f>
        <v>8.4028570542200171E-2</v>
      </c>
    </row>
    <row r="17" spans="4:16" x14ac:dyDescent="0.15">
      <c r="D17" s="135"/>
      <c r="E17" s="53" t="s">
        <v>11</v>
      </c>
      <c r="F17" s="50">
        <f t="shared" ref="F17:F49" si="0">$F$50*G17</f>
        <v>833.15266417810631</v>
      </c>
      <c r="G17" s="51">
        <v>2.7771755472603545E-2</v>
      </c>
      <c r="H17" s="47" t="s">
        <v>89</v>
      </c>
      <c r="I17" s="49"/>
      <c r="J17" s="64">
        <v>833.15266417810631</v>
      </c>
      <c r="K17" s="69" t="s">
        <v>106</v>
      </c>
      <c r="L17" s="72">
        <f>J50*0.1+J17</f>
        <v>1022.7773082057154</v>
      </c>
      <c r="M17" s="51">
        <f t="shared" ref="M17:M49" si="1">L17/$L$50</f>
        <v>3.4092576940190522E-2</v>
      </c>
    </row>
    <row r="18" spans="4:16" x14ac:dyDescent="0.15">
      <c r="D18" s="135"/>
      <c r="E18" s="53" t="s">
        <v>12</v>
      </c>
      <c r="F18" s="50">
        <f t="shared" si="0"/>
        <v>583.20686492467451</v>
      </c>
      <c r="G18" s="51">
        <v>1.9440228830822484E-2</v>
      </c>
      <c r="H18" s="47" t="s">
        <v>89</v>
      </c>
      <c r="I18" s="49"/>
      <c r="J18" s="64">
        <v>583.20686492467451</v>
      </c>
      <c r="K18" s="69" t="s">
        <v>106</v>
      </c>
      <c r="L18" s="72">
        <f>J50*0.1+J18</f>
        <v>772.83150895228346</v>
      </c>
      <c r="M18" s="51">
        <f t="shared" si="1"/>
        <v>2.5761050298409457E-2</v>
      </c>
    </row>
    <row r="19" spans="4:16" x14ac:dyDescent="0.15">
      <c r="D19" s="135"/>
      <c r="E19" s="53" t="s">
        <v>13</v>
      </c>
      <c r="F19" s="50">
        <f t="shared" si="0"/>
        <v>491.56007186508282</v>
      </c>
      <c r="G19" s="51">
        <v>1.6385335728836093E-2</v>
      </c>
      <c r="H19" s="47" t="s">
        <v>89</v>
      </c>
      <c r="I19" s="49"/>
      <c r="J19" s="64">
        <v>491.56007186508282</v>
      </c>
      <c r="K19" s="64"/>
      <c r="L19" s="50">
        <v>491.56007186508299</v>
      </c>
      <c r="M19" s="51">
        <f t="shared" si="1"/>
        <v>1.6385335728836107E-2</v>
      </c>
    </row>
    <row r="20" spans="4:16" ht="28" x14ac:dyDescent="0.15">
      <c r="D20" s="135"/>
      <c r="E20" s="60" t="s">
        <v>14</v>
      </c>
      <c r="F20" s="50">
        <f t="shared" si="0"/>
        <v>553.34667344053116</v>
      </c>
      <c r="G20" s="51">
        <v>1.8444889114684372E-2</v>
      </c>
      <c r="H20" s="47" t="s">
        <v>89</v>
      </c>
      <c r="I20" s="47" t="s">
        <v>98</v>
      </c>
      <c r="J20" s="67">
        <f>F20/2</f>
        <v>276.67333672026558</v>
      </c>
      <c r="K20" s="73"/>
      <c r="L20" s="50">
        <v>276.67333672026598</v>
      </c>
      <c r="M20" s="51">
        <f t="shared" si="1"/>
        <v>9.2224445573422034E-3</v>
      </c>
      <c r="N20" s="39"/>
      <c r="O20" s="39">
        <f>J20</f>
        <v>276.67333672026558</v>
      </c>
      <c r="P20" s="39">
        <f>L16-J16</f>
        <v>189.62464402760907</v>
      </c>
    </row>
    <row r="21" spans="4:16" x14ac:dyDescent="0.15">
      <c r="D21" s="135"/>
      <c r="E21" s="53" t="s">
        <v>15</v>
      </c>
      <c r="F21" s="50">
        <f t="shared" si="0"/>
        <v>744.88847093507775</v>
      </c>
      <c r="G21" s="51">
        <v>2.4829615697835924E-2</v>
      </c>
      <c r="H21" s="47" t="s">
        <v>89</v>
      </c>
      <c r="I21" s="49"/>
      <c r="J21" s="64">
        <v>744.88847093507775</v>
      </c>
      <c r="K21" s="64"/>
      <c r="L21" s="50">
        <v>744.88847093507775</v>
      </c>
      <c r="M21" s="51">
        <f t="shared" si="1"/>
        <v>2.4829615697835934E-2</v>
      </c>
      <c r="P21" s="39">
        <f>L17-J17</f>
        <v>189.62464402760907</v>
      </c>
    </row>
    <row r="22" spans="4:16" x14ac:dyDescent="0.15">
      <c r="D22" s="135"/>
      <c r="E22" s="53" t="s">
        <v>16</v>
      </c>
      <c r="F22" s="50">
        <f t="shared" si="0"/>
        <v>536.5503157307005</v>
      </c>
      <c r="G22" s="51">
        <v>1.7885010524356683E-2</v>
      </c>
      <c r="H22" s="47" t="s">
        <v>89</v>
      </c>
      <c r="I22" s="49"/>
      <c r="J22" s="64">
        <v>536.5503157307005</v>
      </c>
      <c r="K22" s="69" t="s">
        <v>106</v>
      </c>
      <c r="L22" s="72">
        <f>J50*0.1+J22</f>
        <v>726.17495975830957</v>
      </c>
      <c r="M22" s="51">
        <f t="shared" si="1"/>
        <v>2.420583199194366E-2</v>
      </c>
      <c r="P22" s="39">
        <f>L18-J18</f>
        <v>189.62464402760895</v>
      </c>
    </row>
    <row r="23" spans="4:16" x14ac:dyDescent="0.15">
      <c r="D23" s="135"/>
      <c r="E23" s="53" t="s">
        <v>17</v>
      </c>
      <c r="F23" s="50">
        <f t="shared" si="0"/>
        <v>641.06931745184397</v>
      </c>
      <c r="G23" s="51">
        <v>2.1368977248394799E-2</v>
      </c>
      <c r="H23" s="47" t="s">
        <v>89</v>
      </c>
      <c r="I23" s="49"/>
      <c r="J23" s="64">
        <v>641.06931745184397</v>
      </c>
      <c r="K23" s="64"/>
      <c r="L23" s="50">
        <v>641.06931745184397</v>
      </c>
      <c r="M23" s="51">
        <f t="shared" si="1"/>
        <v>2.1368977248394806E-2</v>
      </c>
      <c r="P23" s="39">
        <f>L22-J22</f>
        <v>189.62464402760907</v>
      </c>
    </row>
    <row r="24" spans="4:16" x14ac:dyDescent="0.15">
      <c r="D24" s="135"/>
      <c r="E24" s="53" t="s">
        <v>18</v>
      </c>
      <c r="F24" s="50">
        <f t="shared" si="0"/>
        <v>653.19168871563534</v>
      </c>
      <c r="G24" s="51">
        <v>2.1773056290521179E-2</v>
      </c>
      <c r="H24" s="47" t="s">
        <v>89</v>
      </c>
      <c r="I24" s="49"/>
      <c r="J24" s="64">
        <v>653.19168871563534</v>
      </c>
      <c r="K24" s="64"/>
      <c r="L24" s="50">
        <v>653.19168871563534</v>
      </c>
      <c r="M24" s="51">
        <f t="shared" si="1"/>
        <v>2.1773056290521186E-2</v>
      </c>
      <c r="P24" s="39">
        <f>L26-J26</f>
        <v>379.24928805521813</v>
      </c>
    </row>
    <row r="25" spans="4:16" x14ac:dyDescent="0.15">
      <c r="D25" s="135"/>
      <c r="E25" s="53" t="s">
        <v>19</v>
      </c>
      <c r="F25" s="50">
        <f t="shared" si="0"/>
        <v>1400.6412709403967</v>
      </c>
      <c r="G25" s="51">
        <v>4.6688042364679889E-2</v>
      </c>
      <c r="H25" s="47" t="s">
        <v>89</v>
      </c>
      <c r="I25" s="49"/>
      <c r="J25" s="64">
        <v>1400.6412709403967</v>
      </c>
      <c r="K25" s="64"/>
      <c r="L25" s="50">
        <v>1400.6412709403967</v>
      </c>
      <c r="M25" s="51">
        <f t="shared" si="1"/>
        <v>4.6688042364679903E-2</v>
      </c>
      <c r="P25" s="39">
        <f>L27-J27</f>
        <v>189.62464402760895</v>
      </c>
    </row>
    <row r="26" spans="4:16" x14ac:dyDescent="0.15">
      <c r="D26" s="136" t="s">
        <v>70</v>
      </c>
      <c r="E26" s="53" t="s">
        <v>20</v>
      </c>
      <c r="F26" s="50">
        <f>$F$50*G26</f>
        <v>6619.2771097587492</v>
      </c>
      <c r="G26" s="51">
        <v>0.22064257032529164</v>
      </c>
      <c r="H26" s="47" t="s">
        <v>89</v>
      </c>
      <c r="J26" s="64">
        <v>6619.2771097587492</v>
      </c>
      <c r="K26" s="47" t="s">
        <v>102</v>
      </c>
      <c r="L26" s="72">
        <f>J50*0.2+J26</f>
        <v>6998.5263978139674</v>
      </c>
      <c r="M26" s="51">
        <f t="shared" si="1"/>
        <v>0.23328421326046567</v>
      </c>
      <c r="P26" s="39">
        <f>L28-J28</f>
        <v>379.24928805521813</v>
      </c>
    </row>
    <row r="27" spans="4:16" x14ac:dyDescent="0.15">
      <c r="D27" s="135"/>
      <c r="E27" s="53" t="s">
        <v>21</v>
      </c>
      <c r="F27" s="50">
        <f t="shared" si="0"/>
        <v>719.84390184988399</v>
      </c>
      <c r="G27" s="51">
        <v>2.3994796728329465E-2</v>
      </c>
      <c r="H27" s="47" t="s">
        <v>89</v>
      </c>
      <c r="I27" s="49"/>
      <c r="J27" s="50">
        <v>719.84390184988399</v>
      </c>
      <c r="K27" s="69" t="s">
        <v>106</v>
      </c>
      <c r="L27" s="72">
        <f>J50*0.1+J27</f>
        <v>909.46854587749294</v>
      </c>
      <c r="M27" s="51">
        <f t="shared" si="1"/>
        <v>3.0315618195916442E-2</v>
      </c>
      <c r="P27" s="39">
        <f>L35-J35</f>
        <v>189.62464402760907</v>
      </c>
    </row>
    <row r="28" spans="4:16" x14ac:dyDescent="0.15">
      <c r="D28" s="135"/>
      <c r="E28" s="53" t="s">
        <v>22</v>
      </c>
      <c r="F28" s="50">
        <f t="shared" si="0"/>
        <v>1887.9239370275893</v>
      </c>
      <c r="G28" s="51">
        <v>6.2930797900919641E-2</v>
      </c>
      <c r="H28" s="47" t="s">
        <v>89</v>
      </c>
      <c r="J28" s="64">
        <v>1888</v>
      </c>
      <c r="K28" s="47" t="s">
        <v>102</v>
      </c>
      <c r="L28" s="72">
        <f>J50*0.2+J28</f>
        <v>2267.2492880552181</v>
      </c>
      <c r="M28" s="51">
        <f t="shared" si="1"/>
        <v>7.5574976268507302E-2</v>
      </c>
    </row>
    <row r="29" spans="4:16" x14ac:dyDescent="0.15">
      <c r="D29" s="135"/>
      <c r="E29" s="53" t="s">
        <v>23</v>
      </c>
      <c r="F29" s="50">
        <f t="shared" si="0"/>
        <v>279.93929516384372</v>
      </c>
      <c r="G29" s="51">
        <v>9.3313098387947917E-3</v>
      </c>
      <c r="H29" s="47" t="s">
        <v>89</v>
      </c>
      <c r="I29" s="49"/>
      <c r="J29" s="70">
        <f t="shared" ref="J29:J34" si="2">F29</f>
        <v>279.93929516384372</v>
      </c>
      <c r="K29" s="70"/>
      <c r="L29" s="50">
        <v>279.93929516384372</v>
      </c>
      <c r="M29" s="51">
        <f t="shared" si="1"/>
        <v>9.3313098387947935E-3</v>
      </c>
      <c r="P29" s="39">
        <f>SUM(P20:P27)</f>
        <v>1896.2464402760907</v>
      </c>
    </row>
    <row r="30" spans="4:16" x14ac:dyDescent="0.15">
      <c r="D30" s="135"/>
      <c r="E30" s="53" t="s">
        <v>24</v>
      </c>
      <c r="F30" s="50">
        <f t="shared" si="0"/>
        <v>1035.6087615733863</v>
      </c>
      <c r="G30" s="51">
        <v>3.4520292052446208E-2</v>
      </c>
      <c r="H30" s="47" t="s">
        <v>89</v>
      </c>
      <c r="I30" s="49"/>
      <c r="J30" s="64">
        <f t="shared" si="2"/>
        <v>1035.6087615733863</v>
      </c>
      <c r="K30" s="64"/>
      <c r="L30" s="50">
        <v>1035.6087615733863</v>
      </c>
      <c r="M30" s="51">
        <f t="shared" si="1"/>
        <v>3.4520292052446222E-2</v>
      </c>
    </row>
    <row r="31" spans="4:16" x14ac:dyDescent="0.15">
      <c r="D31" s="135"/>
      <c r="E31" s="53" t="s">
        <v>25</v>
      </c>
      <c r="F31" s="50">
        <f t="shared" si="0"/>
        <v>682.65196692097334</v>
      </c>
      <c r="G31" s="51">
        <v>2.2755065564032444E-2</v>
      </c>
      <c r="H31" s="47" t="s">
        <v>89</v>
      </c>
      <c r="I31" s="49"/>
      <c r="J31" s="64">
        <f t="shared" si="2"/>
        <v>682.65196692097334</v>
      </c>
      <c r="K31" s="64"/>
      <c r="L31" s="50">
        <v>682.65196692097334</v>
      </c>
      <c r="M31" s="51">
        <f t="shared" si="1"/>
        <v>2.2755065564032454E-2</v>
      </c>
    </row>
    <row r="32" spans="4:16" x14ac:dyDescent="0.15">
      <c r="D32" s="135"/>
      <c r="E32" s="53" t="s">
        <v>26</v>
      </c>
      <c r="F32" s="50">
        <f t="shared" si="0"/>
        <v>277.02326083922037</v>
      </c>
      <c r="G32" s="51">
        <v>9.2341086946406796E-3</v>
      </c>
      <c r="H32" s="47" t="s">
        <v>89</v>
      </c>
      <c r="I32" s="49"/>
      <c r="J32" s="64">
        <f t="shared" si="2"/>
        <v>277.02326083922037</v>
      </c>
      <c r="K32" s="64"/>
      <c r="L32" s="50">
        <v>277.02326083922037</v>
      </c>
      <c r="M32" s="51">
        <f t="shared" si="1"/>
        <v>9.2341086946406831E-3</v>
      </c>
    </row>
    <row r="33" spans="4:21" x14ac:dyDescent="0.15">
      <c r="D33" s="136" t="s">
        <v>71</v>
      </c>
      <c r="E33" s="53" t="s">
        <v>27</v>
      </c>
      <c r="F33" s="50">
        <f t="shared" si="0"/>
        <v>412.4105687681627</v>
      </c>
      <c r="G33" s="51">
        <v>1.3747018958938756E-2</v>
      </c>
      <c r="H33" s="47" t="s">
        <v>89</v>
      </c>
      <c r="I33" s="49"/>
      <c r="J33" s="64">
        <f t="shared" si="2"/>
        <v>412.4105687681627</v>
      </c>
      <c r="K33" s="64"/>
      <c r="L33" s="50">
        <v>412.4105687681627</v>
      </c>
      <c r="M33" s="51">
        <f>L33/$L$50</f>
        <v>1.3747018958938761E-2</v>
      </c>
    </row>
    <row r="34" spans="4:21" x14ac:dyDescent="0.15">
      <c r="D34" s="135"/>
      <c r="E34" s="53" t="s">
        <v>28</v>
      </c>
      <c r="F34" s="50">
        <f t="shared" si="0"/>
        <v>720.67705451406209</v>
      </c>
      <c r="G34" s="51">
        <v>2.4022568483802069E-2</v>
      </c>
      <c r="H34" s="47" t="s">
        <v>89</v>
      </c>
      <c r="I34" s="49"/>
      <c r="J34" s="64">
        <f t="shared" si="2"/>
        <v>720.67705451406209</v>
      </c>
      <c r="K34" s="64"/>
      <c r="L34" s="50">
        <v>720.67705451406209</v>
      </c>
      <c r="M34" s="51">
        <f t="shared" si="1"/>
        <v>2.4022568483802079E-2</v>
      </c>
    </row>
    <row r="35" spans="4:21" x14ac:dyDescent="0.15">
      <c r="D35" s="135"/>
      <c r="E35" s="53" t="s">
        <v>72</v>
      </c>
      <c r="F35" s="50">
        <f t="shared" si="0"/>
        <v>703.18084856632174</v>
      </c>
      <c r="G35" s="51">
        <v>2.3439361618877393E-2</v>
      </c>
      <c r="H35" s="47" t="s">
        <v>89</v>
      </c>
      <c r="I35" s="49"/>
      <c r="J35" s="64">
        <f>703</f>
        <v>703</v>
      </c>
      <c r="K35" s="69" t="s">
        <v>106</v>
      </c>
      <c r="L35" s="72">
        <f>J50*0.1+J35</f>
        <v>892.62464402760907</v>
      </c>
      <c r="M35" s="51">
        <f>L35/$L$50</f>
        <v>2.9754154800920314E-2</v>
      </c>
    </row>
    <row r="36" spans="4:21" x14ac:dyDescent="0.15">
      <c r="D36" s="135"/>
      <c r="E36" s="53" t="s">
        <v>30</v>
      </c>
      <c r="F36" s="50">
        <f t="shared" si="0"/>
        <v>266.75048848990428</v>
      </c>
      <c r="G36" s="51">
        <v>8.891682949663476E-3</v>
      </c>
      <c r="H36" s="47" t="s">
        <v>89</v>
      </c>
      <c r="I36" s="47" t="s">
        <v>97</v>
      </c>
      <c r="J36" s="67">
        <f>F36/2</f>
        <v>133.37524424495214</v>
      </c>
      <c r="K36" s="73"/>
      <c r="L36" s="50">
        <v>133.37524424495214</v>
      </c>
      <c r="M36" s="51">
        <f>L36/$L$50</f>
        <v>4.4458414748317398E-3</v>
      </c>
      <c r="N36" s="39"/>
      <c r="O36" s="35">
        <f>133</f>
        <v>133</v>
      </c>
    </row>
    <row r="37" spans="4:21" x14ac:dyDescent="0.15">
      <c r="D37" s="135"/>
      <c r="E37" s="53" t="s">
        <v>31</v>
      </c>
      <c r="F37" s="50">
        <f t="shared" si="0"/>
        <v>1137.2533866031154</v>
      </c>
      <c r="G37" s="51">
        <v>3.7908446220103843E-2</v>
      </c>
      <c r="H37" s="47" t="s">
        <v>89</v>
      </c>
      <c r="I37" s="49"/>
      <c r="J37" s="64">
        <v>1137</v>
      </c>
      <c r="K37" s="74"/>
      <c r="L37" s="50">
        <v>1137</v>
      </c>
      <c r="M37" s="51">
        <f t="shared" si="1"/>
        <v>3.7900000000000017E-2</v>
      </c>
    </row>
    <row r="38" spans="4:21" x14ac:dyDescent="0.15">
      <c r="D38" s="136" t="s">
        <v>73</v>
      </c>
      <c r="E38" s="53" t="s">
        <v>32</v>
      </c>
      <c r="F38" s="50">
        <f t="shared" si="0"/>
        <v>553.34667344053116</v>
      </c>
      <c r="G38" s="51">
        <v>1.8444889114684372E-2</v>
      </c>
      <c r="H38" s="47" t="s">
        <v>89</v>
      </c>
      <c r="I38" s="49"/>
      <c r="J38" s="64">
        <f>F38</f>
        <v>553.34667344053116</v>
      </c>
      <c r="K38" s="73"/>
      <c r="L38" s="50">
        <v>553.34667344053116</v>
      </c>
      <c r="M38" s="51">
        <f t="shared" si="1"/>
        <v>1.8444889114684379E-2</v>
      </c>
    </row>
    <row r="39" spans="4:21" x14ac:dyDescent="0.15">
      <c r="D39" s="135"/>
      <c r="E39" s="53" t="s">
        <v>33</v>
      </c>
      <c r="F39" s="50">
        <f t="shared" si="0"/>
        <v>350.74060856569918</v>
      </c>
      <c r="G39" s="51">
        <v>1.1691353618856639E-2</v>
      </c>
      <c r="H39" s="47" t="s">
        <v>89</v>
      </c>
      <c r="I39" s="49"/>
      <c r="J39" s="64">
        <f>F39</f>
        <v>350.74060856569918</v>
      </c>
      <c r="K39" s="73"/>
      <c r="L39" s="50">
        <v>350.74060856569918</v>
      </c>
      <c r="M39" s="51">
        <f t="shared" si="1"/>
        <v>1.1691353618856643E-2</v>
      </c>
    </row>
    <row r="40" spans="4:21" x14ac:dyDescent="0.15">
      <c r="D40" s="135"/>
      <c r="E40" s="53" t="s">
        <v>34</v>
      </c>
      <c r="F40" s="50">
        <f t="shared" si="0"/>
        <v>185.20983724679309</v>
      </c>
      <c r="G40" s="51">
        <v>6.1736612415597691E-3</v>
      </c>
      <c r="H40" s="47" t="s">
        <v>89</v>
      </c>
      <c r="I40" s="47" t="s">
        <v>96</v>
      </c>
      <c r="J40" s="67">
        <v>0</v>
      </c>
      <c r="K40" s="73"/>
      <c r="L40" s="50">
        <v>0</v>
      </c>
      <c r="M40" s="51">
        <f t="shared" si="1"/>
        <v>0</v>
      </c>
      <c r="N40" s="39"/>
      <c r="O40" s="35">
        <f>185</f>
        <v>185</v>
      </c>
      <c r="R40" s="39">
        <f>+SUM(L16:L41)</f>
        <v>27900.373862044671</v>
      </c>
      <c r="U40" s="35">
        <v>26600</v>
      </c>
    </row>
    <row r="41" spans="4:21" x14ac:dyDescent="0.15">
      <c r="D41" s="135"/>
      <c r="E41" s="53" t="s">
        <v>35</v>
      </c>
      <c r="F41" s="50">
        <f t="shared" si="0"/>
        <v>1999.0665024289488</v>
      </c>
      <c r="G41" s="51">
        <v>6.6635550080964959E-2</v>
      </c>
      <c r="H41" s="47" t="s">
        <v>89</v>
      </c>
      <c r="I41" s="49"/>
      <c r="J41" s="64">
        <f>F41</f>
        <v>1999.0665024289488</v>
      </c>
      <c r="K41" s="73"/>
      <c r="L41" s="50">
        <v>1999.0665024289488</v>
      </c>
      <c r="M41" s="51">
        <f t="shared" si="1"/>
        <v>6.6635550080964986E-2</v>
      </c>
    </row>
    <row r="42" spans="4:21" x14ac:dyDescent="0.15">
      <c r="D42" s="134" t="s">
        <v>74</v>
      </c>
      <c r="E42" s="53" t="s">
        <v>36</v>
      </c>
      <c r="F42" s="50">
        <f>$F$50*G42</f>
        <v>470.38133114167522</v>
      </c>
      <c r="G42" s="51">
        <v>1.5679377704722507E-2</v>
      </c>
      <c r="H42" s="47" t="s">
        <v>88</v>
      </c>
      <c r="I42" s="47" t="s">
        <v>95</v>
      </c>
      <c r="J42" s="67">
        <f>F42/2</f>
        <v>235.19066557083761</v>
      </c>
      <c r="K42" s="73"/>
      <c r="L42" s="50">
        <v>235.19066557083761</v>
      </c>
      <c r="M42" s="51">
        <f t="shared" si="1"/>
        <v>7.8396888523612571E-3</v>
      </c>
      <c r="N42" s="39"/>
      <c r="O42" s="35">
        <f>235</f>
        <v>235</v>
      </c>
    </row>
    <row r="43" spans="4:21" x14ac:dyDescent="0.15">
      <c r="D43" s="135"/>
      <c r="E43" s="53" t="s">
        <v>37</v>
      </c>
      <c r="F43" s="50">
        <f t="shared" si="0"/>
        <v>582.29039699407849</v>
      </c>
      <c r="G43" s="51">
        <v>1.9409679899802617E-2</v>
      </c>
      <c r="H43" s="47" t="s">
        <v>88</v>
      </c>
      <c r="I43" s="49"/>
      <c r="J43" s="64">
        <f>F43</f>
        <v>582.29039699407849</v>
      </c>
      <c r="K43" s="73"/>
      <c r="L43" s="50">
        <v>582.29039699407849</v>
      </c>
      <c r="M43" s="51">
        <f t="shared" si="1"/>
        <v>1.9409679899802624E-2</v>
      </c>
    </row>
    <row r="44" spans="4:21" x14ac:dyDescent="0.15">
      <c r="D44" s="135"/>
      <c r="E44" s="53" t="s">
        <v>38</v>
      </c>
      <c r="F44" s="50">
        <f t="shared" si="0"/>
        <v>145.16852020639328</v>
      </c>
      <c r="G44" s="51">
        <v>4.8389506735464424E-3</v>
      </c>
      <c r="H44" s="47" t="s">
        <v>88</v>
      </c>
      <c r="I44" s="49"/>
      <c r="J44" s="64">
        <f>F44</f>
        <v>145.16852020639328</v>
      </c>
      <c r="K44" s="73"/>
      <c r="L44" s="50">
        <v>145.16852020639328</v>
      </c>
      <c r="M44" s="51">
        <f t="shared" si="1"/>
        <v>4.8389506735464442E-3</v>
      </c>
      <c r="R44" s="39">
        <f>SUM(L42:L49)</f>
        <v>2099.6261379553175</v>
      </c>
      <c r="U44" s="35">
        <f>30000-U40</f>
        <v>3400</v>
      </c>
    </row>
    <row r="45" spans="4:21" x14ac:dyDescent="0.15">
      <c r="D45" s="135"/>
      <c r="E45" s="53" t="s">
        <v>39</v>
      </c>
      <c r="F45" s="50">
        <f t="shared" si="0"/>
        <v>549.14758401307358</v>
      </c>
      <c r="G45" s="51">
        <v>1.8304919467102453E-2</v>
      </c>
      <c r="H45" s="47" t="s">
        <v>88</v>
      </c>
      <c r="I45" s="49"/>
      <c r="J45" s="67">
        <f>0</f>
        <v>0</v>
      </c>
      <c r="K45" s="73"/>
      <c r="L45" s="50">
        <v>0</v>
      </c>
      <c r="M45" s="51">
        <f t="shared" si="1"/>
        <v>0</v>
      </c>
      <c r="N45" s="39"/>
      <c r="O45" s="35">
        <f>549</f>
        <v>549</v>
      </c>
    </row>
    <row r="46" spans="4:21" x14ac:dyDescent="0.15">
      <c r="D46" s="135"/>
      <c r="E46" s="53" t="s">
        <v>40</v>
      </c>
      <c r="F46" s="50">
        <f t="shared" si="0"/>
        <v>682.65196692097334</v>
      </c>
      <c r="G46" s="51">
        <v>2.2755065564032444E-2</v>
      </c>
      <c r="H46" s="47" t="s">
        <v>88</v>
      </c>
      <c r="I46" s="47" t="s">
        <v>94</v>
      </c>
      <c r="J46" s="64">
        <v>683</v>
      </c>
      <c r="K46" s="74"/>
      <c r="L46" s="50">
        <v>683</v>
      </c>
      <c r="M46" s="51">
        <f t="shared" si="1"/>
        <v>2.2766666666666675E-2</v>
      </c>
    </row>
    <row r="47" spans="4:21" x14ac:dyDescent="0.15">
      <c r="D47" s="135"/>
      <c r="E47" s="53" t="s">
        <v>75</v>
      </c>
      <c r="F47" s="50">
        <f t="shared" si="0"/>
        <v>185.1365198123454</v>
      </c>
      <c r="G47" s="51">
        <v>6.1712173270781802E-3</v>
      </c>
      <c r="H47" s="47" t="s">
        <v>88</v>
      </c>
      <c r="I47" s="49"/>
      <c r="J47" s="67">
        <v>0</v>
      </c>
      <c r="K47" s="73"/>
      <c r="L47" s="50">
        <v>0</v>
      </c>
      <c r="M47" s="51">
        <f t="shared" si="1"/>
        <v>0</v>
      </c>
      <c r="N47" s="39"/>
      <c r="O47" s="35">
        <f>185</f>
        <v>185</v>
      </c>
    </row>
    <row r="48" spans="4:21" x14ac:dyDescent="0.15">
      <c r="D48" s="135"/>
      <c r="E48" s="53" t="s">
        <v>42</v>
      </c>
      <c r="F48" s="50">
        <f t="shared" si="0"/>
        <v>122.47344163418164</v>
      </c>
      <c r="G48" s="51">
        <v>4.0824480544727213E-3</v>
      </c>
      <c r="H48" s="47" t="s">
        <v>88</v>
      </c>
      <c r="I48" s="49"/>
      <c r="J48" s="64">
        <f>F48</f>
        <v>122.47344163418164</v>
      </c>
      <c r="K48" s="73"/>
      <c r="L48" s="50">
        <v>122.47344163418164</v>
      </c>
      <c r="M48" s="51">
        <f>L48/$L$50</f>
        <v>4.082448054472723E-3</v>
      </c>
    </row>
    <row r="49" spans="4:26" x14ac:dyDescent="0.15">
      <c r="D49" s="135"/>
      <c r="E49" s="53" t="s">
        <v>43</v>
      </c>
      <c r="F49" s="50">
        <f t="shared" si="0"/>
        <v>663.00622709965342</v>
      </c>
      <c r="G49" s="51">
        <v>2.2100207569988449E-2</v>
      </c>
      <c r="H49" s="47" t="s">
        <v>88</v>
      </c>
      <c r="I49" s="47" t="s">
        <v>105</v>
      </c>
      <c r="J49" s="67">
        <f>F49/2</f>
        <v>331.50311354982671</v>
      </c>
      <c r="K49" s="73"/>
      <c r="L49" s="50">
        <v>331.50311354982671</v>
      </c>
      <c r="M49" s="51">
        <f t="shared" si="1"/>
        <v>1.1050103784994228E-2</v>
      </c>
      <c r="N49" s="39"/>
      <c r="O49" s="35">
        <f>332</f>
        <v>332</v>
      </c>
    </row>
    <row r="50" spans="4:26" x14ac:dyDescent="0.15">
      <c r="D50" s="49"/>
      <c r="E50" s="53" t="s">
        <v>81</v>
      </c>
      <c r="F50" s="49">
        <v>30000</v>
      </c>
      <c r="G50" s="51">
        <v>0.99999999999999978</v>
      </c>
      <c r="H50" s="49"/>
      <c r="I50" s="47" t="s">
        <v>99</v>
      </c>
      <c r="J50" s="64">
        <v>1896.24644027609</v>
      </c>
      <c r="K50" s="64"/>
      <c r="L50" s="50">
        <f>SUM(L16:L49)</f>
        <v>29999.999999999989</v>
      </c>
      <c r="M50" s="75">
        <f>SUM(M16:M49)</f>
        <v>1.0000000000000007</v>
      </c>
    </row>
    <row r="52" spans="4:26" x14ac:dyDescent="0.15">
      <c r="O52" s="39">
        <f>SUM(O20:O49)</f>
        <v>1895.6733367202655</v>
      </c>
    </row>
    <row r="53" spans="4:26" x14ac:dyDescent="0.15">
      <c r="O53" s="39"/>
    </row>
    <row r="54" spans="4:26" ht="16" x14ac:dyDescent="0.2">
      <c r="D54" s="63" t="s">
        <v>110</v>
      </c>
      <c r="G54" s="63" t="s">
        <v>108</v>
      </c>
    </row>
    <row r="55" spans="4:26" ht="14" x14ac:dyDescent="0.15">
      <c r="D55" s="80" t="s">
        <v>111</v>
      </c>
      <c r="E55" s="69">
        <f>SUM(F16:F41)</f>
        <v>26599.74401217762</v>
      </c>
      <c r="G55" s="125" t="s">
        <v>140</v>
      </c>
      <c r="H55" s="126"/>
      <c r="I55" s="126"/>
      <c r="J55" s="126"/>
      <c r="K55" s="126"/>
      <c r="L55" s="126"/>
      <c r="M55" s="127"/>
      <c r="U55" s="38"/>
    </row>
    <row r="56" spans="4:26" x14ac:dyDescent="0.15">
      <c r="D56" s="53" t="s">
        <v>115</v>
      </c>
      <c r="E56" s="68">
        <v>2.1925016443762302</v>
      </c>
      <c r="G56" s="128"/>
      <c r="H56" s="129"/>
      <c r="I56" s="129"/>
      <c r="J56" s="129"/>
      <c r="K56" s="129"/>
      <c r="L56" s="129"/>
      <c r="M56" s="130"/>
      <c r="Z56" s="39"/>
    </row>
    <row r="57" spans="4:26" x14ac:dyDescent="0.15">
      <c r="D57" s="47" t="s">
        <v>132</v>
      </c>
      <c r="E57" s="50">
        <f>E55*E56</f>
        <v>58319.982486686211</v>
      </c>
      <c r="G57" s="128"/>
      <c r="H57" s="129"/>
      <c r="I57" s="129"/>
      <c r="J57" s="129"/>
      <c r="K57" s="129"/>
      <c r="L57" s="129"/>
      <c r="M57" s="130"/>
      <c r="Z57" s="39"/>
    </row>
    <row r="58" spans="4:26" x14ac:dyDescent="0.15">
      <c r="D58" s="47" t="s">
        <v>46</v>
      </c>
      <c r="E58" s="71">
        <v>13.74</v>
      </c>
      <c r="G58" s="128"/>
      <c r="H58" s="129"/>
      <c r="I58" s="129"/>
      <c r="J58" s="129"/>
      <c r="K58" s="129"/>
      <c r="L58" s="129"/>
      <c r="M58" s="130"/>
      <c r="Z58" s="39"/>
    </row>
    <row r="59" spans="4:26" x14ac:dyDescent="0.15">
      <c r="D59" s="47" t="s">
        <v>113</v>
      </c>
      <c r="E59" s="71">
        <f>E57*E58</f>
        <v>801316.55936706858</v>
      </c>
      <c r="G59" s="131"/>
      <c r="H59" s="132"/>
      <c r="I59" s="132"/>
      <c r="J59" s="132"/>
      <c r="K59" s="132"/>
      <c r="L59" s="132"/>
      <c r="M59" s="133"/>
      <c r="Z59" s="39"/>
    </row>
    <row r="60" spans="4:26" x14ac:dyDescent="0.15">
      <c r="D60" s="47" t="s">
        <v>116</v>
      </c>
      <c r="E60" s="81">
        <f>E59*52</f>
        <v>41668461.087087564</v>
      </c>
      <c r="Z60" s="39"/>
    </row>
    <row r="61" spans="4:26" x14ac:dyDescent="0.15">
      <c r="G61" s="28" t="s">
        <v>48</v>
      </c>
      <c r="H61" s="29" t="s">
        <v>90</v>
      </c>
      <c r="J61" s="49" t="s">
        <v>57</v>
      </c>
      <c r="K61" s="47" t="s">
        <v>117</v>
      </c>
      <c r="L61" s="47" t="s">
        <v>114</v>
      </c>
      <c r="Z61" s="39"/>
    </row>
    <row r="62" spans="4:26" x14ac:dyDescent="0.15">
      <c r="G62" s="29" t="s">
        <v>49</v>
      </c>
      <c r="H62" s="30">
        <v>13000</v>
      </c>
      <c r="J62" s="49" t="s">
        <v>49</v>
      </c>
      <c r="K62" s="71">
        <v>520833.33333333302</v>
      </c>
      <c r="L62" s="71">
        <v>27083333.333333328</v>
      </c>
      <c r="Z62" s="39"/>
    </row>
    <row r="63" spans="4:26" x14ac:dyDescent="0.15">
      <c r="G63" s="29" t="s">
        <v>50</v>
      </c>
      <c r="H63" s="30">
        <f>H62*2</f>
        <v>26000</v>
      </c>
      <c r="J63" s="49" t="s">
        <v>58</v>
      </c>
      <c r="K63" s="71">
        <v>1041666.6666666665</v>
      </c>
      <c r="L63" s="71">
        <v>54166666.666666657</v>
      </c>
      <c r="Z63" s="39"/>
    </row>
    <row r="64" spans="4:26" x14ac:dyDescent="0.15">
      <c r="G64" s="29" t="s">
        <v>51</v>
      </c>
      <c r="H64" s="30">
        <f>H63*2</f>
        <v>52000</v>
      </c>
      <c r="J64" s="49" t="s">
        <v>59</v>
      </c>
      <c r="K64" s="71">
        <v>2083333.333333333</v>
      </c>
      <c r="L64" s="71">
        <v>108333333.33333331</v>
      </c>
      <c r="Z64" s="39"/>
    </row>
    <row r="65" spans="4:12" x14ac:dyDescent="0.15">
      <c r="E65" s="111"/>
      <c r="G65" s="29" t="s">
        <v>52</v>
      </c>
      <c r="H65" s="30">
        <f>H64*1.4</f>
        <v>72800</v>
      </c>
      <c r="J65" s="49" t="s">
        <v>60</v>
      </c>
      <c r="K65" s="71">
        <v>2916666.666666666</v>
      </c>
      <c r="L65" s="71">
        <v>151666666.66666663</v>
      </c>
    </row>
    <row r="66" spans="4:12" x14ac:dyDescent="0.15">
      <c r="G66" s="29" t="s">
        <v>53</v>
      </c>
      <c r="H66" s="30">
        <f>H65*1.3</f>
        <v>94640</v>
      </c>
      <c r="J66" s="49" t="s">
        <v>61</v>
      </c>
      <c r="K66" s="71">
        <v>3791666.6666666665</v>
      </c>
      <c r="L66" s="71">
        <v>197166666.66666666</v>
      </c>
    </row>
    <row r="67" spans="4:12" x14ac:dyDescent="0.15">
      <c r="G67" s="29" t="s">
        <v>54</v>
      </c>
      <c r="H67" s="30">
        <f>H66*1.3</f>
        <v>123032</v>
      </c>
      <c r="J67" s="49" t="s">
        <v>62</v>
      </c>
      <c r="K67" s="71">
        <v>4929166.666666666</v>
      </c>
      <c r="L67" s="71">
        <v>256316666.66666663</v>
      </c>
    </row>
    <row r="68" spans="4:12" x14ac:dyDescent="0.15">
      <c r="G68" s="29" t="s">
        <v>55</v>
      </c>
      <c r="H68" s="31">
        <f>H67*1.3</f>
        <v>159941.6</v>
      </c>
      <c r="J68" s="49" t="s">
        <v>63</v>
      </c>
      <c r="K68" s="71">
        <v>6407916.666666666</v>
      </c>
      <c r="L68" s="71">
        <v>333211666.66666663</v>
      </c>
    </row>
    <row r="69" spans="4:12" x14ac:dyDescent="0.15">
      <c r="G69" s="29" t="s">
        <v>56</v>
      </c>
      <c r="H69" s="31">
        <f t="shared" ref="H69" si="3">H68*1.3</f>
        <v>207924.08000000002</v>
      </c>
      <c r="J69" s="49" t="s">
        <v>64</v>
      </c>
      <c r="K69" s="71">
        <v>8330291.666666666</v>
      </c>
      <c r="L69" s="71">
        <v>433175166.66666663</v>
      </c>
    </row>
    <row r="70" spans="4:12" ht="16" x14ac:dyDescent="0.2">
      <c r="D70" s="79" t="s">
        <v>148</v>
      </c>
      <c r="E70" s="39"/>
    </row>
    <row r="71" spans="4:12" ht="14" x14ac:dyDescent="0.15">
      <c r="D71" s="80" t="s">
        <v>111</v>
      </c>
      <c r="E71" s="69">
        <v>27900</v>
      </c>
    </row>
    <row r="72" spans="4:12" x14ac:dyDescent="0.15">
      <c r="D72" s="53" t="s">
        <v>115</v>
      </c>
      <c r="E72" s="68">
        <v>2.1925016443762302</v>
      </c>
    </row>
    <row r="73" spans="4:12" ht="16" x14ac:dyDescent="0.2">
      <c r="D73" s="103" t="s">
        <v>132</v>
      </c>
      <c r="E73" s="104">
        <f>E71*E72</f>
        <v>61170.795878096826</v>
      </c>
      <c r="G73" s="90" t="s">
        <v>119</v>
      </c>
      <c r="H73" s="26"/>
    </row>
    <row r="74" spans="4:12" x14ac:dyDescent="0.15">
      <c r="D74" s="47" t="s">
        <v>46</v>
      </c>
      <c r="E74" s="71">
        <v>13.74</v>
      </c>
      <c r="G74" s="48" t="s">
        <v>121</v>
      </c>
      <c r="H74" s="81">
        <f>E76</f>
        <v>43705310.238982618</v>
      </c>
      <c r="I74" s="38"/>
    </row>
    <row r="75" spans="4:12" x14ac:dyDescent="0.15">
      <c r="D75" s="47" t="s">
        <v>113</v>
      </c>
      <c r="E75" s="71">
        <f>E73*E74</f>
        <v>840486.73536505038</v>
      </c>
      <c r="G75" s="25"/>
      <c r="H75" s="54"/>
      <c r="I75" s="76"/>
    </row>
    <row r="76" spans="4:12" x14ac:dyDescent="0.15">
      <c r="D76" s="47" t="s">
        <v>116</v>
      </c>
      <c r="E76" s="81">
        <f>E75*52</f>
        <v>43705310.238982618</v>
      </c>
      <c r="G76" s="38" t="s">
        <v>120</v>
      </c>
      <c r="H76" s="91"/>
      <c r="I76" s="76"/>
    </row>
    <row r="77" spans="4:12" x14ac:dyDescent="0.15">
      <c r="G77" s="49" t="s">
        <v>59</v>
      </c>
      <c r="H77" s="71">
        <v>108333333.333333</v>
      </c>
      <c r="I77" s="95">
        <f>H74-H77</f>
        <v>-64628023.094350383</v>
      </c>
    </row>
    <row r="78" spans="4:12" x14ac:dyDescent="0.15">
      <c r="G78" s="49" t="s">
        <v>60</v>
      </c>
      <c r="H78" s="71">
        <v>151666666.66666663</v>
      </c>
      <c r="I78" s="95">
        <f>H74-H78</f>
        <v>-107961356.42768401</v>
      </c>
    </row>
    <row r="79" spans="4:12" x14ac:dyDescent="0.15">
      <c r="G79" s="49" t="s">
        <v>61</v>
      </c>
      <c r="H79" s="71">
        <v>197166666.66666666</v>
      </c>
      <c r="I79" s="95">
        <f>H74-H79</f>
        <v>-153461356.42768404</v>
      </c>
    </row>
    <row r="80" spans="4:12" x14ac:dyDescent="0.15">
      <c r="G80" s="49" t="s">
        <v>62</v>
      </c>
      <c r="H80" s="71">
        <v>256316666.66666663</v>
      </c>
      <c r="I80" s="95">
        <f>H74-H80</f>
        <v>-212611356.42768401</v>
      </c>
    </row>
    <row r="81" spans="4:9" x14ac:dyDescent="0.15">
      <c r="G81" s="49" t="s">
        <v>63</v>
      </c>
      <c r="H81" s="71">
        <v>333211666.66666663</v>
      </c>
      <c r="I81" s="95">
        <f>H74-H81</f>
        <v>-289506356.42768401</v>
      </c>
    </row>
    <row r="82" spans="4:9" x14ac:dyDescent="0.15">
      <c r="G82" s="49" t="s">
        <v>64</v>
      </c>
      <c r="H82" s="71">
        <v>433175166.66666698</v>
      </c>
      <c r="I82" s="95">
        <f>H74-H82</f>
        <v>-389469856.42768437</v>
      </c>
    </row>
    <row r="83" spans="4:9" ht="16" x14ac:dyDescent="0.2">
      <c r="D83" s="63" t="s">
        <v>153</v>
      </c>
      <c r="G83" s="92"/>
      <c r="H83" s="27"/>
      <c r="I83" s="94"/>
    </row>
    <row r="84" spans="4:9" ht="14" x14ac:dyDescent="0.15">
      <c r="D84" s="80" t="s">
        <v>111</v>
      </c>
      <c r="E84" s="115">
        <v>31927</v>
      </c>
      <c r="G84" s="25"/>
      <c r="H84" s="27"/>
      <c r="I84" s="94"/>
    </row>
    <row r="85" spans="4:9" x14ac:dyDescent="0.15">
      <c r="D85" s="53" t="s">
        <v>115</v>
      </c>
      <c r="E85" s="49">
        <v>2.19</v>
      </c>
      <c r="G85" s="25"/>
      <c r="H85" s="105" t="s">
        <v>122</v>
      </c>
      <c r="I85" s="106">
        <f>SUM(I77:I82)</f>
        <v>-1217638305.2327709</v>
      </c>
    </row>
    <row r="86" spans="4:9" x14ac:dyDescent="0.15">
      <c r="D86" s="103" t="s">
        <v>132</v>
      </c>
      <c r="E86" s="50">
        <f>E84*E85</f>
        <v>69920.13</v>
      </c>
      <c r="G86" s="92"/>
      <c r="H86" s="93"/>
    </row>
    <row r="87" spans="4:9" x14ac:dyDescent="0.15">
      <c r="D87" s="47" t="s">
        <v>46</v>
      </c>
      <c r="E87" s="81">
        <f>E74</f>
        <v>13.74</v>
      </c>
      <c r="G87" s="36"/>
      <c r="H87" s="39"/>
    </row>
    <row r="88" spans="4:9" ht="16" x14ac:dyDescent="0.2">
      <c r="D88" s="47" t="s">
        <v>113</v>
      </c>
      <c r="E88" s="81">
        <f>E86*E87</f>
        <v>960702.58620000014</v>
      </c>
      <c r="G88" s="63" t="s">
        <v>146</v>
      </c>
      <c r="H88" s="63"/>
    </row>
    <row r="89" spans="4:9" x14ac:dyDescent="0.15">
      <c r="D89" s="47" t="s">
        <v>154</v>
      </c>
      <c r="E89" s="81">
        <f>E88*52</f>
        <v>49956534.482400008</v>
      </c>
      <c r="H89" s="39"/>
    </row>
    <row r="90" spans="4:9" x14ac:dyDescent="0.15">
      <c r="G90" s="28" t="s">
        <v>48</v>
      </c>
      <c r="H90" s="29" t="s">
        <v>90</v>
      </c>
    </row>
    <row r="91" spans="4:9" x14ac:dyDescent="0.15">
      <c r="G91" s="29" t="s">
        <v>49</v>
      </c>
      <c r="H91" s="30">
        <v>13000</v>
      </c>
    </row>
    <row r="92" spans="4:9" x14ac:dyDescent="0.15">
      <c r="G92" s="29" t="s">
        <v>50</v>
      </c>
      <c r="H92" s="30">
        <f>H91*2</f>
        <v>26000</v>
      </c>
    </row>
    <row r="93" spans="4:9" x14ac:dyDescent="0.15">
      <c r="G93" s="29" t="s">
        <v>51</v>
      </c>
      <c r="H93" s="30">
        <f>H92*2</f>
        <v>52000</v>
      </c>
    </row>
    <row r="94" spans="4:9" x14ac:dyDescent="0.15">
      <c r="G94" s="29" t="s">
        <v>52</v>
      </c>
      <c r="H94" s="30">
        <f>H93*1.4</f>
        <v>72800</v>
      </c>
    </row>
    <row r="95" spans="4:9" x14ac:dyDescent="0.15">
      <c r="G95" s="29" t="s">
        <v>53</v>
      </c>
      <c r="H95" s="30">
        <f>H94*1.3</f>
        <v>94640</v>
      </c>
    </row>
    <row r="96" spans="4:9" x14ac:dyDescent="0.15">
      <c r="G96" s="29" t="s">
        <v>54</v>
      </c>
      <c r="H96" s="30">
        <f>H95*1.3</f>
        <v>123032</v>
      </c>
    </row>
    <row r="97" spans="7:14" x14ac:dyDescent="0.15">
      <c r="G97" s="29" t="s">
        <v>55</v>
      </c>
      <c r="H97" s="31">
        <f>H96*1.3</f>
        <v>159941.6</v>
      </c>
    </row>
    <row r="98" spans="7:14" x14ac:dyDescent="0.15">
      <c r="G98" s="29" t="s">
        <v>56</v>
      </c>
      <c r="H98" s="31">
        <f>H97*1.3</f>
        <v>207924.08000000002</v>
      </c>
    </row>
    <row r="99" spans="7:14" x14ac:dyDescent="0.15">
      <c r="H99" s="39"/>
    </row>
    <row r="100" spans="7:14" x14ac:dyDescent="0.15">
      <c r="G100" s="53" t="s">
        <v>115</v>
      </c>
      <c r="H100" s="68">
        <v>2.1925016443762302</v>
      </c>
    </row>
    <row r="101" spans="7:14" x14ac:dyDescent="0.15">
      <c r="H101" s="39"/>
    </row>
    <row r="102" spans="7:14" x14ac:dyDescent="0.15">
      <c r="G102" s="47" t="s">
        <v>123</v>
      </c>
      <c r="H102" s="50">
        <f>H91*$H$100</f>
        <v>28502.521376890993</v>
      </c>
      <c r="I102" s="39"/>
    </row>
    <row r="103" spans="7:14" ht="16" x14ac:dyDescent="0.2">
      <c r="G103" s="96" t="s">
        <v>124</v>
      </c>
      <c r="H103" s="50">
        <f>H92*$H$100</f>
        <v>57005.042753781985</v>
      </c>
      <c r="I103" s="63" t="s">
        <v>148</v>
      </c>
      <c r="J103" s="63" t="s">
        <v>147</v>
      </c>
      <c r="N103" s="38" t="s">
        <v>152</v>
      </c>
    </row>
    <row r="104" spans="7:14" x14ac:dyDescent="0.15">
      <c r="G104" s="29" t="s">
        <v>125</v>
      </c>
      <c r="H104" s="50">
        <f>H93*$H$100</f>
        <v>114010.08550756397</v>
      </c>
      <c r="I104" s="50">
        <v>27900</v>
      </c>
      <c r="J104" s="110">
        <f>H104-I104</f>
        <v>86110.08550756397</v>
      </c>
      <c r="N104" s="114">
        <f t="shared" ref="N104:N109" si="4">I104/J104</f>
        <v>0.32400385896201722</v>
      </c>
    </row>
    <row r="105" spans="7:14" x14ac:dyDescent="0.15">
      <c r="G105" s="29" t="s">
        <v>126</v>
      </c>
      <c r="H105" s="50">
        <f>H94*$H$100</f>
        <v>159614.11971058956</v>
      </c>
      <c r="I105" s="50">
        <v>27900</v>
      </c>
      <c r="J105" s="110">
        <f>H105-I105</f>
        <v>131714.11971058956</v>
      </c>
      <c r="N105" s="114">
        <f t="shared" si="4"/>
        <v>0.21182239277993592</v>
      </c>
    </row>
    <row r="106" spans="7:14" x14ac:dyDescent="0.15">
      <c r="G106" s="29" t="s">
        <v>127</v>
      </c>
      <c r="H106" s="50">
        <f t="shared" ref="H106:H108" si="5">H95*$H$100</f>
        <v>207498.35562376643</v>
      </c>
      <c r="I106" s="50">
        <v>27900</v>
      </c>
      <c r="J106" s="110">
        <f t="shared" ref="J106:J109" si="6">H106-I106</f>
        <v>179598.35562376643</v>
      </c>
      <c r="N106" s="114">
        <f t="shared" si="4"/>
        <v>0.15534663389929149</v>
      </c>
    </row>
    <row r="107" spans="7:14" x14ac:dyDescent="0.15">
      <c r="G107" s="29" t="s">
        <v>128</v>
      </c>
      <c r="H107" s="50">
        <f t="shared" si="5"/>
        <v>269747.86231089634</v>
      </c>
      <c r="I107" s="50">
        <v>27900</v>
      </c>
      <c r="J107" s="110">
        <f t="shared" si="6"/>
        <v>241847.86231089634</v>
      </c>
      <c r="N107" s="114">
        <f t="shared" si="4"/>
        <v>0.11536178047393467</v>
      </c>
    </row>
    <row r="108" spans="7:14" x14ac:dyDescent="0.15">
      <c r="G108" s="29" t="s">
        <v>129</v>
      </c>
      <c r="H108" s="50">
        <f t="shared" si="5"/>
        <v>350672.22100416524</v>
      </c>
      <c r="I108" s="50">
        <v>27900</v>
      </c>
      <c r="J108" s="110">
        <f t="shared" si="6"/>
        <v>322772.22100416524</v>
      </c>
      <c r="N108" s="114">
        <f t="shared" si="4"/>
        <v>8.6438665363460634E-2</v>
      </c>
    </row>
    <row r="109" spans="7:14" x14ac:dyDescent="0.15">
      <c r="G109" s="29" t="s">
        <v>130</v>
      </c>
      <c r="H109" s="50">
        <f>H98*$H$100</f>
        <v>455873.88730541489</v>
      </c>
      <c r="I109" s="50">
        <v>27900</v>
      </c>
      <c r="J109" s="110">
        <f t="shared" si="6"/>
        <v>427973.88730541489</v>
      </c>
      <c r="N109" s="114">
        <f t="shared" si="4"/>
        <v>6.519089324739509E-2</v>
      </c>
    </row>
    <row r="110" spans="7:14" x14ac:dyDescent="0.15">
      <c r="G110" s="36"/>
      <c r="H110" s="39"/>
      <c r="I110" s="78"/>
    </row>
    <row r="111" spans="7:14" x14ac:dyDescent="0.15">
      <c r="G111" s="36"/>
      <c r="H111" s="39"/>
    </row>
    <row r="112" spans="7:14" x14ac:dyDescent="0.15">
      <c r="G112" s="36" t="s">
        <v>155</v>
      </c>
      <c r="H112" s="39"/>
    </row>
    <row r="113" spans="7:13" x14ac:dyDescent="0.15">
      <c r="G113" s="36"/>
      <c r="H113" s="39"/>
    </row>
    <row r="114" spans="7:13" x14ac:dyDescent="0.15">
      <c r="G114" s="36"/>
      <c r="H114" s="39"/>
      <c r="M114" s="38" t="s">
        <v>151</v>
      </c>
    </row>
    <row r="115" spans="7:13" ht="16" x14ac:dyDescent="0.2">
      <c r="G115" s="79" t="s">
        <v>150</v>
      </c>
      <c r="H115" s="39"/>
      <c r="M115" s="113">
        <f t="shared" ref="M115:M120" si="7">J104/I104</f>
        <v>3.0863829931026512</v>
      </c>
    </row>
    <row r="116" spans="7:13" x14ac:dyDescent="0.15">
      <c r="G116" s="36"/>
      <c r="H116" s="39"/>
      <c r="M116" s="113">
        <f t="shared" si="7"/>
        <v>4.7209361903437115</v>
      </c>
    </row>
    <row r="117" spans="7:13" x14ac:dyDescent="0.15">
      <c r="G117" s="36"/>
      <c r="H117" s="39"/>
      <c r="M117" s="113">
        <f t="shared" si="7"/>
        <v>6.4372170474468255</v>
      </c>
    </row>
    <row r="118" spans="7:13" x14ac:dyDescent="0.15">
      <c r="G118" s="38"/>
      <c r="H118" s="39"/>
      <c r="M118" s="113">
        <f t="shared" si="7"/>
        <v>8.6683821616808725</v>
      </c>
    </row>
    <row r="119" spans="7:13" x14ac:dyDescent="0.15">
      <c r="G119" s="28" t="s">
        <v>48</v>
      </c>
      <c r="H119" s="29" t="s">
        <v>90</v>
      </c>
      <c r="M119" s="113">
        <f t="shared" si="7"/>
        <v>11.568896810185134</v>
      </c>
    </row>
    <row r="120" spans="7:13" x14ac:dyDescent="0.15">
      <c r="G120" s="29" t="s">
        <v>49</v>
      </c>
      <c r="H120" s="30">
        <v>13000</v>
      </c>
      <c r="M120" s="113">
        <f t="shared" si="7"/>
        <v>15.339565853240677</v>
      </c>
    </row>
    <row r="121" spans="7:13" x14ac:dyDescent="0.15">
      <c r="G121" s="29" t="s">
        <v>50</v>
      </c>
      <c r="H121" s="30">
        <f>H120*2</f>
        <v>26000</v>
      </c>
    </row>
    <row r="122" spans="7:13" x14ac:dyDescent="0.15">
      <c r="G122" s="29" t="s">
        <v>51</v>
      </c>
      <c r="H122" s="30">
        <f>H121*2</f>
        <v>52000</v>
      </c>
    </row>
    <row r="123" spans="7:13" x14ac:dyDescent="0.15">
      <c r="G123" s="29" t="s">
        <v>52</v>
      </c>
      <c r="H123" s="30">
        <f>H122*1.4</f>
        <v>72800</v>
      </c>
    </row>
    <row r="124" spans="7:13" x14ac:dyDescent="0.15">
      <c r="G124" s="29" t="s">
        <v>53</v>
      </c>
      <c r="H124" s="30">
        <f>H123*1.3</f>
        <v>94640</v>
      </c>
    </row>
    <row r="125" spans="7:13" x14ac:dyDescent="0.15">
      <c r="G125" s="29" t="s">
        <v>54</v>
      </c>
      <c r="H125" s="30">
        <f>H124*1.3</f>
        <v>123032</v>
      </c>
    </row>
    <row r="126" spans="7:13" x14ac:dyDescent="0.15">
      <c r="G126" s="29" t="s">
        <v>55</v>
      </c>
      <c r="H126" s="31">
        <f>H125*1.3</f>
        <v>159941.6</v>
      </c>
    </row>
    <row r="127" spans="7:13" x14ac:dyDescent="0.15">
      <c r="G127" s="29" t="s">
        <v>56</v>
      </c>
      <c r="H127" s="31">
        <f>H126*1.3</f>
        <v>207924.08000000002</v>
      </c>
    </row>
    <row r="128" spans="7:13" x14ac:dyDescent="0.15">
      <c r="H128" s="39"/>
    </row>
    <row r="129" spans="7:9" x14ac:dyDescent="0.15">
      <c r="G129" s="53" t="s">
        <v>115</v>
      </c>
      <c r="H129" s="68">
        <v>2.1925016443762302</v>
      </c>
    </row>
    <row r="130" spans="7:9" x14ac:dyDescent="0.15">
      <c r="H130" s="39"/>
    </row>
    <row r="131" spans="7:9" x14ac:dyDescent="0.15">
      <c r="G131" s="47" t="s">
        <v>123</v>
      </c>
      <c r="H131" s="50">
        <f>H120*$H$100</f>
        <v>28502.521376890993</v>
      </c>
    </row>
    <row r="132" spans="7:9" x14ac:dyDescent="0.15">
      <c r="G132" s="96" t="s">
        <v>124</v>
      </c>
      <c r="H132" s="50">
        <f>H121*$H$100</f>
        <v>57005.042753781985</v>
      </c>
      <c r="I132" s="38"/>
    </row>
    <row r="133" spans="7:9" x14ac:dyDescent="0.15">
      <c r="G133" s="29" t="s">
        <v>125</v>
      </c>
      <c r="H133" s="50">
        <f>H122*$H$100</f>
        <v>114010.08550756397</v>
      </c>
    </row>
    <row r="134" spans="7:9" x14ac:dyDescent="0.15">
      <c r="G134" s="29" t="s">
        <v>126</v>
      </c>
      <c r="H134" s="50">
        <f t="shared" ref="H134:H136" si="8">H123*$H$100</f>
        <v>159614.11971058956</v>
      </c>
    </row>
    <row r="135" spans="7:9" x14ac:dyDescent="0.15">
      <c r="G135" s="29" t="s">
        <v>127</v>
      </c>
      <c r="H135" s="50">
        <f t="shared" si="8"/>
        <v>207498.35562376643</v>
      </c>
    </row>
    <row r="136" spans="7:9" x14ac:dyDescent="0.15">
      <c r="G136" s="29" t="s">
        <v>128</v>
      </c>
      <c r="H136" s="50">
        <f t="shared" si="8"/>
        <v>269747.86231089634</v>
      </c>
    </row>
    <row r="137" spans="7:9" x14ac:dyDescent="0.15">
      <c r="G137" s="29" t="s">
        <v>129</v>
      </c>
      <c r="H137" s="50">
        <f>H126*$H$100</f>
        <v>350672.22100416524</v>
      </c>
    </row>
    <row r="138" spans="7:9" x14ac:dyDescent="0.15">
      <c r="G138" s="29" t="s">
        <v>130</v>
      </c>
      <c r="H138" s="50">
        <f>H127*$H$100</f>
        <v>455873.88730541489</v>
      </c>
    </row>
  </sheetData>
  <mergeCells count="6">
    <mergeCell ref="G55:M59"/>
    <mergeCell ref="D15:D25"/>
    <mergeCell ref="D26:D32"/>
    <mergeCell ref="D33:D37"/>
    <mergeCell ref="D38:D41"/>
    <mergeCell ref="D42:D49"/>
  </mergeCells>
  <phoneticPr fontId="18"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20B82-8946-5B4A-BD22-061D0A073897}">
  <dimension ref="A1:P9"/>
  <sheetViews>
    <sheetView topLeftCell="A38" workbookViewId="0">
      <selection activeCell="N63" sqref="N63"/>
    </sheetView>
  </sheetViews>
  <sheetFormatPr baseColWidth="10" defaultRowHeight="13" x14ac:dyDescent="0.15"/>
  <sheetData>
    <row r="1" spans="1:16" x14ac:dyDescent="0.15">
      <c r="A1" s="112"/>
    </row>
    <row r="9" spans="1:16" ht="17" x14ac:dyDescent="0.2">
      <c r="A9" s="137" t="s">
        <v>144</v>
      </c>
      <c r="B9" s="137"/>
      <c r="C9" s="137"/>
      <c r="D9" s="137"/>
      <c r="E9" s="137"/>
      <c r="F9" s="137"/>
      <c r="G9" s="137"/>
      <c r="H9" s="137"/>
      <c r="I9" s="137"/>
      <c r="J9" s="137"/>
      <c r="K9" s="137"/>
      <c r="L9" s="137"/>
      <c r="M9" s="137"/>
      <c r="N9" s="137"/>
      <c r="O9" s="137"/>
      <c r="P9" s="137"/>
    </row>
  </sheetData>
  <mergeCells count="1">
    <mergeCell ref="A9:P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28C6-0A58-C348-87C4-86B55837C83B}">
  <dimension ref="B2:N93"/>
  <sheetViews>
    <sheetView workbookViewId="0">
      <selection activeCell="C7" sqref="C7:M29"/>
    </sheetView>
  </sheetViews>
  <sheetFormatPr baseColWidth="10" defaultRowHeight="13" x14ac:dyDescent="0.15"/>
  <cols>
    <col min="1" max="16384" width="10.83203125" style="26"/>
  </cols>
  <sheetData>
    <row r="2" spans="2:13" x14ac:dyDescent="0.15">
      <c r="B2" s="25"/>
    </row>
    <row r="5" spans="2:13" ht="19" x14ac:dyDescent="0.2">
      <c r="C5" s="25"/>
      <c r="F5" s="138" t="s">
        <v>91</v>
      </c>
      <c r="G5" s="138"/>
      <c r="H5" s="138"/>
      <c r="I5" s="138"/>
      <c r="J5" s="138"/>
    </row>
    <row r="6" spans="2:13" ht="14" thickBot="1" x14ac:dyDescent="0.2">
      <c r="C6" s="25"/>
    </row>
    <row r="7" spans="2:13" x14ac:dyDescent="0.15">
      <c r="B7" s="26">
        <v>1</v>
      </c>
      <c r="C7" s="139" t="s">
        <v>149</v>
      </c>
      <c r="D7" s="140"/>
      <c r="E7" s="140"/>
      <c r="F7" s="140"/>
      <c r="G7" s="140"/>
      <c r="H7" s="140"/>
      <c r="I7" s="140"/>
      <c r="J7" s="140"/>
      <c r="K7" s="140"/>
      <c r="L7" s="140"/>
      <c r="M7" s="141"/>
    </row>
    <row r="8" spans="2:13" x14ac:dyDescent="0.15">
      <c r="C8" s="142"/>
      <c r="D8" s="143"/>
      <c r="E8" s="143"/>
      <c r="F8" s="143"/>
      <c r="G8" s="143"/>
      <c r="H8" s="143"/>
      <c r="I8" s="143"/>
      <c r="J8" s="143"/>
      <c r="K8" s="143"/>
      <c r="L8" s="143"/>
      <c r="M8" s="144"/>
    </row>
    <row r="9" spans="2:13" x14ac:dyDescent="0.15">
      <c r="B9" s="26">
        <v>2</v>
      </c>
      <c r="C9" s="142"/>
      <c r="D9" s="143"/>
      <c r="E9" s="143"/>
      <c r="F9" s="143"/>
      <c r="G9" s="143"/>
      <c r="H9" s="143"/>
      <c r="I9" s="143"/>
      <c r="J9" s="143"/>
      <c r="K9" s="143"/>
      <c r="L9" s="143"/>
      <c r="M9" s="144"/>
    </row>
    <row r="10" spans="2:13" x14ac:dyDescent="0.15">
      <c r="B10" s="26">
        <v>3</v>
      </c>
      <c r="C10" s="142"/>
      <c r="D10" s="143"/>
      <c r="E10" s="143"/>
      <c r="F10" s="143"/>
      <c r="G10" s="143"/>
      <c r="H10" s="143"/>
      <c r="I10" s="143"/>
      <c r="J10" s="143"/>
      <c r="K10" s="143"/>
      <c r="L10" s="143"/>
      <c r="M10" s="144"/>
    </row>
    <row r="11" spans="2:13" x14ac:dyDescent="0.15">
      <c r="B11" s="26">
        <v>4</v>
      </c>
      <c r="C11" s="142"/>
      <c r="D11" s="143"/>
      <c r="E11" s="143"/>
      <c r="F11" s="143"/>
      <c r="G11" s="143"/>
      <c r="H11" s="143"/>
      <c r="I11" s="143"/>
      <c r="J11" s="143"/>
      <c r="K11" s="143"/>
      <c r="L11" s="143"/>
      <c r="M11" s="144"/>
    </row>
    <row r="12" spans="2:13" x14ac:dyDescent="0.15">
      <c r="B12" s="26">
        <v>5</v>
      </c>
      <c r="C12" s="142"/>
      <c r="D12" s="143"/>
      <c r="E12" s="143"/>
      <c r="F12" s="143"/>
      <c r="G12" s="143"/>
      <c r="H12" s="143"/>
      <c r="I12" s="143"/>
      <c r="J12" s="143"/>
      <c r="K12" s="143"/>
      <c r="L12" s="143"/>
      <c r="M12" s="144"/>
    </row>
    <row r="13" spans="2:13" x14ac:dyDescent="0.15">
      <c r="C13" s="142"/>
      <c r="D13" s="143"/>
      <c r="E13" s="143"/>
      <c r="F13" s="143"/>
      <c r="G13" s="143"/>
      <c r="H13" s="143"/>
      <c r="I13" s="143"/>
      <c r="J13" s="143"/>
      <c r="K13" s="143"/>
      <c r="L13" s="143"/>
      <c r="M13" s="144"/>
    </row>
    <row r="14" spans="2:13" x14ac:dyDescent="0.15">
      <c r="C14" s="142"/>
      <c r="D14" s="143"/>
      <c r="E14" s="143"/>
      <c r="F14" s="143"/>
      <c r="G14" s="143"/>
      <c r="H14" s="143"/>
      <c r="I14" s="143"/>
      <c r="J14" s="143"/>
      <c r="K14" s="143"/>
      <c r="L14" s="143"/>
      <c r="M14" s="144"/>
    </row>
    <row r="15" spans="2:13" x14ac:dyDescent="0.15">
      <c r="C15" s="142"/>
      <c r="D15" s="143"/>
      <c r="E15" s="143"/>
      <c r="F15" s="143"/>
      <c r="G15" s="143"/>
      <c r="H15" s="143"/>
      <c r="I15" s="143"/>
      <c r="J15" s="143"/>
      <c r="K15" s="143"/>
      <c r="L15" s="143"/>
      <c r="M15" s="144"/>
    </row>
    <row r="16" spans="2:13" x14ac:dyDescent="0.15">
      <c r="C16" s="142"/>
      <c r="D16" s="143"/>
      <c r="E16" s="143"/>
      <c r="F16" s="143"/>
      <c r="G16" s="143"/>
      <c r="H16" s="143"/>
      <c r="I16" s="143"/>
      <c r="J16" s="143"/>
      <c r="K16" s="143"/>
      <c r="L16" s="143"/>
      <c r="M16" s="144"/>
    </row>
    <row r="17" spans="3:13" x14ac:dyDescent="0.15">
      <c r="C17" s="142"/>
      <c r="D17" s="143"/>
      <c r="E17" s="143"/>
      <c r="F17" s="143"/>
      <c r="G17" s="143"/>
      <c r="H17" s="143"/>
      <c r="I17" s="143"/>
      <c r="J17" s="143"/>
      <c r="K17" s="143"/>
      <c r="L17" s="143"/>
      <c r="M17" s="144"/>
    </row>
    <row r="18" spans="3:13" x14ac:dyDescent="0.15">
      <c r="C18" s="142"/>
      <c r="D18" s="143"/>
      <c r="E18" s="143"/>
      <c r="F18" s="143"/>
      <c r="G18" s="143"/>
      <c r="H18" s="143"/>
      <c r="I18" s="143"/>
      <c r="J18" s="143"/>
      <c r="K18" s="143"/>
      <c r="L18" s="143"/>
      <c r="M18" s="144"/>
    </row>
    <row r="19" spans="3:13" x14ac:dyDescent="0.15">
      <c r="C19" s="142"/>
      <c r="D19" s="143"/>
      <c r="E19" s="143"/>
      <c r="F19" s="143"/>
      <c r="G19" s="143"/>
      <c r="H19" s="143"/>
      <c r="I19" s="143"/>
      <c r="J19" s="143"/>
      <c r="K19" s="143"/>
      <c r="L19" s="143"/>
      <c r="M19" s="144"/>
    </row>
    <row r="20" spans="3:13" x14ac:dyDescent="0.15">
      <c r="C20" s="142"/>
      <c r="D20" s="143"/>
      <c r="E20" s="143"/>
      <c r="F20" s="143"/>
      <c r="G20" s="143"/>
      <c r="H20" s="143"/>
      <c r="I20" s="143"/>
      <c r="J20" s="143"/>
      <c r="K20" s="143"/>
      <c r="L20" s="143"/>
      <c r="M20" s="144"/>
    </row>
    <row r="21" spans="3:13" x14ac:dyDescent="0.15">
      <c r="C21" s="142"/>
      <c r="D21" s="143"/>
      <c r="E21" s="143"/>
      <c r="F21" s="143"/>
      <c r="G21" s="143"/>
      <c r="H21" s="143"/>
      <c r="I21" s="143"/>
      <c r="J21" s="143"/>
      <c r="K21" s="143"/>
      <c r="L21" s="143"/>
      <c r="M21" s="144"/>
    </row>
    <row r="22" spans="3:13" x14ac:dyDescent="0.15">
      <c r="C22" s="142"/>
      <c r="D22" s="143"/>
      <c r="E22" s="143"/>
      <c r="F22" s="143"/>
      <c r="G22" s="143"/>
      <c r="H22" s="143"/>
      <c r="I22" s="143"/>
      <c r="J22" s="143"/>
      <c r="K22" s="143"/>
      <c r="L22" s="143"/>
      <c r="M22" s="144"/>
    </row>
    <row r="23" spans="3:13" x14ac:dyDescent="0.15">
      <c r="C23" s="142"/>
      <c r="D23" s="143"/>
      <c r="E23" s="143"/>
      <c r="F23" s="143"/>
      <c r="G23" s="143"/>
      <c r="H23" s="143"/>
      <c r="I23" s="143"/>
      <c r="J23" s="143"/>
      <c r="K23" s="143"/>
      <c r="L23" s="143"/>
      <c r="M23" s="144"/>
    </row>
    <row r="24" spans="3:13" x14ac:dyDescent="0.15">
      <c r="C24" s="142"/>
      <c r="D24" s="143"/>
      <c r="E24" s="143"/>
      <c r="F24" s="143"/>
      <c r="G24" s="143"/>
      <c r="H24" s="143"/>
      <c r="I24" s="143"/>
      <c r="J24" s="143"/>
      <c r="K24" s="143"/>
      <c r="L24" s="143"/>
      <c r="M24" s="144"/>
    </row>
    <row r="25" spans="3:13" x14ac:dyDescent="0.15">
      <c r="C25" s="142"/>
      <c r="D25" s="143"/>
      <c r="E25" s="143"/>
      <c r="F25" s="143"/>
      <c r="G25" s="143"/>
      <c r="H25" s="143"/>
      <c r="I25" s="143"/>
      <c r="J25" s="143"/>
      <c r="K25" s="143"/>
      <c r="L25" s="143"/>
      <c r="M25" s="144"/>
    </row>
    <row r="26" spans="3:13" x14ac:dyDescent="0.15">
      <c r="C26" s="142"/>
      <c r="D26" s="143"/>
      <c r="E26" s="143"/>
      <c r="F26" s="143"/>
      <c r="G26" s="143"/>
      <c r="H26" s="143"/>
      <c r="I26" s="143"/>
      <c r="J26" s="143"/>
      <c r="K26" s="143"/>
      <c r="L26" s="143"/>
      <c r="M26" s="144"/>
    </row>
    <row r="27" spans="3:13" x14ac:dyDescent="0.15">
      <c r="C27" s="142"/>
      <c r="D27" s="143"/>
      <c r="E27" s="143"/>
      <c r="F27" s="143"/>
      <c r="G27" s="143"/>
      <c r="H27" s="143"/>
      <c r="I27" s="143"/>
      <c r="J27" s="143"/>
      <c r="K27" s="143"/>
      <c r="L27" s="143"/>
      <c r="M27" s="144"/>
    </row>
    <row r="28" spans="3:13" x14ac:dyDescent="0.15">
      <c r="C28" s="142"/>
      <c r="D28" s="143"/>
      <c r="E28" s="143"/>
      <c r="F28" s="143"/>
      <c r="G28" s="143"/>
      <c r="H28" s="143"/>
      <c r="I28" s="143"/>
      <c r="J28" s="143"/>
      <c r="K28" s="143"/>
      <c r="L28" s="143"/>
      <c r="M28" s="144"/>
    </row>
    <row r="29" spans="3:13" ht="14" thickBot="1" x14ac:dyDescent="0.2">
      <c r="C29" s="145"/>
      <c r="D29" s="146"/>
      <c r="E29" s="146"/>
      <c r="F29" s="146"/>
      <c r="G29" s="146"/>
      <c r="H29" s="146"/>
      <c r="I29" s="146"/>
      <c r="J29" s="146"/>
      <c r="K29" s="146"/>
      <c r="L29" s="146"/>
      <c r="M29" s="147"/>
    </row>
    <row r="30" spans="3:13" x14ac:dyDescent="0.15">
      <c r="C30" s="25"/>
    </row>
    <row r="35" spans="2:14" x14ac:dyDescent="0.15">
      <c r="N35" s="25" t="s">
        <v>145</v>
      </c>
    </row>
    <row r="37" spans="2:14" x14ac:dyDescent="0.15">
      <c r="B37" s="25" t="s">
        <v>142</v>
      </c>
    </row>
    <row r="64" spans="2:2" x14ac:dyDescent="0.15">
      <c r="B64" s="25" t="s">
        <v>141</v>
      </c>
    </row>
    <row r="91" spans="2:3" x14ac:dyDescent="0.15">
      <c r="B91" s="25"/>
      <c r="C91" s="25"/>
    </row>
    <row r="93" spans="2:3" x14ac:dyDescent="0.15">
      <c r="C93" s="25" t="s">
        <v>143</v>
      </c>
    </row>
  </sheetData>
  <mergeCells count="2">
    <mergeCell ref="F5:J5"/>
    <mergeCell ref="C7:M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case study</vt:lpstr>
      <vt:lpstr>Introduction</vt:lpstr>
      <vt:lpstr>Space Allocation Analysis</vt:lpstr>
      <vt:lpstr>Visuals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Mehmet Gecim</cp:lastModifiedBy>
  <dcterms:created xsi:type="dcterms:W3CDTF">2025-07-09T21:36:06Z</dcterms:created>
  <dcterms:modified xsi:type="dcterms:W3CDTF">2025-09-15T23:56:58Z</dcterms:modified>
</cp:coreProperties>
</file>