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OneDrive\Documents\P6\"/>
    </mc:Choice>
  </mc:AlternateContent>
  <xr:revisionPtr revIDLastSave="0" documentId="13_ncr:1_{BC1BB450-6573-453E-8694-40A6B85798A3}" xr6:coauthVersionLast="47" xr6:coauthVersionMax="47" xr10:uidLastSave="{00000000-0000-0000-0000-000000000000}"/>
  <bookViews>
    <workbookView xWindow="-108" yWindow="-108" windowWidth="23256" windowHeight="12576" activeTab="2" xr2:uid="{DEEAB978-E5D5-5D42-8105-D6FEFC976C2D}"/>
  </bookViews>
  <sheets>
    <sheet name="OG" sheetId="1" r:id="rId1"/>
    <sheet name="Redo" sheetId="4" r:id="rId2"/>
    <sheet name="Lamb OG and Redo 2" sheetId="2" r:id="rId3"/>
  </sheets>
  <definedNames>
    <definedName name="V">Redo!$X$2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4" l="1"/>
  <c r="K3" i="4" s="1"/>
  <c r="J4" i="4"/>
  <c r="J5" i="4"/>
  <c r="J6" i="4"/>
  <c r="K6" i="4" s="1"/>
  <c r="J7" i="4"/>
  <c r="K7" i="4" s="1"/>
  <c r="J8" i="4"/>
  <c r="J9" i="4"/>
  <c r="J10" i="4"/>
  <c r="J11" i="4"/>
  <c r="J12" i="4"/>
  <c r="J13" i="4"/>
  <c r="J14" i="4"/>
  <c r="K14" i="4" s="1"/>
  <c r="J15" i="4"/>
  <c r="J16" i="4"/>
  <c r="J17" i="4"/>
  <c r="J18" i="4"/>
  <c r="J19" i="4"/>
  <c r="J20" i="4"/>
  <c r="J21" i="4"/>
  <c r="J22" i="4"/>
  <c r="J23" i="4"/>
  <c r="K23" i="4" s="1"/>
  <c r="J24" i="4"/>
  <c r="J25" i="4"/>
  <c r="J26" i="4"/>
  <c r="J27" i="4"/>
  <c r="J28" i="4"/>
  <c r="J29" i="4"/>
  <c r="J30" i="4"/>
  <c r="K30" i="4" s="1"/>
  <c r="J31" i="4"/>
  <c r="K8" i="4"/>
  <c r="K10" i="4"/>
  <c r="K24" i="4"/>
  <c r="K26" i="4"/>
  <c r="H31" i="2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30" i="2"/>
  <c r="N23" i="2"/>
  <c r="N24" i="2"/>
  <c r="N25" i="2"/>
  <c r="N26" i="2"/>
  <c r="N27" i="2"/>
  <c r="N28" i="2"/>
  <c r="L3" i="2"/>
  <c r="L4" i="2"/>
  <c r="L5" i="2"/>
  <c r="M5" i="2" s="1"/>
  <c r="N5" i="2" s="1"/>
  <c r="L6" i="2"/>
  <c r="M6" i="2" s="1"/>
  <c r="N6" i="2" s="1"/>
  <c r="L7" i="2"/>
  <c r="M7" i="2" s="1"/>
  <c r="N7" i="2" s="1"/>
  <c r="L8" i="2"/>
  <c r="M8" i="2" s="1"/>
  <c r="N8" i="2" s="1"/>
  <c r="L9" i="2"/>
  <c r="M9" i="2" s="1"/>
  <c r="N9" i="2" s="1"/>
  <c r="L10" i="2"/>
  <c r="M10" i="2" s="1"/>
  <c r="N10" i="2" s="1"/>
  <c r="L11" i="2"/>
  <c r="L12" i="2"/>
  <c r="L13" i="2"/>
  <c r="M13" i="2" s="1"/>
  <c r="N13" i="2" s="1"/>
  <c r="L14" i="2"/>
  <c r="M14" i="2" s="1"/>
  <c r="N14" i="2" s="1"/>
  <c r="L15" i="2"/>
  <c r="M15" i="2" s="1"/>
  <c r="N15" i="2" s="1"/>
  <c r="L16" i="2"/>
  <c r="M16" i="2" s="1"/>
  <c r="N16" i="2" s="1"/>
  <c r="L17" i="2"/>
  <c r="M17" i="2" s="1"/>
  <c r="N17" i="2" s="1"/>
  <c r="L18" i="2"/>
  <c r="M18" i="2" s="1"/>
  <c r="N18" i="2" s="1"/>
  <c r="L19" i="2"/>
  <c r="L20" i="2"/>
  <c r="L21" i="2"/>
  <c r="M21" i="2" s="1"/>
  <c r="N21" i="2" s="1"/>
  <c r="L22" i="2"/>
  <c r="M22" i="2" s="1"/>
  <c r="N22" i="2" s="1"/>
  <c r="L23" i="2"/>
  <c r="M23" i="2" s="1"/>
  <c r="L24" i="2"/>
  <c r="M24" i="2" s="1"/>
  <c r="L25" i="2"/>
  <c r="M25" i="2" s="1"/>
  <c r="L26" i="2"/>
  <c r="M26" i="2" s="1"/>
  <c r="L27" i="2"/>
  <c r="L28" i="2"/>
  <c r="L2" i="2"/>
  <c r="M3" i="2"/>
  <c r="N3" i="2" s="1"/>
  <c r="M4" i="2"/>
  <c r="N4" i="2" s="1"/>
  <c r="M11" i="2"/>
  <c r="N11" i="2" s="1"/>
  <c r="M12" i="2"/>
  <c r="N12" i="2" s="1"/>
  <c r="M19" i="2"/>
  <c r="M20" i="2"/>
  <c r="N20" i="2" s="1"/>
  <c r="M27" i="2"/>
  <c r="M28" i="2"/>
  <c r="M2" i="2"/>
  <c r="N2" i="2" s="1"/>
  <c r="N19" i="2"/>
  <c r="H8" i="2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7" i="2"/>
  <c r="F3" i="4"/>
  <c r="F4" i="4"/>
  <c r="F5" i="4"/>
  <c r="F6" i="4"/>
  <c r="F7" i="4"/>
  <c r="H7" i="4" s="1"/>
  <c r="I7" i="4" s="1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H24" i="4" s="1"/>
  <c r="I24" i="4" s="1"/>
  <c r="F25" i="4"/>
  <c r="F26" i="4"/>
  <c r="F27" i="4"/>
  <c r="F28" i="4"/>
  <c r="F29" i="4"/>
  <c r="F30" i="4"/>
  <c r="F31" i="4"/>
  <c r="F33" i="4"/>
  <c r="F34" i="4"/>
  <c r="F35" i="4"/>
  <c r="F36" i="4"/>
  <c r="F37" i="4"/>
  <c r="F38" i="4"/>
  <c r="K18" i="4"/>
  <c r="K25" i="4"/>
  <c r="J33" i="4"/>
  <c r="J34" i="4"/>
  <c r="J35" i="4"/>
  <c r="J36" i="4"/>
  <c r="J37" i="4"/>
  <c r="J38" i="4"/>
  <c r="J39" i="4"/>
  <c r="J2" i="4"/>
  <c r="K22" i="4"/>
  <c r="K33" i="4"/>
  <c r="R46" i="4"/>
  <c r="R45" i="4"/>
  <c r="K4" i="4"/>
  <c r="K12" i="4"/>
  <c r="K28" i="4"/>
  <c r="R41" i="4"/>
  <c r="R42" i="4" s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3" i="4"/>
  <c r="G34" i="4"/>
  <c r="G35" i="4"/>
  <c r="H35" i="4" s="1"/>
  <c r="I35" i="4" s="1"/>
  <c r="G36" i="4"/>
  <c r="H36" i="4" s="1"/>
  <c r="I36" i="4" s="1"/>
  <c r="G37" i="4"/>
  <c r="G38" i="4"/>
  <c r="G39" i="4"/>
  <c r="A5" i="4"/>
  <c r="F2" i="4"/>
  <c r="F39" i="4"/>
  <c r="G2" i="4"/>
  <c r="H3" i="2"/>
  <c r="H4" i="2" s="1"/>
  <c r="H5" i="2" s="1"/>
  <c r="K35" i="4"/>
  <c r="A39" i="4"/>
  <c r="A38" i="4"/>
  <c r="A37" i="4"/>
  <c r="A36" i="4"/>
  <c r="K36" i="4" s="1"/>
  <c r="A34" i="4"/>
  <c r="A31" i="4"/>
  <c r="A29" i="4"/>
  <c r="A27" i="4"/>
  <c r="A23" i="4"/>
  <c r="A21" i="4"/>
  <c r="A20" i="4"/>
  <c r="A19" i="4"/>
  <c r="A17" i="4"/>
  <c r="A16" i="4"/>
  <c r="A15" i="4"/>
  <c r="A13" i="4"/>
  <c r="A11" i="4"/>
  <c r="A9" i="4"/>
  <c r="A2" i="4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  <c r="F9" i="1"/>
  <c r="I9" i="1" s="1"/>
  <c r="J9" i="1" s="1"/>
  <c r="F7" i="1"/>
  <c r="I7" i="1" s="1"/>
  <c r="J7" i="1" s="1"/>
  <c r="F3" i="1"/>
  <c r="I3" i="1" s="1"/>
  <c r="J3" i="1" s="1"/>
  <c r="F4" i="1"/>
  <c r="I4" i="1" s="1"/>
  <c r="J4" i="1" s="1"/>
  <c r="F5" i="1"/>
  <c r="I5" i="1" s="1"/>
  <c r="J5" i="1" s="1"/>
  <c r="F6" i="1"/>
  <c r="I6" i="1" s="1"/>
  <c r="J6" i="1" s="1"/>
  <c r="F8" i="1"/>
  <c r="I8" i="1" s="1"/>
  <c r="J8" i="1" s="1"/>
  <c r="F10" i="1"/>
  <c r="I10" i="1" s="1"/>
  <c r="J10" i="1" s="1"/>
  <c r="F11" i="1"/>
  <c r="I11" i="1" s="1"/>
  <c r="J11" i="1" s="1"/>
  <c r="F12" i="1"/>
  <c r="I12" i="1" s="1"/>
  <c r="J12" i="1" s="1"/>
  <c r="F13" i="1"/>
  <c r="I13" i="1" s="1"/>
  <c r="J13" i="1" s="1"/>
  <c r="F14" i="1"/>
  <c r="I14" i="1" s="1"/>
  <c r="J14" i="1" s="1"/>
  <c r="F15" i="1"/>
  <c r="I15" i="1" s="1"/>
  <c r="J15" i="1" s="1"/>
  <c r="F16" i="1"/>
  <c r="I16" i="1" s="1"/>
  <c r="J16" i="1" s="1"/>
  <c r="F17" i="1"/>
  <c r="I17" i="1" s="1"/>
  <c r="J17" i="1" s="1"/>
  <c r="F18" i="1"/>
  <c r="I18" i="1" s="1"/>
  <c r="J18" i="1" s="1"/>
  <c r="F19" i="1"/>
  <c r="I19" i="1" s="1"/>
  <c r="J19" i="1" s="1"/>
  <c r="F20" i="1"/>
  <c r="I20" i="1" s="1"/>
  <c r="J20" i="1" s="1"/>
  <c r="F21" i="1"/>
  <c r="I21" i="1" s="1"/>
  <c r="J21" i="1" s="1"/>
  <c r="F22" i="1"/>
  <c r="I22" i="1" s="1"/>
  <c r="J22" i="1" s="1"/>
  <c r="F2" i="1"/>
  <c r="I2" i="1" s="1"/>
  <c r="J2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" i="1"/>
  <c r="A22" i="1"/>
  <c r="A21" i="1"/>
  <c r="A20" i="1"/>
  <c r="A19" i="1"/>
  <c r="A18" i="1"/>
  <c r="A17" i="1"/>
  <c r="A16" i="1"/>
  <c r="A15" i="1"/>
  <c r="A14" i="1"/>
  <c r="A13" i="1"/>
  <c r="A12" i="1"/>
  <c r="A11" i="1"/>
  <c r="A9" i="1"/>
  <c r="A8" i="1"/>
  <c r="A7" i="1"/>
  <c r="A6" i="1"/>
  <c r="A5" i="1"/>
  <c r="A2" i="1"/>
  <c r="A4" i="1"/>
  <c r="A3" i="1"/>
  <c r="A3" i="2"/>
  <c r="A4" i="2" s="1"/>
  <c r="A5" i="2" s="1"/>
  <c r="A8" i="2" s="1"/>
  <c r="A11" i="2" s="1"/>
  <c r="A12" i="2" s="1"/>
  <c r="A13" i="2" s="1"/>
  <c r="A16" i="2" s="1"/>
  <c r="A19" i="2" s="1"/>
  <c r="A20" i="2" s="1"/>
  <c r="A21" i="2" s="1"/>
  <c r="A22" i="2" s="1"/>
  <c r="A23" i="2" s="1"/>
  <c r="A26" i="2" s="1"/>
  <c r="A29" i="2" s="1"/>
  <c r="A30" i="2" s="1"/>
  <c r="A31" i="2" s="1"/>
  <c r="A32" i="2" s="1"/>
  <c r="A33" i="2" s="1"/>
  <c r="A34" i="2" s="1"/>
  <c r="K27" i="4" l="1"/>
  <c r="K19" i="4"/>
  <c r="H23" i="4"/>
  <c r="I23" i="4" s="1"/>
  <c r="H26" i="4"/>
  <c r="I26" i="4" s="1"/>
  <c r="H22" i="4"/>
  <c r="I22" i="4" s="1"/>
  <c r="K21" i="4"/>
  <c r="K34" i="4"/>
  <c r="K20" i="4"/>
  <c r="K29" i="4"/>
  <c r="K37" i="4"/>
  <c r="K11" i="4"/>
  <c r="K31" i="4"/>
  <c r="K5" i="4"/>
  <c r="K15" i="4"/>
  <c r="K16" i="4"/>
  <c r="K13" i="4"/>
  <c r="K17" i="4"/>
  <c r="K38" i="4"/>
  <c r="K9" i="4"/>
  <c r="K39" i="4"/>
  <c r="H25" i="4"/>
  <c r="I25" i="4" s="1"/>
  <c r="H5" i="4"/>
  <c r="I5" i="4" s="1"/>
  <c r="H2" i="4"/>
  <c r="H4" i="4"/>
  <c r="I4" i="4" s="1"/>
  <c r="H3" i="4"/>
  <c r="I3" i="4" s="1"/>
  <c r="H6" i="4"/>
  <c r="I6" i="4" s="1"/>
  <c r="H34" i="4"/>
  <c r="I34" i="4" s="1"/>
  <c r="H37" i="4"/>
  <c r="I37" i="4" s="1"/>
  <c r="H29" i="4"/>
  <c r="I29" i="4" s="1"/>
  <c r="H28" i="4"/>
  <c r="I28" i="4" s="1"/>
  <c r="H16" i="4"/>
  <c r="I16" i="4" s="1"/>
  <c r="H8" i="4"/>
  <c r="I8" i="4" s="1"/>
  <c r="H27" i="4"/>
  <c r="I27" i="4" s="1"/>
  <c r="H15" i="4"/>
  <c r="I15" i="4" s="1"/>
  <c r="H11" i="4"/>
  <c r="I11" i="4" s="1"/>
  <c r="H19" i="4"/>
  <c r="I19" i="4" s="1"/>
  <c r="H10" i="4"/>
  <c r="I10" i="4" s="1"/>
  <c r="H9" i="4"/>
  <c r="I9" i="4" s="1"/>
  <c r="H33" i="4"/>
  <c r="I33" i="4" s="1"/>
  <c r="H31" i="4"/>
  <c r="I31" i="4" s="1"/>
  <c r="H38" i="4"/>
  <c r="I38" i="4" s="1"/>
  <c r="H21" i="4"/>
  <c r="I21" i="4" s="1"/>
  <c r="H13" i="4"/>
  <c r="I13" i="4" s="1"/>
  <c r="H20" i="4"/>
  <c r="I20" i="4" s="1"/>
  <c r="H12" i="4"/>
  <c r="I12" i="4" s="1"/>
  <c r="H39" i="4"/>
  <c r="I39" i="4" s="1"/>
  <c r="H30" i="4"/>
  <c r="I30" i="4" s="1"/>
  <c r="H18" i="4"/>
  <c r="I18" i="4" s="1"/>
  <c r="H14" i="4"/>
  <c r="I14" i="4" s="1"/>
  <c r="H17" i="4"/>
  <c r="I17" i="4" s="1"/>
  <c r="I2" i="4"/>
</calcChain>
</file>

<file path=xl/sharedStrings.xml><?xml version="1.0" encoding="utf-8"?>
<sst xmlns="http://schemas.openxmlformats.org/spreadsheetml/2006/main" count="101" uniqueCount="41">
  <si>
    <t>f / Mhz</t>
  </si>
  <si>
    <t>Vlp</t>
  </si>
  <si>
    <t>Vw</t>
  </si>
  <si>
    <t>Vtx</t>
  </si>
  <si>
    <t>Function generator Vpp (10V) was different to oscilliscope Vpp (10V)</t>
  </si>
  <si>
    <t>T</t>
  </si>
  <si>
    <t>Angle of incidence</t>
  </si>
  <si>
    <t>Vpp (mv)</t>
  </si>
  <si>
    <t>T(dB)</t>
  </si>
  <si>
    <t>Theory</t>
  </si>
  <si>
    <t>Theory (dB)</t>
  </si>
  <si>
    <t>Iw/Itx</t>
  </si>
  <si>
    <t>Ilp/Itx</t>
  </si>
  <si>
    <t>Ensure Probe is 1x</t>
  </si>
  <si>
    <t>Take more measurements around peaks</t>
  </si>
  <si>
    <t>Fine tune to correct peak</t>
  </si>
  <si>
    <t>Water calibration can be done at 0.2MHz spaces then do function fit</t>
  </si>
  <si>
    <t>Incidence</t>
  </si>
  <si>
    <t>Vrx (mv)</t>
  </si>
  <si>
    <t>Vp</t>
  </si>
  <si>
    <t>Ip/Itx</t>
  </si>
  <si>
    <t>err 0.2</t>
  </si>
  <si>
    <t>7.6x5.5x0.177cm</t>
  </si>
  <si>
    <t>Angular wiggle</t>
  </si>
  <si>
    <t>Steady state solution measured</t>
  </si>
  <si>
    <t>Err Vlp</t>
  </si>
  <si>
    <t>remeasure thickness</t>
  </si>
  <si>
    <t>Check angle of plate effect</t>
  </si>
  <si>
    <t>Do part D</t>
  </si>
  <si>
    <t>Mass:</t>
  </si>
  <si>
    <t>Volume:</t>
  </si>
  <si>
    <t>Density:</t>
  </si>
  <si>
    <t>Oscillagtion at start due to possibly reflections</t>
  </si>
  <si>
    <t>Uncertainty (mv)</t>
  </si>
  <si>
    <t>T (dB)</t>
  </si>
  <si>
    <t>Vtx (V)</t>
  </si>
  <si>
    <t>Water calibrat</t>
  </si>
  <si>
    <t>Plate</t>
  </si>
  <si>
    <t>B</t>
  </si>
  <si>
    <t>A</t>
  </si>
  <si>
    <t>mgg39@bath.ac.uk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</si>
</sst>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OG!$A$2:$A$22</c:f>
              <c:numCache>
                <c:formatCode>General</c:formatCode>
                <c:ptCount val="2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</c:numCache>
            </c:numRef>
          </c:xVal>
          <c:yVal>
            <c:numRef>
              <c:f>OG!$I$2:$I$22</c:f>
              <c:numCache>
                <c:formatCode>General</c:formatCode>
                <c:ptCount val="21"/>
                <c:pt idx="0">
                  <c:v>2.1646188400052849E-2</c:v>
                </c:pt>
                <c:pt idx="1">
                  <c:v>5.1494082840236675E-2</c:v>
                </c:pt>
                <c:pt idx="2">
                  <c:v>0.25</c:v>
                </c:pt>
                <c:pt idx="3">
                  <c:v>0.3073015122873346</c:v>
                </c:pt>
                <c:pt idx="4">
                  <c:v>0.12598117664990088</c:v>
                </c:pt>
                <c:pt idx="5">
                  <c:v>3.014611761864509E-2</c:v>
                </c:pt>
                <c:pt idx="6">
                  <c:v>1.3684585261658951E-2</c:v>
                </c:pt>
                <c:pt idx="7">
                  <c:v>9.5102793525032436E-3</c:v>
                </c:pt>
                <c:pt idx="8">
                  <c:v>6.7554888346781769E-3</c:v>
                </c:pt>
                <c:pt idx="9">
                  <c:v>6.1067497039603517E-3</c:v>
                </c:pt>
                <c:pt idx="10">
                  <c:v>6.8062499999999998E-3</c:v>
                </c:pt>
                <c:pt idx="11">
                  <c:v>7.858876886597161E-3</c:v>
                </c:pt>
                <c:pt idx="12">
                  <c:v>1.0499923792104862E-2</c:v>
                </c:pt>
                <c:pt idx="13">
                  <c:v>1.7216114243985555E-2</c:v>
                </c:pt>
                <c:pt idx="14">
                  <c:v>3.7735687545653755E-2</c:v>
                </c:pt>
                <c:pt idx="15">
                  <c:v>0.18632575953625594</c:v>
                </c:pt>
                <c:pt idx="16">
                  <c:v>0.43580627441406239</c:v>
                </c:pt>
                <c:pt idx="17">
                  <c:v>6.574621959237345E-2</c:v>
                </c:pt>
                <c:pt idx="18">
                  <c:v>1.9438794378698221E-2</c:v>
                </c:pt>
                <c:pt idx="19">
                  <c:v>1.1025E-2</c:v>
                </c:pt>
                <c:pt idx="20">
                  <c:v>7.86177777777778E-3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64-2A4A-8DD9-06D6B064F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513680"/>
        <c:axId val="1610515328"/>
      </c:scatterChart>
      <c:valAx>
        <c:axId val="161051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515328"/>
        <c:crosses val="autoZero"/>
        <c:crossBetween val="midCat"/>
      </c:valAx>
      <c:valAx>
        <c:axId val="1610515328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51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'Lamb OG and Redo 2'!$N$1</c:f>
              <c:strCache>
                <c:ptCount val="1"/>
                <c:pt idx="0">
                  <c:v>T (dB)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'Lamb OG and Redo 2'!$H$2:$H$28</c:f>
              <c:numCache>
                <c:formatCode>General</c:formatCode>
                <c:ptCount val="2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37</c:v>
                </c:pt>
                <c:pt idx="22">
                  <c:v>38</c:v>
                </c:pt>
                <c:pt idx="23">
                  <c:v>40</c:v>
                </c:pt>
                <c:pt idx="24">
                  <c:v>43</c:v>
                </c:pt>
                <c:pt idx="25">
                  <c:v>19</c:v>
                </c:pt>
                <c:pt idx="26">
                  <c:v>19.5</c:v>
                </c:pt>
              </c:numCache>
            </c:numRef>
          </c:xVal>
          <c:yVal>
            <c:numRef>
              <c:f>'Lamb OG and Redo 2'!$N$2:$N$28</c:f>
              <c:numCache>
                <c:formatCode>General</c:formatCode>
                <c:ptCount val="27"/>
                <c:pt idx="0">
                  <c:v>-3.7882844085305583</c:v>
                </c:pt>
                <c:pt idx="1">
                  <c:v>-13.130102673105258</c:v>
                </c:pt>
                <c:pt idx="2">
                  <c:v>-22.265756266835272</c:v>
                </c:pt>
                <c:pt idx="3">
                  <c:v>-16.245156353555647</c:v>
                </c:pt>
                <c:pt idx="4">
                  <c:v>-28.669363262019409</c:v>
                </c:pt>
                <c:pt idx="5">
                  <c:v>-35.432799335390371</c:v>
                </c:pt>
                <c:pt idx="6">
                  <c:v>-45.787581447948895</c:v>
                </c:pt>
                <c:pt idx="7">
                  <c:v>-47.72578170811002</c:v>
                </c:pt>
                <c:pt idx="8">
                  <c:v>-44.375959962234752</c:v>
                </c:pt>
                <c:pt idx="9">
                  <c:v>-42.097092916098013</c:v>
                </c:pt>
                <c:pt idx="10">
                  <c:v>-37.931574067556369</c:v>
                </c:pt>
                <c:pt idx="11">
                  <c:v>-32.837620842930605</c:v>
                </c:pt>
                <c:pt idx="12">
                  <c:v>-26.702731259162398</c:v>
                </c:pt>
                <c:pt idx="13">
                  <c:v>-7.8544639082182224</c:v>
                </c:pt>
                <c:pt idx="14">
                  <c:v>-1.8338639949385982</c:v>
                </c:pt>
                <c:pt idx="15">
                  <c:v>-1.9644813381177537</c:v>
                </c:pt>
                <c:pt idx="16">
                  <c:v>-9.4901002997812274</c:v>
                </c:pt>
                <c:pt idx="17">
                  <c:v>-15.927446434810658</c:v>
                </c:pt>
                <c:pt idx="18">
                  <c:v>-18.50870886800584</c:v>
                </c:pt>
                <c:pt idx="19">
                  <c:v>-19.103238590472589</c:v>
                </c:pt>
                <c:pt idx="20">
                  <c:v>-16.771735128002629</c:v>
                </c:pt>
                <c:pt idx="21">
                  <c:v>-21.059207468432184</c:v>
                </c:pt>
                <c:pt idx="22">
                  <c:v>-14.165059758102508</c:v>
                </c:pt>
                <c:pt idx="23">
                  <c:v>-5.1002034153236453</c:v>
                </c:pt>
                <c:pt idx="24">
                  <c:v>-1.0592074684321857</c:v>
                </c:pt>
                <c:pt idx="25">
                  <c:v>-54.8335348678415</c:v>
                </c:pt>
                <c:pt idx="26">
                  <c:v>-56.417159788794002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0D-0640-9EC7-C91A8E082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395424"/>
        <c:axId val="672700176"/>
      </c:scatterChart>
      <c:valAx>
        <c:axId val="25939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700176"/>
        <c:crosses val="autoZero"/>
        <c:crossBetween val="midCat"/>
      </c:valAx>
      <c:valAx>
        <c:axId val="67270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9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OG!$K$1</c:f>
              <c:strCache>
                <c:ptCount val="1"/>
                <c:pt idx="0">
                  <c:v>Theory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OG!$A$2:$A$24</c:f>
              <c:numCache>
                <c:formatCode>General</c:formatCode>
                <c:ptCount val="23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</c:numCache>
            </c:numRef>
          </c:xVal>
          <c:yVal>
            <c:numRef>
              <c:f>OG!$K$2:$K$24</c:f>
              <c:numCache>
                <c:formatCode>General</c:formatCode>
                <c:ptCount val="23"/>
                <c:pt idx="0">
                  <c:v>1.7626095425424836E-2</c:v>
                </c:pt>
                <c:pt idx="1">
                  <c:v>4.5956338259635264E-2</c:v>
                </c:pt>
                <c:pt idx="2">
                  <c:v>0.35202199625801622</c:v>
                </c:pt>
                <c:pt idx="3">
                  <c:v>0.21177118620747082</c:v>
                </c:pt>
                <c:pt idx="4">
                  <c:v>3.71306149110288E-2</c:v>
                </c:pt>
                <c:pt idx="5">
                  <c:v>1.5649501182092559E-2</c:v>
                </c:pt>
                <c:pt idx="6">
                  <c:v>9.402601454823193E-3</c:v>
                </c:pt>
                <c:pt idx="7">
                  <c:v>6.9615983246491429E-3</c:v>
                </c:pt>
                <c:pt idx="8">
                  <c:v>6.0088424772874668E-3</c:v>
                </c:pt>
                <c:pt idx="9">
                  <c:v>5.918223405501714E-3</c:v>
                </c:pt>
                <c:pt idx="10">
                  <c:v>6.6378710782924628E-3</c:v>
                </c:pt>
                <c:pt idx="11">
                  <c:v>8.6162844072860921E-3</c:v>
                </c:pt>
                <c:pt idx="12">
                  <c:v>1.3537031253537866E-2</c:v>
                </c:pt>
                <c:pt idx="13">
                  <c:v>2.8844678145977937E-2</c:v>
                </c:pt>
                <c:pt idx="14">
                  <c:v>0.12072938705892033</c:v>
                </c:pt>
                <c:pt idx="15">
                  <c:v>0.75022318369427898</c:v>
                </c:pt>
                <c:pt idx="16">
                  <c:v>6.4261316627705858E-2</c:v>
                </c:pt>
                <c:pt idx="17">
                  <c:v>2.1097117059596628E-2</c:v>
                </c:pt>
                <c:pt idx="18">
                  <c:v>1.1253334675069704E-2</c:v>
                </c:pt>
                <c:pt idx="19">
                  <c:v>7.719019359378557E-3</c:v>
                </c:pt>
                <c:pt idx="20">
                  <c:v>6.2791366320687214E-3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37-8940-A108-28C2B01D5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954512"/>
        <c:axId val="362891008"/>
      </c:scatterChart>
      <c:valAx>
        <c:axId val="36295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891008"/>
        <c:crosses val="autoZero"/>
        <c:crossBetween val="midCat"/>
      </c:valAx>
      <c:valAx>
        <c:axId val="36289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5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</a:t>
            </a:r>
            <a:r>
              <a:rPr lang="en-US" baseline="0"/>
              <a:t>bration</a:t>
            </a:r>
          </a:p>
        </c:rich>
      </c:tx>
      <c:layout>
        <c:manualLayout>
          <c:xMode val="edge"/>
          <c:yMode val="edge"/>
          <c:x val="0.4427499999999999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OG!$E$1</c:f>
              <c:strCache>
                <c:ptCount val="1"/>
                <c:pt idx="0">
                  <c:v>Iw/Itx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OG!$A$2:$A$24</c:f>
              <c:numCache>
                <c:formatCode>General</c:formatCode>
                <c:ptCount val="23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</c:numCache>
            </c:numRef>
          </c:xVal>
          <c:yVal>
            <c:numRef>
              <c:f>OG!$E$2:$E$24</c:f>
              <c:numCache>
                <c:formatCode>General</c:formatCode>
                <c:ptCount val="23"/>
                <c:pt idx="0">
                  <c:v>1.8479003906249996E-2</c:v>
                </c:pt>
                <c:pt idx="1">
                  <c:v>2.6406249999999999E-2</c:v>
                </c:pt>
                <c:pt idx="2">
                  <c:v>3.5156249999999993E-2</c:v>
                </c:pt>
                <c:pt idx="3">
                  <c:v>4.6494140624999986E-2</c:v>
                </c:pt>
                <c:pt idx="4">
                  <c:v>6.4072265624999999E-2</c:v>
                </c:pt>
                <c:pt idx="5">
                  <c:v>8.0869140624999988E-2</c:v>
                </c:pt>
                <c:pt idx="6">
                  <c:v>0.1097265625</c:v>
                </c:pt>
                <c:pt idx="7">
                  <c:v>0.14297851562499997</c:v>
                </c:pt>
                <c:pt idx="8">
                  <c:v>0.20816406249999994</c:v>
                </c:pt>
                <c:pt idx="9">
                  <c:v>0.22266601562499996</c:v>
                </c:pt>
                <c:pt idx="10">
                  <c:v>0.25</c:v>
                </c:pt>
                <c:pt idx="11">
                  <c:v>0.25946289062499994</c:v>
                </c:pt>
                <c:pt idx="12">
                  <c:v>0.2562890625</c:v>
                </c:pt>
                <c:pt idx="13">
                  <c:v>0.24071289062499995</c:v>
                </c:pt>
                <c:pt idx="14">
                  <c:v>0.21390624999999994</c:v>
                </c:pt>
                <c:pt idx="15">
                  <c:v>0.18868164062499992</c:v>
                </c:pt>
                <c:pt idx="16">
                  <c:v>0.15999999999999998</c:v>
                </c:pt>
                <c:pt idx="17">
                  <c:v>0.13368164062499996</c:v>
                </c:pt>
                <c:pt idx="18">
                  <c:v>0.105625</c:v>
                </c:pt>
                <c:pt idx="19">
                  <c:v>7.9101562499999986E-2</c:v>
                </c:pt>
                <c:pt idx="20">
                  <c:v>5.4931640624999986E-2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72-1544-A654-B85E2CE07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023600"/>
        <c:axId val="343000000"/>
      </c:scatterChart>
      <c:valAx>
        <c:axId val="26002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00000"/>
        <c:crosses val="autoZero"/>
        <c:crossBetween val="midCat"/>
      </c:valAx>
      <c:valAx>
        <c:axId val="34300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2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 vs Theory</a:t>
            </a:r>
            <a:r>
              <a:rPr lang="en-GB" baseline="0"/>
              <a:t> in dB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OG!$J$1</c:f>
              <c:strCache>
                <c:ptCount val="1"/>
                <c:pt idx="0">
                  <c:v>T(dB)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OG!$A$2:$A$24</c:f>
              <c:numCache>
                <c:formatCode>General</c:formatCode>
                <c:ptCount val="23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</c:numCache>
            </c:numRef>
          </c:xVal>
          <c:yVal>
            <c:numRef>
              <c:f>OG!$J$2:$J$24</c:f>
              <c:numCache>
                <c:formatCode>General</c:formatCode>
                <c:ptCount val="23"/>
                <c:pt idx="0">
                  <c:v>-16.646185659415003</c:v>
                </c:pt>
                <c:pt idx="1">
                  <c:v>-12.882426726573478</c:v>
                </c:pt>
                <c:pt idx="2">
                  <c:v>-6.0205999132796242</c:v>
                </c:pt>
                <c:pt idx="3">
                  <c:v>-5.1243530249523781</c:v>
                </c:pt>
                <c:pt idx="4">
                  <c:v>-8.9969433970600114</c:v>
                </c:pt>
                <c:pt idx="5">
                  <c:v>-15.207686107333419</c:v>
                </c:pt>
                <c:pt idx="6">
                  <c:v>-18.637683602050707</c:v>
                </c:pt>
                <c:pt idx="7">
                  <c:v>-20.218067260206496</c:v>
                </c:pt>
                <c:pt idx="8">
                  <c:v>-21.703432194736244</c:v>
                </c:pt>
                <c:pt idx="9">
                  <c:v>-22.141898799740879</c:v>
                </c:pt>
                <c:pt idx="10">
                  <c:v>-21.670921029001498</c:v>
                </c:pt>
                <c:pt idx="11">
                  <c:v>-21.046395146227823</c:v>
                </c:pt>
                <c:pt idx="12">
                  <c:v>-19.788138530051519</c:v>
                </c:pt>
                <c:pt idx="13">
                  <c:v>-17.640648640801608</c:v>
                </c:pt>
                <c:pt idx="14">
                  <c:v>-14.232477327386162</c:v>
                </c:pt>
                <c:pt idx="15">
                  <c:v>-7.2972709974090275</c:v>
                </c:pt>
                <c:pt idx="16">
                  <c:v>-3.607065213963522</c:v>
                </c:pt>
                <c:pt idx="17">
                  <c:v>-11.821292140529984</c:v>
                </c:pt>
                <c:pt idx="18">
                  <c:v>-17.113306741276112</c:v>
                </c:pt>
                <c:pt idx="19">
                  <c:v>-19.576214018601238</c:v>
                </c:pt>
                <c:pt idx="20">
                  <c:v>-21.044792361771908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B7-0242-A1DB-4A79B5D74315}"/>
            </c:ext>
          </c:extLst>
        </c:ser>
        <c:ser>
          <c:idx val="1"/>
          <c:order val="1"/>
          <c:tx>
            <c:strRef>
              <c:f>OG!$L$1</c:f>
              <c:strCache>
                <c:ptCount val="1"/>
                <c:pt idx="0">
                  <c:v>Theory (dB)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OG!$A$2:$A$24</c:f>
              <c:numCache>
                <c:formatCode>General</c:formatCode>
                <c:ptCount val="23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</c:numCache>
            </c:numRef>
          </c:xVal>
          <c:yVal>
            <c:numRef>
              <c:f>OG!$L$2:$L$24</c:f>
              <c:numCache>
                <c:formatCode>General</c:formatCode>
                <c:ptCount val="23"/>
                <c:pt idx="0">
                  <c:v>-17.538438829927909</c:v>
                </c:pt>
                <c:pt idx="1">
                  <c:v>-13.376545826162227</c:v>
                </c:pt>
                <c:pt idx="2">
                  <c:v>-4.5343019858148406</c:v>
                </c:pt>
                <c:pt idx="3">
                  <c:v>-6.7413313073642156</c:v>
                </c:pt>
                <c:pt idx="4">
                  <c:v>-14.3026785846963</c:v>
                </c:pt>
                <c:pt idx="5">
                  <c:v>-18.054995007576075</c:v>
                </c:pt>
                <c:pt idx="6">
                  <c:v>-20.267519718080187</c:v>
                </c:pt>
                <c:pt idx="7">
                  <c:v>-21.572910385669466</c:v>
                </c:pt>
                <c:pt idx="8">
                  <c:v>-22.212091809329294</c:v>
                </c:pt>
                <c:pt idx="9">
                  <c:v>-22.278086447946261</c:v>
                </c:pt>
                <c:pt idx="10">
                  <c:v>-21.779711867767521</c:v>
                </c:pt>
                <c:pt idx="11">
                  <c:v>-20.646799742323108</c:v>
                </c:pt>
                <c:pt idx="12">
                  <c:v>-18.684765684110516</c:v>
                </c:pt>
                <c:pt idx="13">
                  <c:v>-15.399343026134693</c:v>
                </c:pt>
                <c:pt idx="14">
                  <c:v>-9.1818700426794688</c:v>
                </c:pt>
                <c:pt idx="15">
                  <c:v>-1.2480951923765178</c:v>
                </c:pt>
                <c:pt idx="16">
                  <c:v>-11.920503805851608</c:v>
                </c:pt>
                <c:pt idx="17">
                  <c:v>-16.757768873872124</c:v>
                </c:pt>
                <c:pt idx="18">
                  <c:v>-19.487187649850615</c:v>
                </c:pt>
                <c:pt idx="19">
                  <c:v>-21.124378698536756</c:v>
                </c:pt>
                <c:pt idx="20">
                  <c:v>-22.021000667253908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B7-0242-A1DB-4A79B5D74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294064"/>
        <c:axId val="325295712"/>
      </c:scatterChart>
      <c:valAx>
        <c:axId val="32529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95712"/>
        <c:crosses val="autoZero"/>
        <c:crossBetween val="midCat"/>
      </c:valAx>
      <c:valAx>
        <c:axId val="32529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94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Redo!$A$2:$A$39</c:f>
              <c:numCache>
                <c:formatCode>General</c:formatCode>
                <c:ptCount val="38"/>
                <c:pt idx="0">
                  <c:v>1</c:v>
                </c:pt>
                <c:pt idx="1">
                  <c:v>1.05</c:v>
                </c:pt>
                <c:pt idx="2">
                  <c:v>1.08</c:v>
                </c:pt>
                <c:pt idx="3">
                  <c:v>1.1000000000000001</c:v>
                </c:pt>
                <c:pt idx="4">
                  <c:v>1.1200000000000001</c:v>
                </c:pt>
                <c:pt idx="5">
                  <c:v>1.1379999999999999</c:v>
                </c:pt>
                <c:pt idx="6">
                  <c:v>1.1499999999999999</c:v>
                </c:pt>
                <c:pt idx="7">
                  <c:v>1.2</c:v>
                </c:pt>
                <c:pt idx="8">
                  <c:v>1.25</c:v>
                </c:pt>
                <c:pt idx="9">
                  <c:v>1.3</c:v>
                </c:pt>
                <c:pt idx="10">
                  <c:v>1.35</c:v>
                </c:pt>
                <c:pt idx="11">
                  <c:v>1.4</c:v>
                </c:pt>
                <c:pt idx="12">
                  <c:v>1.45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2.15</c:v>
                </c:pt>
                <c:pt idx="21">
                  <c:v>2.2000000000000002</c:v>
                </c:pt>
                <c:pt idx="22">
                  <c:v>2.2440000000000002</c:v>
                </c:pt>
                <c:pt idx="23">
                  <c:v>2.25</c:v>
                </c:pt>
                <c:pt idx="24">
                  <c:v>2.27</c:v>
                </c:pt>
                <c:pt idx="25">
                  <c:v>2.2999999999999998</c:v>
                </c:pt>
                <c:pt idx="26">
                  <c:v>2.35</c:v>
                </c:pt>
                <c:pt idx="27">
                  <c:v>2.4</c:v>
                </c:pt>
                <c:pt idx="28">
                  <c:v>2.4500000000000002</c:v>
                </c:pt>
                <c:pt idx="29">
                  <c:v>2.5</c:v>
                </c:pt>
                <c:pt idx="31">
                  <c:v>2.5499999999999998</c:v>
                </c:pt>
                <c:pt idx="32">
                  <c:v>2.6</c:v>
                </c:pt>
                <c:pt idx="33">
                  <c:v>2.65</c:v>
                </c:pt>
                <c:pt idx="34">
                  <c:v>2.7</c:v>
                </c:pt>
                <c:pt idx="35">
                  <c:v>2.8</c:v>
                </c:pt>
                <c:pt idx="36">
                  <c:v>2.9</c:v>
                </c:pt>
                <c:pt idx="37">
                  <c:v>3</c:v>
                </c:pt>
              </c:numCache>
            </c:numRef>
          </c:xVal>
          <c:yVal>
            <c:numRef>
              <c:f>Redo!$H$2:$H$39</c:f>
              <c:numCache>
                <c:formatCode>General</c:formatCode>
                <c:ptCount val="38"/>
                <c:pt idx="0">
                  <c:v>6.770100857762279E-2</c:v>
                </c:pt>
                <c:pt idx="1">
                  <c:v>0.12727538349159973</c:v>
                </c:pt>
                <c:pt idx="2">
                  <c:v>5.7272262400467525E-2</c:v>
                </c:pt>
                <c:pt idx="3">
                  <c:v>0.20249999999999999</c:v>
                </c:pt>
                <c:pt idx="4">
                  <c:v>0.41775728732897094</c:v>
                </c:pt>
                <c:pt idx="5">
                  <c:v>0.49663649327298653</c:v>
                </c:pt>
                <c:pt idx="6">
                  <c:v>0.45484045429962144</c:v>
                </c:pt>
                <c:pt idx="7">
                  <c:v>0.14921346557364226</c:v>
                </c:pt>
                <c:pt idx="8">
                  <c:v>5.2792362501538008E-2</c:v>
                </c:pt>
                <c:pt idx="9">
                  <c:v>2.6545646878427035E-2</c:v>
                </c:pt>
                <c:pt idx="10">
                  <c:v>1.6541230913161148E-2</c:v>
                </c:pt>
                <c:pt idx="11">
                  <c:v>1.1602039950203711E-2</c:v>
                </c:pt>
                <c:pt idx="12">
                  <c:v>9.2273532480768757E-3</c:v>
                </c:pt>
                <c:pt idx="13">
                  <c:v>7.3634952520087657E-3</c:v>
                </c:pt>
                <c:pt idx="14">
                  <c:v>6.387650750585114E-3</c:v>
                </c:pt>
                <c:pt idx="15">
                  <c:v>6.0809010569711861E-3</c:v>
                </c:pt>
                <c:pt idx="16">
                  <c:v>6.6662977379798871E-3</c:v>
                </c:pt>
                <c:pt idx="17">
                  <c:v>8.7403021918402782E-3</c:v>
                </c:pt>
                <c:pt idx="18">
                  <c:v>1.420933102289435E-2</c:v>
                </c:pt>
                <c:pt idx="19">
                  <c:v>3.7519283163296571E-2</c:v>
                </c:pt>
                <c:pt idx="20">
                  <c:v>7.9925102629050573E-2</c:v>
                </c:pt>
                <c:pt idx="21">
                  <c:v>0.26363120276324342</c:v>
                </c:pt>
                <c:pt idx="22">
                  <c:v>0.82235810119259523</c:v>
                </c:pt>
                <c:pt idx="23">
                  <c:v>0.79268784487362054</c:v>
                </c:pt>
                <c:pt idx="24">
                  <c:v>0.47916434896760413</c:v>
                </c:pt>
                <c:pt idx="25">
                  <c:v>0.20061816486786907</c:v>
                </c:pt>
                <c:pt idx="26">
                  <c:v>7.2992449829926906E-2</c:v>
                </c:pt>
                <c:pt idx="27">
                  <c:v>3.4919906132027341E-2</c:v>
                </c:pt>
                <c:pt idx="28">
                  <c:v>2.014568158168574E-2</c:v>
                </c:pt>
                <c:pt idx="29">
                  <c:v>1.3384520710728836E-2</c:v>
                </c:pt>
                <c:pt idx="31">
                  <c:v>1.0248781095278348E-2</c:v>
                </c:pt>
                <c:pt idx="32">
                  <c:v>8.6810438498691866E-3</c:v>
                </c:pt>
                <c:pt idx="33">
                  <c:v>6.8738269545886733E-3</c:v>
                </c:pt>
                <c:pt idx="34">
                  <c:v>6.5905105587388052E-3</c:v>
                </c:pt>
                <c:pt idx="35">
                  <c:v>5.9698267022958093E-3</c:v>
                </c:pt>
                <c:pt idx="36">
                  <c:v>6.3469981577452175E-3</c:v>
                </c:pt>
                <c:pt idx="37">
                  <c:v>8.050451944397333E-3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AD-BC41-A293-7596CF3E5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513680"/>
        <c:axId val="1610515328"/>
      </c:scatterChart>
      <c:valAx>
        <c:axId val="161051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515328"/>
        <c:crosses val="autoZero"/>
        <c:crossBetween val="midCat"/>
      </c:valAx>
      <c:valAx>
        <c:axId val="1610515328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51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Redo!$J$1</c:f>
              <c:strCache>
                <c:ptCount val="1"/>
                <c:pt idx="0">
                  <c:v>Theory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Redo!$A$2:$A$39</c:f>
              <c:numCache>
                <c:formatCode>General</c:formatCode>
                <c:ptCount val="38"/>
                <c:pt idx="0">
                  <c:v>1</c:v>
                </c:pt>
                <c:pt idx="1">
                  <c:v>1.05</c:v>
                </c:pt>
                <c:pt idx="2">
                  <c:v>1.08</c:v>
                </c:pt>
                <c:pt idx="3">
                  <c:v>1.1000000000000001</c:v>
                </c:pt>
                <c:pt idx="4">
                  <c:v>1.1200000000000001</c:v>
                </c:pt>
                <c:pt idx="5">
                  <c:v>1.1379999999999999</c:v>
                </c:pt>
                <c:pt idx="6">
                  <c:v>1.1499999999999999</c:v>
                </c:pt>
                <c:pt idx="7">
                  <c:v>1.2</c:v>
                </c:pt>
                <c:pt idx="8">
                  <c:v>1.25</c:v>
                </c:pt>
                <c:pt idx="9">
                  <c:v>1.3</c:v>
                </c:pt>
                <c:pt idx="10">
                  <c:v>1.35</c:v>
                </c:pt>
                <c:pt idx="11">
                  <c:v>1.4</c:v>
                </c:pt>
                <c:pt idx="12">
                  <c:v>1.45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2.15</c:v>
                </c:pt>
                <c:pt idx="21">
                  <c:v>2.2000000000000002</c:v>
                </c:pt>
                <c:pt idx="22">
                  <c:v>2.2440000000000002</c:v>
                </c:pt>
                <c:pt idx="23">
                  <c:v>2.25</c:v>
                </c:pt>
                <c:pt idx="24">
                  <c:v>2.27</c:v>
                </c:pt>
                <c:pt idx="25">
                  <c:v>2.2999999999999998</c:v>
                </c:pt>
                <c:pt idx="26">
                  <c:v>2.35</c:v>
                </c:pt>
                <c:pt idx="27">
                  <c:v>2.4</c:v>
                </c:pt>
                <c:pt idx="28">
                  <c:v>2.4500000000000002</c:v>
                </c:pt>
                <c:pt idx="29">
                  <c:v>2.5</c:v>
                </c:pt>
                <c:pt idx="31">
                  <c:v>2.5499999999999998</c:v>
                </c:pt>
                <c:pt idx="32">
                  <c:v>2.6</c:v>
                </c:pt>
                <c:pt idx="33">
                  <c:v>2.65</c:v>
                </c:pt>
                <c:pt idx="34">
                  <c:v>2.7</c:v>
                </c:pt>
                <c:pt idx="35">
                  <c:v>2.8</c:v>
                </c:pt>
                <c:pt idx="36">
                  <c:v>2.9</c:v>
                </c:pt>
                <c:pt idx="37">
                  <c:v>3</c:v>
                </c:pt>
              </c:numCache>
            </c:numRef>
          </c:xVal>
          <c:yVal>
            <c:numRef>
              <c:f>Redo!$J$2:$J$39</c:f>
              <c:numCache>
                <c:formatCode>General</c:formatCode>
                <c:ptCount val="38"/>
                <c:pt idx="0">
                  <c:v>5.3650381576417626E-2</c:v>
                </c:pt>
                <c:pt idx="1">
                  <c:v>0.14243206333277042</c:v>
                </c:pt>
                <c:pt idx="2">
                  <c:v>0.34410692669261411</c:v>
                </c:pt>
                <c:pt idx="3">
                  <c:v>0.69704838844670514</c:v>
                </c:pt>
                <c:pt idx="4">
                  <c:v>0.99589887351652973</c:v>
                </c:pt>
                <c:pt idx="5">
                  <c:v>0.66162082873256078</c:v>
                </c:pt>
                <c:pt idx="6">
                  <c:v>0.43132918079518223</c:v>
                </c:pt>
                <c:pt idx="7">
                  <c:v>0.10413440749558957</c:v>
                </c:pt>
                <c:pt idx="8">
                  <c:v>4.4019699338131185E-2</c:v>
                </c:pt>
                <c:pt idx="9">
                  <c:v>2.4610843396996637E-2</c:v>
                </c:pt>
                <c:pt idx="10">
                  <c:v>1.6143515249180583E-2</c:v>
                </c:pt>
                <c:pt idx="11">
                  <c:v>1.1767247388095909E-2</c:v>
                </c:pt>
                <c:pt idx="12">
                  <c:v>9.2645868621744776E-3</c:v>
                </c:pt>
                <c:pt idx="13">
                  <c:v>7.7511512028111676E-3</c:v>
                </c:pt>
                <c:pt idx="14">
                  <c:v>6.2819110049773313E-3</c:v>
                </c:pt>
                <c:pt idx="15">
                  <c:v>6.0159231154714946E-3</c:v>
                </c:pt>
                <c:pt idx="16">
                  <c:v>6.7584132226440243E-3</c:v>
                </c:pt>
                <c:pt idx="17">
                  <c:v>9.0894791824511229E-3</c:v>
                </c:pt>
                <c:pt idx="18">
                  <c:v>1.561164462419015E-2</c:v>
                </c:pt>
                <c:pt idx="19">
                  <c:v>4.1306097799157462E-2</c:v>
                </c:pt>
                <c:pt idx="20">
                  <c:v>9.437651253457148E-2</c:v>
                </c:pt>
                <c:pt idx="21">
                  <c:v>0.36577407837050602</c:v>
                </c:pt>
                <c:pt idx="22">
                  <c:v>0.93060854365857593</c:v>
                </c:pt>
                <c:pt idx="23">
                  <c:v>0.80633263627845597</c:v>
                </c:pt>
                <c:pt idx="24">
                  <c:v>0.40498195568175716</c:v>
                </c:pt>
                <c:pt idx="25">
                  <c:v>0.16046859842502911</c:v>
                </c:pt>
                <c:pt idx="26">
                  <c:v>5.7745963521677844E-2</c:v>
                </c:pt>
                <c:pt idx="27">
                  <c:v>2.9737666092144607E-2</c:v>
                </c:pt>
                <c:pt idx="28">
                  <c:v>1.8558620119167018E-2</c:v>
                </c:pt>
                <c:pt idx="29">
                  <c:v>1.3072457322848161E-2</c:v>
                </c:pt>
                <c:pt idx="31">
                  <c:v>1.0030652182654688E-2</c:v>
                </c:pt>
                <c:pt idx="32">
                  <c:v>8.2198006933296326E-3</c:v>
                </c:pt>
                <c:pt idx="33">
                  <c:v>7.1091567940186661E-3</c:v>
                </c:pt>
                <c:pt idx="34">
                  <c:v>6.4423556880883409E-3</c:v>
                </c:pt>
                <c:pt idx="35">
                  <c:v>5.9926442168826612E-3</c:v>
                </c:pt>
                <c:pt idx="36">
                  <c:v>6.5350462664809355E-3</c:v>
                </c:pt>
                <c:pt idx="37">
                  <c:v>8.4795196869433022E-3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14-DC45-BCA2-040F94ED1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954512"/>
        <c:axId val="362891008"/>
      </c:scatterChart>
      <c:valAx>
        <c:axId val="36295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891008"/>
        <c:crosses val="autoZero"/>
        <c:crossBetween val="midCat"/>
      </c:valAx>
      <c:valAx>
        <c:axId val="36289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5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</a:t>
            </a:r>
            <a:r>
              <a:rPr lang="en-US" baseline="0"/>
              <a:t>bration</a:t>
            </a:r>
          </a:p>
        </c:rich>
      </c:tx>
      <c:layout>
        <c:manualLayout>
          <c:xMode val="edge"/>
          <c:yMode val="edge"/>
          <c:x val="0.4427499999999999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Redo!$F$1</c:f>
              <c:strCache>
                <c:ptCount val="1"/>
                <c:pt idx="0">
                  <c:v>Iw/Itx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Redo!$A$2:$A$39</c:f>
              <c:numCache>
                <c:formatCode>General</c:formatCode>
                <c:ptCount val="38"/>
                <c:pt idx="0">
                  <c:v>1</c:v>
                </c:pt>
                <c:pt idx="1">
                  <c:v>1.05</c:v>
                </c:pt>
                <c:pt idx="2">
                  <c:v>1.08</c:v>
                </c:pt>
                <c:pt idx="3">
                  <c:v>1.1000000000000001</c:v>
                </c:pt>
                <c:pt idx="4">
                  <c:v>1.1200000000000001</c:v>
                </c:pt>
                <c:pt idx="5">
                  <c:v>1.1379999999999999</c:v>
                </c:pt>
                <c:pt idx="6">
                  <c:v>1.1499999999999999</c:v>
                </c:pt>
                <c:pt idx="7">
                  <c:v>1.2</c:v>
                </c:pt>
                <c:pt idx="8">
                  <c:v>1.25</c:v>
                </c:pt>
                <c:pt idx="9">
                  <c:v>1.3</c:v>
                </c:pt>
                <c:pt idx="10">
                  <c:v>1.35</c:v>
                </c:pt>
                <c:pt idx="11">
                  <c:v>1.4</c:v>
                </c:pt>
                <c:pt idx="12">
                  <c:v>1.45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2.15</c:v>
                </c:pt>
                <c:pt idx="21">
                  <c:v>2.2000000000000002</c:v>
                </c:pt>
                <c:pt idx="22">
                  <c:v>2.2440000000000002</c:v>
                </c:pt>
                <c:pt idx="23">
                  <c:v>2.25</c:v>
                </c:pt>
                <c:pt idx="24">
                  <c:v>2.27</c:v>
                </c:pt>
                <c:pt idx="25">
                  <c:v>2.2999999999999998</c:v>
                </c:pt>
                <c:pt idx="26">
                  <c:v>2.35</c:v>
                </c:pt>
                <c:pt idx="27">
                  <c:v>2.4</c:v>
                </c:pt>
                <c:pt idx="28">
                  <c:v>2.4500000000000002</c:v>
                </c:pt>
                <c:pt idx="29">
                  <c:v>2.5</c:v>
                </c:pt>
                <c:pt idx="31">
                  <c:v>2.5499999999999998</c:v>
                </c:pt>
                <c:pt idx="32">
                  <c:v>2.6</c:v>
                </c:pt>
                <c:pt idx="33">
                  <c:v>2.65</c:v>
                </c:pt>
                <c:pt idx="34">
                  <c:v>2.7</c:v>
                </c:pt>
                <c:pt idx="35">
                  <c:v>2.8</c:v>
                </c:pt>
                <c:pt idx="36">
                  <c:v>2.9</c:v>
                </c:pt>
                <c:pt idx="37">
                  <c:v>3</c:v>
                </c:pt>
              </c:numCache>
            </c:numRef>
          </c:xVal>
          <c:yVal>
            <c:numRef>
              <c:f>Redo!$F$2:$F$39</c:f>
              <c:numCache>
                <c:formatCode>General</c:formatCode>
                <c:ptCount val="38"/>
                <c:pt idx="0">
                  <c:v>9.9999999999999964E-5</c:v>
                </c:pt>
                <c:pt idx="1">
                  <c:v>1.1613724196436986E-4</c:v>
                </c:pt>
                <c:pt idx="2">
                  <c:v>1.2903195400131964E-4</c:v>
                </c:pt>
                <c:pt idx="3">
                  <c:v>1.3573381091526061E-4</c:v>
                </c:pt>
                <c:pt idx="4">
                  <c:v>1.4260533509284566E-4</c:v>
                </c:pt>
                <c:pt idx="5">
                  <c:v>1.5203129418418323E-4</c:v>
                </c:pt>
                <c:pt idx="6">
                  <c:v>1.5685738523894802E-4</c:v>
                </c:pt>
                <c:pt idx="7">
                  <c:v>1.808111037798096E-4</c:v>
                </c:pt>
                <c:pt idx="8">
                  <c:v>2.106725421811669E-4</c:v>
                </c:pt>
                <c:pt idx="9">
                  <c:v>2.4281506268262793E-4</c:v>
                </c:pt>
                <c:pt idx="10">
                  <c:v>2.8210952964464125E-4</c:v>
                </c:pt>
                <c:pt idx="11">
                  <c:v>3.3315109812423412E-4</c:v>
                </c:pt>
                <c:pt idx="12">
                  <c:v>3.8843434819492878E-4</c:v>
                </c:pt>
                <c:pt idx="13">
                  <c:v>4.6454896785747945E-4</c:v>
                </c:pt>
                <c:pt idx="14">
                  <c:v>6.3230276180601362E-4</c:v>
                </c:pt>
                <c:pt idx="15">
                  <c:v>8.5968517296634915E-4</c:v>
                </c:pt>
                <c:pt idx="16">
                  <c:v>1.128438118578565E-3</c:v>
                </c:pt>
                <c:pt idx="17">
                  <c:v>1.3899142237722686E-3</c:v>
                </c:pt>
                <c:pt idx="18">
                  <c:v>1.6155716844188893E-3</c:v>
                </c:pt>
                <c:pt idx="19">
                  <c:v>1.7307215571684415E-3</c:v>
                </c:pt>
                <c:pt idx="20">
                  <c:v>1.7266848901875762E-3</c:v>
                </c:pt>
                <c:pt idx="21">
                  <c:v>1.7226529361862564E-3</c:v>
                </c:pt>
                <c:pt idx="22">
                  <c:v>1.6945612216042979E-3</c:v>
                </c:pt>
                <c:pt idx="23">
                  <c:v>1.6945612216042979E-3</c:v>
                </c:pt>
                <c:pt idx="24">
                  <c:v>1.6945612216042979E-3</c:v>
                </c:pt>
                <c:pt idx="25">
                  <c:v>1.6430035818644545E-3</c:v>
                </c:pt>
                <c:pt idx="26">
                  <c:v>1.5767838627580352E-3</c:v>
                </c:pt>
                <c:pt idx="27">
                  <c:v>1.478141200867188E-3</c:v>
                </c:pt>
                <c:pt idx="28">
                  <c:v>1.4153666698086529E-3</c:v>
                </c:pt>
                <c:pt idx="29">
                  <c:v>1.3326043924969365E-3</c:v>
                </c:pt>
                <c:pt idx="31">
                  <c:v>1.2489018757658591E-3</c:v>
                </c:pt>
                <c:pt idx="32">
                  <c:v>1.1645984541427087E-3</c:v>
                </c:pt>
                <c:pt idx="33">
                  <c:v>1.048376378546517E-3</c:v>
                </c:pt>
                <c:pt idx="34">
                  <c:v>9.7428834008860389E-4</c:v>
                </c:pt>
                <c:pt idx="35">
                  <c:v>7.4693420680554219E-4</c:v>
                </c:pt>
                <c:pt idx="36">
                  <c:v>5.474691299839757E-4</c:v>
                </c:pt>
                <c:pt idx="37">
                  <c:v>3.7515552832500702E-4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05-254A-8545-91B68B101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023600"/>
        <c:axId val="343000000"/>
      </c:scatterChart>
      <c:valAx>
        <c:axId val="26002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00000"/>
        <c:crosses val="autoZero"/>
        <c:crossBetween val="midCat"/>
      </c:valAx>
      <c:valAx>
        <c:axId val="34300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2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 vs Theory</a:t>
            </a:r>
            <a:r>
              <a:rPr lang="en-GB" baseline="0"/>
              <a:t> in dB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Redo!$I$1</c:f>
              <c:strCache>
                <c:ptCount val="1"/>
                <c:pt idx="0">
                  <c:v>T(dB)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Redo!$A$2:$A$39</c:f>
              <c:numCache>
                <c:formatCode>General</c:formatCode>
                <c:ptCount val="38"/>
                <c:pt idx="0">
                  <c:v>1</c:v>
                </c:pt>
                <c:pt idx="1">
                  <c:v>1.05</c:v>
                </c:pt>
                <c:pt idx="2">
                  <c:v>1.08</c:v>
                </c:pt>
                <c:pt idx="3">
                  <c:v>1.1000000000000001</c:v>
                </c:pt>
                <c:pt idx="4">
                  <c:v>1.1200000000000001</c:v>
                </c:pt>
                <c:pt idx="5">
                  <c:v>1.1379999999999999</c:v>
                </c:pt>
                <c:pt idx="6">
                  <c:v>1.1499999999999999</c:v>
                </c:pt>
                <c:pt idx="7">
                  <c:v>1.2</c:v>
                </c:pt>
                <c:pt idx="8">
                  <c:v>1.25</c:v>
                </c:pt>
                <c:pt idx="9">
                  <c:v>1.3</c:v>
                </c:pt>
                <c:pt idx="10">
                  <c:v>1.35</c:v>
                </c:pt>
                <c:pt idx="11">
                  <c:v>1.4</c:v>
                </c:pt>
                <c:pt idx="12">
                  <c:v>1.45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2.15</c:v>
                </c:pt>
                <c:pt idx="21">
                  <c:v>2.2000000000000002</c:v>
                </c:pt>
                <c:pt idx="22">
                  <c:v>2.2440000000000002</c:v>
                </c:pt>
                <c:pt idx="23">
                  <c:v>2.25</c:v>
                </c:pt>
                <c:pt idx="24">
                  <c:v>2.27</c:v>
                </c:pt>
                <c:pt idx="25">
                  <c:v>2.2999999999999998</c:v>
                </c:pt>
                <c:pt idx="26">
                  <c:v>2.35</c:v>
                </c:pt>
                <c:pt idx="27">
                  <c:v>2.4</c:v>
                </c:pt>
                <c:pt idx="28">
                  <c:v>2.4500000000000002</c:v>
                </c:pt>
                <c:pt idx="29">
                  <c:v>2.5</c:v>
                </c:pt>
                <c:pt idx="31">
                  <c:v>2.5499999999999998</c:v>
                </c:pt>
                <c:pt idx="32">
                  <c:v>2.6</c:v>
                </c:pt>
                <c:pt idx="33">
                  <c:v>2.65</c:v>
                </c:pt>
                <c:pt idx="34">
                  <c:v>2.7</c:v>
                </c:pt>
                <c:pt idx="35">
                  <c:v>2.8</c:v>
                </c:pt>
                <c:pt idx="36">
                  <c:v>2.9</c:v>
                </c:pt>
                <c:pt idx="37">
                  <c:v>3</c:v>
                </c:pt>
              </c:numCache>
            </c:numRef>
          </c:xVal>
          <c:yVal>
            <c:numRef>
              <c:f>Redo!$I$2:$I$39</c:f>
              <c:numCache>
                <c:formatCode>General</c:formatCode>
                <c:ptCount val="38"/>
                <c:pt idx="0">
                  <c:v>-11.694048613527666</c:v>
                </c:pt>
                <c:pt idx="1">
                  <c:v>-8.9525558572229027</c:v>
                </c:pt>
                <c:pt idx="2">
                  <c:v>-12.420556608078851</c:v>
                </c:pt>
                <c:pt idx="3">
                  <c:v>-6.9357497244931263</c:v>
                </c:pt>
                <c:pt idx="4">
                  <c:v>-3.7907596556585519</c:v>
                </c:pt>
                <c:pt idx="5">
                  <c:v>-3.0396137128008975</c:v>
                </c:pt>
                <c:pt idx="6">
                  <c:v>-3.4214091536126086</c:v>
                </c:pt>
                <c:pt idx="7">
                  <c:v>-8.2619198275847801</c:v>
                </c:pt>
                <c:pt idx="8">
                  <c:v>-12.774289025297584</c:v>
                </c:pt>
                <c:pt idx="9">
                  <c:v>-15.760066870751956</c:v>
                </c:pt>
                <c:pt idx="10">
                  <c:v>-17.8143217562369</c:v>
                </c:pt>
                <c:pt idx="11">
                  <c:v>-19.354656434259851</c:v>
                </c:pt>
                <c:pt idx="12">
                  <c:v>-20.3492285310139</c:v>
                </c:pt>
                <c:pt idx="13">
                  <c:v>-21.329159888780008</c:v>
                </c:pt>
                <c:pt idx="14">
                  <c:v>-21.94658837248668</c:v>
                </c:pt>
                <c:pt idx="15">
                  <c:v>-22.160320629844712</c:v>
                </c:pt>
                <c:pt idx="16">
                  <c:v>-21.761152932746384</c:v>
                </c:pt>
                <c:pt idx="17">
                  <c:v>-20.584735515784232</c:v>
                </c:pt>
                <c:pt idx="18">
                  <c:v>-18.474263682304869</c:v>
                </c:pt>
                <c:pt idx="19">
                  <c:v>-14.25745467766286</c:v>
                </c:pt>
                <c:pt idx="20">
                  <c:v>-10.973167973934439</c:v>
                </c:pt>
                <c:pt idx="21">
                  <c:v>-5.7900318897210248</c:v>
                </c:pt>
                <c:pt idx="22">
                  <c:v>-0.84939024910565575</c:v>
                </c:pt>
                <c:pt idx="23">
                  <c:v>-1.0089780125505117</c:v>
                </c:pt>
                <c:pt idx="24">
                  <c:v>-3.1951550201819874</c:v>
                </c:pt>
                <c:pt idx="25">
                  <c:v>-6.9762974656624372</c:v>
                </c:pt>
                <c:pt idx="26">
                  <c:v>-11.367220599724245</c:v>
                </c:pt>
                <c:pt idx="27">
                  <c:v>-14.569269323890722</c:v>
                </c:pt>
                <c:pt idx="28">
                  <c:v>-16.958180346961708</c:v>
                </c:pt>
                <c:pt idx="29">
                  <c:v>-18.733971759460474</c:v>
                </c:pt>
                <c:pt idx="31">
                  <c:v>-19.893277829079715</c:v>
                </c:pt>
                <c:pt idx="32">
                  <c:v>-20.614280500560817</c:v>
                </c:pt>
                <c:pt idx="33">
                  <c:v>-21.628014052237013</c:v>
                </c:pt>
                <c:pt idx="34">
                  <c:v>-21.810809398439197</c:v>
                </c:pt>
                <c:pt idx="35">
                  <c:v>-22.240382757934178</c:v>
                </c:pt>
                <c:pt idx="36">
                  <c:v>-21.974316277426379</c:v>
                </c:pt>
                <c:pt idx="37">
                  <c:v>-20.941797380857476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4E-F643-BBD2-F0A122B76AE6}"/>
            </c:ext>
          </c:extLst>
        </c:ser>
        <c:ser>
          <c:idx val="1"/>
          <c:order val="1"/>
          <c:tx>
            <c:strRef>
              <c:f>Redo!$K$1</c:f>
              <c:strCache>
                <c:ptCount val="1"/>
                <c:pt idx="0">
                  <c:v>Theory (dB)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Redo!$A$2:$A$39</c:f>
              <c:numCache>
                <c:formatCode>General</c:formatCode>
                <c:ptCount val="38"/>
                <c:pt idx="0">
                  <c:v>1</c:v>
                </c:pt>
                <c:pt idx="1">
                  <c:v>1.05</c:v>
                </c:pt>
                <c:pt idx="2">
                  <c:v>1.08</c:v>
                </c:pt>
                <c:pt idx="3">
                  <c:v>1.1000000000000001</c:v>
                </c:pt>
                <c:pt idx="4">
                  <c:v>1.1200000000000001</c:v>
                </c:pt>
                <c:pt idx="5">
                  <c:v>1.1379999999999999</c:v>
                </c:pt>
                <c:pt idx="6">
                  <c:v>1.1499999999999999</c:v>
                </c:pt>
                <c:pt idx="7">
                  <c:v>1.2</c:v>
                </c:pt>
                <c:pt idx="8">
                  <c:v>1.25</c:v>
                </c:pt>
                <c:pt idx="9">
                  <c:v>1.3</c:v>
                </c:pt>
                <c:pt idx="10">
                  <c:v>1.35</c:v>
                </c:pt>
                <c:pt idx="11">
                  <c:v>1.4</c:v>
                </c:pt>
                <c:pt idx="12">
                  <c:v>1.45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2.15</c:v>
                </c:pt>
                <c:pt idx="21">
                  <c:v>2.2000000000000002</c:v>
                </c:pt>
                <c:pt idx="22">
                  <c:v>2.2440000000000002</c:v>
                </c:pt>
                <c:pt idx="23">
                  <c:v>2.25</c:v>
                </c:pt>
                <c:pt idx="24">
                  <c:v>2.27</c:v>
                </c:pt>
                <c:pt idx="25">
                  <c:v>2.2999999999999998</c:v>
                </c:pt>
                <c:pt idx="26">
                  <c:v>2.35</c:v>
                </c:pt>
                <c:pt idx="27">
                  <c:v>2.4</c:v>
                </c:pt>
                <c:pt idx="28">
                  <c:v>2.4500000000000002</c:v>
                </c:pt>
                <c:pt idx="29">
                  <c:v>2.5</c:v>
                </c:pt>
                <c:pt idx="31">
                  <c:v>2.5499999999999998</c:v>
                </c:pt>
                <c:pt idx="32">
                  <c:v>2.6</c:v>
                </c:pt>
                <c:pt idx="33">
                  <c:v>2.65</c:v>
                </c:pt>
                <c:pt idx="34">
                  <c:v>2.7</c:v>
                </c:pt>
                <c:pt idx="35">
                  <c:v>2.8</c:v>
                </c:pt>
                <c:pt idx="36">
                  <c:v>2.9</c:v>
                </c:pt>
                <c:pt idx="37">
                  <c:v>3</c:v>
                </c:pt>
              </c:numCache>
            </c:numRef>
          </c:xVal>
          <c:yVal>
            <c:numRef>
              <c:f>Redo!$K$2:$K$39</c:f>
              <c:numCache>
                <c:formatCode>General</c:formatCode>
                <c:ptCount val="38"/>
                <c:pt idx="1">
                  <c:v>-8.4639223428740937</c:v>
                </c:pt>
                <c:pt idx="2">
                  <c:v>-4.6330658517011045</c:v>
                </c:pt>
                <c:pt idx="3">
                  <c:v>-1.5673707253906386</c:v>
                </c:pt>
                <c:pt idx="4">
                  <c:v>-1.7847588689571141E-2</c:v>
                </c:pt>
                <c:pt idx="5">
                  <c:v>-1.7939083105341249</c:v>
                </c:pt>
                <c:pt idx="6">
                  <c:v>-3.6519115945286789</c:v>
                </c:pt>
                <c:pt idx="7">
                  <c:v>-9.8240574967764065</c:v>
                </c:pt>
                <c:pt idx="8">
                  <c:v>-13.563529280760935</c:v>
                </c:pt>
                <c:pt idx="9">
                  <c:v>-16.088735030633295</c:v>
                </c:pt>
                <c:pt idx="10">
                  <c:v>-17.920018917270056</c:v>
                </c:pt>
                <c:pt idx="11">
                  <c:v>-19.293251160834895</c:v>
                </c:pt>
                <c:pt idx="12">
                  <c:v>-20.331739425057279</c:v>
                </c:pt>
                <c:pt idx="13">
                  <c:v>-21.10633791184085</c:v>
                </c:pt>
                <c:pt idx="14">
                  <c:v>-22.019082204878224</c:v>
                </c:pt>
                <c:pt idx="15">
                  <c:v>-22.206977227388613</c:v>
                </c:pt>
                <c:pt idx="16">
                  <c:v>-21.701552581326364</c:v>
                </c:pt>
                <c:pt idx="17">
                  <c:v>-20.414610006798593</c:v>
                </c:pt>
                <c:pt idx="18">
                  <c:v>-18.065513433445322</c:v>
                </c:pt>
                <c:pt idx="19">
                  <c:v>-13.839858310301993</c:v>
                </c:pt>
                <c:pt idx="20">
                  <c:v>-10.251360750432404</c:v>
                </c:pt>
                <c:pt idx="21">
                  <c:v>-4.3678707529356462</c:v>
                </c:pt>
                <c:pt idx="22">
                  <c:v>-0.31232964647429728</c:v>
                </c:pt>
                <c:pt idx="23">
                  <c:v>-0.93485761794596733</c:v>
                </c:pt>
                <c:pt idx="24">
                  <c:v>-3.9256432671723767</c:v>
                </c:pt>
                <c:pt idx="25">
                  <c:v>-7.9460994061105792</c:v>
                </c:pt>
                <c:pt idx="26">
                  <c:v>-12.384783678259272</c:v>
                </c:pt>
                <c:pt idx="27">
                  <c:v>-15.266931193069111</c:v>
                </c:pt>
                <c:pt idx="28">
                  <c:v>-17.31454317821343</c:v>
                </c:pt>
                <c:pt idx="29">
                  <c:v>-18.836427673205904</c:v>
                </c:pt>
                <c:pt idx="31">
                  <c:v>-19.986708286824772</c:v>
                </c:pt>
                <c:pt idx="32">
                  <c:v>-20.851387127320329</c:v>
                </c:pt>
                <c:pt idx="33">
                  <c:v>-21.48181907205695</c:v>
                </c:pt>
                <c:pt idx="34">
                  <c:v>-21.909553010764547</c:v>
                </c:pt>
                <c:pt idx="35">
                  <c:v>-22.223815055892299</c:v>
                </c:pt>
                <c:pt idx="36">
                  <c:v>-21.8475133337705</c:v>
                </c:pt>
                <c:pt idx="37">
                  <c:v>-20.716287471793571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4E-F643-BBD2-F0A122B76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294064"/>
        <c:axId val="325295712"/>
      </c:scatterChart>
      <c:valAx>
        <c:axId val="32529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95712"/>
        <c:crosses val="autoZero"/>
        <c:crossBetween val="midCat"/>
      </c:valAx>
      <c:valAx>
        <c:axId val="32529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94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'Lamb OG and Redo 2'!$A$2:$A$34</c:f>
              <c:numCache>
                <c:formatCode>General</c:formatCode>
                <c:ptCount val="33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18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30</c:v>
                </c:pt>
                <c:pt idx="19">
                  <c:v>33</c:v>
                </c:pt>
                <c:pt idx="20">
                  <c:v>36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48</c:v>
                </c:pt>
                <c:pt idx="29">
                  <c:v>51</c:v>
                </c:pt>
                <c:pt idx="30">
                  <c:v>54</c:v>
                </c:pt>
                <c:pt idx="31">
                  <c:v>57</c:v>
                </c:pt>
                <c:pt idx="32">
                  <c:v>60</c:v>
                </c:pt>
              </c:numCache>
            </c:numRef>
          </c:xVal>
          <c:yVal>
            <c:numRef>
              <c:f>'Lamb OG and Redo 2'!$B$2:$B$34</c:f>
              <c:numCache>
                <c:formatCode>General</c:formatCode>
                <c:ptCount val="33"/>
                <c:pt idx="0">
                  <c:v>1720</c:v>
                </c:pt>
                <c:pt idx="1">
                  <c:v>1160</c:v>
                </c:pt>
                <c:pt idx="2">
                  <c:v>354</c:v>
                </c:pt>
                <c:pt idx="3">
                  <c:v>120</c:v>
                </c:pt>
                <c:pt idx="6">
                  <c:v>75</c:v>
                </c:pt>
                <c:pt idx="9">
                  <c:v>92</c:v>
                </c:pt>
                <c:pt idx="10">
                  <c:v>250</c:v>
                </c:pt>
                <c:pt idx="11">
                  <c:v>756</c:v>
                </c:pt>
                <c:pt idx="14">
                  <c:v>839</c:v>
                </c:pt>
                <c:pt idx="17">
                  <c:v>410</c:v>
                </c:pt>
                <c:pt idx="18">
                  <c:v>360</c:v>
                </c:pt>
                <c:pt idx="19">
                  <c:v>412</c:v>
                </c:pt>
                <c:pt idx="20">
                  <c:v>592</c:v>
                </c:pt>
                <c:pt idx="21">
                  <c:v>1150</c:v>
                </c:pt>
                <c:pt idx="24">
                  <c:v>2130</c:v>
                </c:pt>
                <c:pt idx="27">
                  <c:v>2110</c:v>
                </c:pt>
                <c:pt idx="28">
                  <c:v>1850</c:v>
                </c:pt>
                <c:pt idx="29">
                  <c:v>806</c:v>
                </c:pt>
                <c:pt idx="30">
                  <c:v>168</c:v>
                </c:pt>
                <c:pt idx="31">
                  <c:v>88.8</c:v>
                </c:pt>
                <c:pt idx="32">
                  <c:v>68.8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DF-8D40-84D2-76935FFDD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862880"/>
        <c:axId val="884928112"/>
      </c:scatterChart>
      <c:valAx>
        <c:axId val="207086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928112"/>
        <c:crosses val="autoZero"/>
        <c:crossBetween val="midCat"/>
      </c:valAx>
      <c:valAx>
        <c:axId val="88492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86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95250</xdr:colOff>
      <xdr:row>2</xdr:row>
      <xdr:rowOff>12700</xdr:rowOff>
    </xdr:from>
    <xdr:to>
      <xdr:col>17</xdr:col>
      <xdr:colOff>539750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373192-38F3-120E-8E7B-7B27820FE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539750</xdr:colOff>
      <xdr:row>2</xdr:row>
      <xdr:rowOff>12700</xdr:rowOff>
    </xdr:from>
    <xdr:to>
      <xdr:col>23</xdr:col>
      <xdr:colOff>158750</xdr:colOff>
      <xdr:row>15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E4E035-0A23-69E0-9FB7-0800116138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57150</xdr:colOff>
      <xdr:row>17</xdr:row>
      <xdr:rowOff>88900</xdr:rowOff>
    </xdr:from>
    <xdr:to>
      <xdr:col>17</xdr:col>
      <xdr:colOff>501650</xdr:colOff>
      <xdr:row>30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08AE5A7-7616-FC4A-DAAE-B9558CEEA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679450</xdr:colOff>
      <xdr:row>17</xdr:row>
      <xdr:rowOff>139700</xdr:rowOff>
    </xdr:from>
    <xdr:to>
      <xdr:col>23</xdr:col>
      <xdr:colOff>298450</xdr:colOff>
      <xdr:row>31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2318FE-E1F4-148E-FF17-9D2C0BE7D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285750</xdr:colOff>
      <xdr:row>0</xdr:row>
      <xdr:rowOff>114300</xdr:rowOff>
    </xdr:from>
    <xdr:to>
      <xdr:col>16</xdr:col>
      <xdr:colOff>730250</xdr:colOff>
      <xdr:row>18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143E8D-A1AA-9C45-AE6C-F57805013E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730250</xdr:colOff>
      <xdr:row>0</xdr:row>
      <xdr:rowOff>114300</xdr:rowOff>
    </xdr:from>
    <xdr:to>
      <xdr:col>22</xdr:col>
      <xdr:colOff>349250</xdr:colOff>
      <xdr:row>18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A9C27A-BA69-1449-BADB-2656AA481C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247650</xdr:colOff>
      <xdr:row>19</xdr:row>
      <xdr:rowOff>190500</xdr:rowOff>
    </xdr:from>
    <xdr:to>
      <xdr:col>16</xdr:col>
      <xdr:colOff>692150</xdr:colOff>
      <xdr:row>37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774A51-14B1-0846-9D78-8EDDD9451B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44450</xdr:colOff>
      <xdr:row>20</xdr:row>
      <xdr:rowOff>38100</xdr:rowOff>
    </xdr:from>
    <xdr:to>
      <xdr:col>22</xdr:col>
      <xdr:colOff>488950</xdr:colOff>
      <xdr:row>37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F30C91-742A-DA45-9E4F-F7190F067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1361440</xdr:colOff>
      <xdr:row>36</xdr:row>
      <xdr:rowOff>186731</xdr:rowOff>
    </xdr:from>
    <xdr:to>
      <xdr:col>5</xdr:col>
      <xdr:colOff>329094</xdr:colOff>
      <xdr:row>51</xdr:row>
      <xdr:rowOff>1311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E35F4A-E1B7-C6C7-F38B-54C0AF94C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206518</xdr:colOff>
      <xdr:row>29</xdr:row>
      <xdr:rowOff>87180</xdr:rowOff>
    </xdr:from>
    <xdr:to>
      <xdr:col>17</xdr:col>
      <xdr:colOff>689200</xdr:colOff>
      <xdr:row>42</xdr:row>
      <xdr:rowOff>187141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8DD2FE-A075-78DE-3FE9-2EF1D38A3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mailto:mgg39@bath.ac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E6EF0-3BB9-8E47-A215-6A1DC9D2998E}">
  <dimension ref="A1:L24"/>
  <sheetViews>
    <sheetView topLeftCell="I1" zoomScale="119" workbookViewId="0">
      <selection activeCell="J31" sqref="J31"/>
    </sheetView>
  </sheetViews>
  <sheetFormatPr defaultColWidth="11.19921875" defaultRowHeight="15.6" x14ac:dyDescent="0.3"/>
  <sheetData>
    <row r="1" spans="1:12" x14ac:dyDescent="0.3">
      <c r="A1" t="s">
        <v>0</v>
      </c>
      <c r="B1" t="s">
        <v>2</v>
      </c>
      <c r="C1" t="s">
        <v>19</v>
      </c>
      <c r="D1" t="s">
        <v>3</v>
      </c>
      <c r="E1" t="s">
        <v>11</v>
      </c>
      <c r="F1" t="s">
        <v>20</v>
      </c>
      <c r="I1" t="s">
        <v>5</v>
      </c>
      <c r="J1" t="s">
        <v>8</v>
      </c>
      <c r="K1" t="s">
        <v>9</v>
      </c>
      <c r="L1" t="s">
        <v>10</v>
      </c>
    </row>
    <row r="2" spans="1:12" x14ac:dyDescent="0.3">
      <c r="A2">
        <f>1</f>
        <v>1</v>
      </c>
      <c r="B2">
        <v>1.74</v>
      </c>
      <c r="C2">
        <v>0.25600000000000001</v>
      </c>
      <c r="D2">
        <v>12.8</v>
      </c>
      <c r="E2">
        <f>B2^2/D2^2</f>
        <v>1.8479003906249996E-2</v>
      </c>
      <c r="F2">
        <f t="shared" ref="F2:F22" si="0">C2^2/D2^2</f>
        <v>3.9999999999999991E-4</v>
      </c>
      <c r="I2">
        <f>F2/E2</f>
        <v>2.1646188400052849E-2</v>
      </c>
      <c r="J2">
        <f>10*LOG(I2)</f>
        <v>-16.646185659415003</v>
      </c>
      <c r="K2">
        <f>(1+0.25*((8730*4394/(1000*1473))^2)*(SIN(2*PI()*A2*1000000*0.00177/4394)^2))^-1</f>
        <v>1.7626095425424836E-2</v>
      </c>
      <c r="L2">
        <f>10*LOG10(K2)</f>
        <v>-17.538438829927909</v>
      </c>
    </row>
    <row r="3" spans="1:12" x14ac:dyDescent="0.3">
      <c r="A3">
        <f>1.1</f>
        <v>1.1000000000000001</v>
      </c>
      <c r="B3">
        <v>2.08</v>
      </c>
      <c r="C3">
        <v>0.47199999999999998</v>
      </c>
      <c r="D3">
        <v>12.8</v>
      </c>
      <c r="E3">
        <f t="shared" ref="E3:E22" si="1">B3^2/D3^2</f>
        <v>2.6406249999999999E-2</v>
      </c>
      <c r="F3">
        <f t="shared" si="0"/>
        <v>1.3597656249999996E-3</v>
      </c>
      <c r="I3">
        <f t="shared" ref="I3:I22" si="2">F3/E3</f>
        <v>5.1494082840236675E-2</v>
      </c>
      <c r="J3">
        <f t="shared" ref="J3:J22" si="3">10*LOG(I3)</f>
        <v>-12.882426726573478</v>
      </c>
      <c r="K3">
        <f t="shared" ref="K3:K22" si="4">(1+0.25*((8730*4394/(1000*1473))^2)*(SIN(2*PI()*A3*1000000*0.00177/4394)^2))^-1</f>
        <v>4.5956338259635264E-2</v>
      </c>
      <c r="L3">
        <f t="shared" ref="L3:L22" si="5">10*LOG10(K3)</f>
        <v>-13.376545826162227</v>
      </c>
    </row>
    <row r="4" spans="1:12" x14ac:dyDescent="0.3">
      <c r="A4">
        <f>1.2</f>
        <v>1.2</v>
      </c>
      <c r="B4">
        <v>2.4</v>
      </c>
      <c r="C4">
        <v>1.2</v>
      </c>
      <c r="D4">
        <v>12.8</v>
      </c>
      <c r="E4">
        <f t="shared" si="1"/>
        <v>3.5156249999999993E-2</v>
      </c>
      <c r="F4">
        <f t="shared" si="0"/>
        <v>8.7890624999999983E-3</v>
      </c>
      <c r="I4">
        <f t="shared" si="2"/>
        <v>0.25</v>
      </c>
      <c r="J4">
        <f t="shared" si="3"/>
        <v>-6.0205999132796242</v>
      </c>
      <c r="K4">
        <f t="shared" si="4"/>
        <v>0.35202199625801622</v>
      </c>
      <c r="L4">
        <f t="shared" si="5"/>
        <v>-4.5343019858148406</v>
      </c>
    </row>
    <row r="5" spans="1:12" x14ac:dyDescent="0.3">
      <c r="A5">
        <f>1.3</f>
        <v>1.3</v>
      </c>
      <c r="B5">
        <v>2.76</v>
      </c>
      <c r="C5">
        <v>1.53</v>
      </c>
      <c r="D5">
        <v>12.8</v>
      </c>
      <c r="E5">
        <f t="shared" si="1"/>
        <v>4.6494140624999986E-2</v>
      </c>
      <c r="F5">
        <f t="shared" si="0"/>
        <v>1.4287719726562497E-2</v>
      </c>
      <c r="I5">
        <f t="shared" si="2"/>
        <v>0.3073015122873346</v>
      </c>
      <c r="J5">
        <f t="shared" si="3"/>
        <v>-5.1243530249523781</v>
      </c>
      <c r="K5">
        <f t="shared" si="4"/>
        <v>0.21177118620747082</v>
      </c>
      <c r="L5">
        <f t="shared" si="5"/>
        <v>-6.7413313073642156</v>
      </c>
    </row>
    <row r="6" spans="1:12" x14ac:dyDescent="0.3">
      <c r="A6">
        <f>1.4</f>
        <v>1.4</v>
      </c>
      <c r="B6">
        <v>3.24</v>
      </c>
      <c r="C6">
        <v>1.1499999999999999</v>
      </c>
      <c r="D6">
        <v>12.8</v>
      </c>
      <c r="E6">
        <f t="shared" si="1"/>
        <v>6.4072265624999999E-2</v>
      </c>
      <c r="F6">
        <f t="shared" si="0"/>
        <v>8.0718994140624965E-3</v>
      </c>
      <c r="I6">
        <f t="shared" si="2"/>
        <v>0.12598117664990088</v>
      </c>
      <c r="J6">
        <f t="shared" si="3"/>
        <v>-8.9969433970600114</v>
      </c>
      <c r="K6">
        <f t="shared" si="4"/>
        <v>3.71306149110288E-2</v>
      </c>
      <c r="L6">
        <f t="shared" si="5"/>
        <v>-14.3026785846963</v>
      </c>
    </row>
    <row r="7" spans="1:12" x14ac:dyDescent="0.3">
      <c r="A7">
        <f>1.5</f>
        <v>1.5</v>
      </c>
      <c r="B7">
        <v>3.64</v>
      </c>
      <c r="C7">
        <v>0.63200000000000001</v>
      </c>
      <c r="D7">
        <v>12.8</v>
      </c>
      <c r="E7">
        <f t="shared" si="1"/>
        <v>8.0869140624999988E-2</v>
      </c>
      <c r="F7">
        <f t="shared" si="0"/>
        <v>2.4378906249999995E-3</v>
      </c>
      <c r="I7">
        <f t="shared" si="2"/>
        <v>3.014611761864509E-2</v>
      </c>
      <c r="J7">
        <f t="shared" si="3"/>
        <v>-15.207686107333419</v>
      </c>
      <c r="K7">
        <f t="shared" si="4"/>
        <v>1.5649501182092559E-2</v>
      </c>
      <c r="L7">
        <f t="shared" si="5"/>
        <v>-18.054995007576075</v>
      </c>
    </row>
    <row r="8" spans="1:12" x14ac:dyDescent="0.3">
      <c r="A8">
        <f>1.6</f>
        <v>1.6</v>
      </c>
      <c r="B8">
        <v>4.24</v>
      </c>
      <c r="C8">
        <v>0.496</v>
      </c>
      <c r="D8">
        <v>12.8</v>
      </c>
      <c r="E8">
        <f t="shared" si="1"/>
        <v>0.1097265625</v>
      </c>
      <c r="F8">
        <f t="shared" si="0"/>
        <v>1.5015624999999996E-3</v>
      </c>
      <c r="I8">
        <f t="shared" si="2"/>
        <v>1.3684585261658951E-2</v>
      </c>
      <c r="J8">
        <f t="shared" si="3"/>
        <v>-18.637683602050707</v>
      </c>
      <c r="K8">
        <f t="shared" si="4"/>
        <v>9.402601454823193E-3</v>
      </c>
      <c r="L8">
        <f t="shared" si="5"/>
        <v>-20.267519718080187</v>
      </c>
    </row>
    <row r="9" spans="1:12" x14ac:dyDescent="0.3">
      <c r="A9">
        <f>1.7</f>
        <v>1.7</v>
      </c>
      <c r="B9">
        <v>4.84</v>
      </c>
      <c r="C9">
        <v>0.47199999999999998</v>
      </c>
      <c r="D9">
        <v>12.8</v>
      </c>
      <c r="E9">
        <f t="shared" si="1"/>
        <v>0.14297851562499997</v>
      </c>
      <c r="F9">
        <f t="shared" si="0"/>
        <v>1.3597656249999996E-3</v>
      </c>
      <c r="I9">
        <f t="shared" si="2"/>
        <v>9.5102793525032436E-3</v>
      </c>
      <c r="J9">
        <f t="shared" si="3"/>
        <v>-20.218067260206496</v>
      </c>
      <c r="K9">
        <f t="shared" si="4"/>
        <v>6.9615983246491429E-3</v>
      </c>
      <c r="L9">
        <f t="shared" si="5"/>
        <v>-21.572910385669466</v>
      </c>
    </row>
    <row r="10" spans="1:12" x14ac:dyDescent="0.3">
      <c r="A10">
        <v>1.8</v>
      </c>
      <c r="B10">
        <v>5.84</v>
      </c>
      <c r="C10">
        <v>0.48</v>
      </c>
      <c r="D10">
        <v>12.8</v>
      </c>
      <c r="E10">
        <f t="shared" si="1"/>
        <v>0.20816406249999994</v>
      </c>
      <c r="F10">
        <f t="shared" si="0"/>
        <v>1.4062499999999997E-3</v>
      </c>
      <c r="I10">
        <f t="shared" si="2"/>
        <v>6.7554888346781769E-3</v>
      </c>
      <c r="J10">
        <f t="shared" si="3"/>
        <v>-21.703432194736244</v>
      </c>
      <c r="K10">
        <f t="shared" si="4"/>
        <v>6.0088424772874668E-3</v>
      </c>
      <c r="L10">
        <f t="shared" si="5"/>
        <v>-22.212091809329294</v>
      </c>
    </row>
    <row r="11" spans="1:12" x14ac:dyDescent="0.3">
      <c r="A11">
        <f>1.9</f>
        <v>1.9</v>
      </c>
      <c r="B11">
        <v>6.04</v>
      </c>
      <c r="C11">
        <v>0.47199999999999998</v>
      </c>
      <c r="D11">
        <v>12.8</v>
      </c>
      <c r="E11">
        <f t="shared" si="1"/>
        <v>0.22266601562499996</v>
      </c>
      <c r="F11">
        <f t="shared" si="0"/>
        <v>1.3597656249999996E-3</v>
      </c>
      <c r="I11">
        <f t="shared" si="2"/>
        <v>6.1067497039603517E-3</v>
      </c>
      <c r="J11">
        <f t="shared" si="3"/>
        <v>-22.141898799740879</v>
      </c>
      <c r="K11">
        <f t="shared" si="4"/>
        <v>5.918223405501714E-3</v>
      </c>
      <c r="L11">
        <f t="shared" si="5"/>
        <v>-22.278086447946261</v>
      </c>
    </row>
    <row r="12" spans="1:12" x14ac:dyDescent="0.3">
      <c r="A12">
        <f>2</f>
        <v>2</v>
      </c>
      <c r="B12">
        <v>6.4</v>
      </c>
      <c r="C12">
        <v>0.52800000000000002</v>
      </c>
      <c r="D12">
        <v>12.8</v>
      </c>
      <c r="E12">
        <f t="shared" si="1"/>
        <v>0.25</v>
      </c>
      <c r="F12">
        <f t="shared" si="0"/>
        <v>1.7015625E-3</v>
      </c>
      <c r="I12">
        <f t="shared" si="2"/>
        <v>6.8062499999999998E-3</v>
      </c>
      <c r="J12">
        <f t="shared" si="3"/>
        <v>-21.670921029001498</v>
      </c>
      <c r="K12">
        <f t="shared" si="4"/>
        <v>6.6378710782924628E-3</v>
      </c>
      <c r="L12">
        <f t="shared" si="5"/>
        <v>-21.779711867767521</v>
      </c>
    </row>
    <row r="13" spans="1:12" x14ac:dyDescent="0.3">
      <c r="A13">
        <f>2.1</f>
        <v>2.1</v>
      </c>
      <c r="B13">
        <v>6.52</v>
      </c>
      <c r="C13">
        <v>0.57799999999999996</v>
      </c>
      <c r="D13">
        <v>12.8</v>
      </c>
      <c r="E13">
        <f t="shared" si="1"/>
        <v>0.25946289062499994</v>
      </c>
      <c r="F13">
        <f t="shared" si="0"/>
        <v>2.0390869140624992E-3</v>
      </c>
      <c r="I13">
        <f t="shared" si="2"/>
        <v>7.858876886597161E-3</v>
      </c>
      <c r="J13">
        <f t="shared" si="3"/>
        <v>-21.046395146227823</v>
      </c>
      <c r="K13">
        <f t="shared" si="4"/>
        <v>8.6162844072860921E-3</v>
      </c>
      <c r="L13">
        <f t="shared" si="5"/>
        <v>-20.646799742323108</v>
      </c>
    </row>
    <row r="14" spans="1:12" x14ac:dyDescent="0.3">
      <c r="A14">
        <f>2.2</f>
        <v>2.2000000000000002</v>
      </c>
      <c r="B14">
        <v>6.48</v>
      </c>
      <c r="C14">
        <v>0.66400000000000003</v>
      </c>
      <c r="D14">
        <v>12.8</v>
      </c>
      <c r="E14">
        <f t="shared" si="1"/>
        <v>0.2562890625</v>
      </c>
      <c r="F14">
        <f t="shared" si="0"/>
        <v>2.6910156249999998E-3</v>
      </c>
      <c r="I14">
        <f t="shared" si="2"/>
        <v>1.0499923792104862E-2</v>
      </c>
      <c r="J14">
        <f t="shared" si="3"/>
        <v>-19.788138530051519</v>
      </c>
      <c r="K14">
        <f t="shared" si="4"/>
        <v>1.3537031253537866E-2</v>
      </c>
      <c r="L14">
        <f t="shared" si="5"/>
        <v>-18.684765684110516</v>
      </c>
    </row>
    <row r="15" spans="1:12" x14ac:dyDescent="0.3">
      <c r="A15">
        <f>2.3</f>
        <v>2.2999999999999998</v>
      </c>
      <c r="B15">
        <v>6.28</v>
      </c>
      <c r="C15">
        <v>0.82399999999999995</v>
      </c>
      <c r="D15">
        <v>12.8</v>
      </c>
      <c r="E15">
        <f t="shared" si="1"/>
        <v>0.24071289062499995</v>
      </c>
      <c r="F15">
        <f t="shared" si="0"/>
        <v>4.144140624999999E-3</v>
      </c>
      <c r="I15">
        <f t="shared" si="2"/>
        <v>1.7216114243985555E-2</v>
      </c>
      <c r="J15">
        <f t="shared" si="3"/>
        <v>-17.640648640801608</v>
      </c>
      <c r="K15">
        <f t="shared" si="4"/>
        <v>2.8844678145977937E-2</v>
      </c>
      <c r="L15">
        <f t="shared" si="5"/>
        <v>-15.399343026134693</v>
      </c>
    </row>
    <row r="16" spans="1:12" x14ac:dyDescent="0.3">
      <c r="A16">
        <f>2.4</f>
        <v>2.4</v>
      </c>
      <c r="B16">
        <v>5.92</v>
      </c>
      <c r="C16">
        <v>1.1499999999999999</v>
      </c>
      <c r="D16">
        <v>12.8</v>
      </c>
      <c r="E16">
        <f t="shared" si="1"/>
        <v>0.21390624999999994</v>
      </c>
      <c r="F16">
        <f t="shared" si="0"/>
        <v>8.0718994140624965E-3</v>
      </c>
      <c r="I16">
        <f t="shared" si="2"/>
        <v>3.7735687545653755E-2</v>
      </c>
      <c r="J16">
        <f t="shared" si="3"/>
        <v>-14.232477327386162</v>
      </c>
      <c r="K16">
        <f t="shared" si="4"/>
        <v>0.12072938705892033</v>
      </c>
      <c r="L16">
        <f t="shared" si="5"/>
        <v>-9.1818700426794688</v>
      </c>
    </row>
    <row r="17" spans="1:12" x14ac:dyDescent="0.3">
      <c r="A17">
        <f>2.5</f>
        <v>2.5</v>
      </c>
      <c r="B17">
        <v>5.56</v>
      </c>
      <c r="C17">
        <v>2.4</v>
      </c>
      <c r="D17">
        <v>12.8</v>
      </c>
      <c r="E17">
        <f t="shared" si="1"/>
        <v>0.18868164062499992</v>
      </c>
      <c r="F17">
        <f t="shared" si="0"/>
        <v>3.5156249999999993E-2</v>
      </c>
      <c r="I17">
        <f t="shared" si="2"/>
        <v>0.18632575953625594</v>
      </c>
      <c r="J17">
        <f t="shared" si="3"/>
        <v>-7.2972709974090275</v>
      </c>
      <c r="K17">
        <f t="shared" si="4"/>
        <v>0.75022318369427898</v>
      </c>
      <c r="L17">
        <f t="shared" si="5"/>
        <v>-1.2480951923765178</v>
      </c>
    </row>
    <row r="18" spans="1:12" x14ac:dyDescent="0.3">
      <c r="A18">
        <f>2.6</f>
        <v>2.6</v>
      </c>
      <c r="B18">
        <v>5.12</v>
      </c>
      <c r="C18">
        <v>3.38</v>
      </c>
      <c r="D18">
        <v>12.8</v>
      </c>
      <c r="E18">
        <f t="shared" si="1"/>
        <v>0.15999999999999998</v>
      </c>
      <c r="F18">
        <f t="shared" si="0"/>
        <v>6.9729003906249976E-2</v>
      </c>
      <c r="I18">
        <f t="shared" si="2"/>
        <v>0.43580627441406239</v>
      </c>
      <c r="J18">
        <f t="shared" si="3"/>
        <v>-3.607065213963522</v>
      </c>
      <c r="K18">
        <f t="shared" si="4"/>
        <v>6.4261316627705858E-2</v>
      </c>
      <c r="L18">
        <f t="shared" si="5"/>
        <v>-11.920503805851608</v>
      </c>
    </row>
    <row r="19" spans="1:12" x14ac:dyDescent="0.3">
      <c r="A19">
        <f>2.7</f>
        <v>2.7</v>
      </c>
      <c r="B19">
        <v>4.68</v>
      </c>
      <c r="C19">
        <v>1.2</v>
      </c>
      <c r="D19">
        <v>12.8</v>
      </c>
      <c r="E19">
        <f t="shared" si="1"/>
        <v>0.13368164062499996</v>
      </c>
      <c r="F19">
        <f t="shared" si="0"/>
        <v>8.7890624999999983E-3</v>
      </c>
      <c r="I19">
        <f t="shared" si="2"/>
        <v>6.574621959237345E-2</v>
      </c>
      <c r="J19">
        <f t="shared" si="3"/>
        <v>-11.821292140529984</v>
      </c>
      <c r="K19">
        <f t="shared" si="4"/>
        <v>2.1097117059596628E-2</v>
      </c>
      <c r="L19">
        <f t="shared" si="5"/>
        <v>-16.757768873872124</v>
      </c>
    </row>
    <row r="20" spans="1:12" x14ac:dyDescent="0.3">
      <c r="A20">
        <f>2.8</f>
        <v>2.8</v>
      </c>
      <c r="B20">
        <v>4.16</v>
      </c>
      <c r="C20">
        <v>0.57999999999999996</v>
      </c>
      <c r="D20">
        <v>12.8</v>
      </c>
      <c r="E20">
        <f t="shared" si="1"/>
        <v>0.105625</v>
      </c>
      <c r="F20">
        <f t="shared" si="0"/>
        <v>2.0532226562499996E-3</v>
      </c>
      <c r="I20">
        <f t="shared" si="2"/>
        <v>1.9438794378698221E-2</v>
      </c>
      <c r="J20">
        <f t="shared" si="3"/>
        <v>-17.113306741276112</v>
      </c>
      <c r="K20">
        <f t="shared" si="4"/>
        <v>1.1253334675069704E-2</v>
      </c>
      <c r="L20">
        <f t="shared" si="5"/>
        <v>-19.487187649850615</v>
      </c>
    </row>
    <row r="21" spans="1:12" x14ac:dyDescent="0.3">
      <c r="A21">
        <f>2.9</f>
        <v>2.9</v>
      </c>
      <c r="B21">
        <v>3.6</v>
      </c>
      <c r="C21">
        <v>0.378</v>
      </c>
      <c r="D21">
        <v>12.8</v>
      </c>
      <c r="E21">
        <f t="shared" si="1"/>
        <v>7.9101562499999986E-2</v>
      </c>
      <c r="F21">
        <f t="shared" si="0"/>
        <v>8.7209472656249985E-4</v>
      </c>
      <c r="I21">
        <f t="shared" si="2"/>
        <v>1.1025E-2</v>
      </c>
      <c r="J21">
        <f t="shared" si="3"/>
        <v>-19.576214018601238</v>
      </c>
      <c r="K21">
        <f t="shared" si="4"/>
        <v>7.719019359378557E-3</v>
      </c>
      <c r="L21">
        <f t="shared" si="5"/>
        <v>-21.124378698536756</v>
      </c>
    </row>
    <row r="22" spans="1:12" x14ac:dyDescent="0.3">
      <c r="A22">
        <f>3</f>
        <v>3</v>
      </c>
      <c r="B22">
        <v>3</v>
      </c>
      <c r="C22">
        <v>0.26600000000000001</v>
      </c>
      <c r="D22">
        <v>12.8</v>
      </c>
      <c r="E22">
        <f t="shared" si="1"/>
        <v>5.4931640624999986E-2</v>
      </c>
      <c r="F22">
        <f t="shared" si="0"/>
        <v>4.3186035156249998E-4</v>
      </c>
      <c r="I22">
        <f t="shared" si="2"/>
        <v>7.86177777777778E-3</v>
      </c>
      <c r="J22">
        <f t="shared" si="3"/>
        <v>-21.044792361771908</v>
      </c>
      <c r="K22">
        <f t="shared" si="4"/>
        <v>6.2791366320687214E-3</v>
      </c>
      <c r="L22">
        <f t="shared" si="5"/>
        <v>-22.021000667253908</v>
      </c>
    </row>
    <row r="24" spans="1:12" x14ac:dyDescent="0.3">
      <c r="D24" t="s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502-83AA-864D-8AD7-BFA5D4394DB2}">
  <dimension ref="A1:X48"/>
  <sheetViews>
    <sheetView topLeftCell="E10" zoomScale="87" workbookViewId="0">
      <selection activeCell="U44" sqref="U44"/>
    </sheetView>
  </sheetViews>
  <sheetFormatPr defaultColWidth="11.19921875" defaultRowHeight="15.6" x14ac:dyDescent="0.3"/>
  <cols>
    <col min="7" max="7" width="12.19921875" bestFit="1" customWidth="1"/>
    <col min="18" max="18" width="12.296875" bestFit="1" customWidth="1"/>
  </cols>
  <sheetData>
    <row r="1" spans="1:24" x14ac:dyDescent="0.3">
      <c r="A1" t="s">
        <v>0</v>
      </c>
      <c r="B1" t="s">
        <v>2</v>
      </c>
      <c r="C1" t="s">
        <v>1</v>
      </c>
      <c r="D1" t="s">
        <v>25</v>
      </c>
      <c r="E1" t="s">
        <v>3</v>
      </c>
      <c r="F1" t="s">
        <v>11</v>
      </c>
      <c r="G1" t="s">
        <v>12</v>
      </c>
      <c r="H1" t="s">
        <v>5</v>
      </c>
      <c r="I1" t="s">
        <v>8</v>
      </c>
      <c r="J1" t="s">
        <v>9</v>
      </c>
      <c r="K1" t="s">
        <v>10</v>
      </c>
    </row>
    <row r="2" spans="1:24" x14ac:dyDescent="0.3">
      <c r="A2">
        <f>1</f>
        <v>1</v>
      </c>
      <c r="B2">
        <v>0.20599999999999999</v>
      </c>
      <c r="C2">
        <v>5.3600000000000002E-2</v>
      </c>
      <c r="D2">
        <v>0.02</v>
      </c>
      <c r="E2">
        <v>20.6</v>
      </c>
      <c r="F2">
        <f>B2^2/E2^2</f>
        <v>9.9999999999999964E-5</v>
      </c>
      <c r="G2">
        <f>C2^2/E2^2</f>
        <v>6.770100857762277E-6</v>
      </c>
      <c r="H2">
        <f t="shared" ref="H2:H8" si="0">G2/F2</f>
        <v>6.770100857762279E-2</v>
      </c>
      <c r="I2">
        <f t="shared" ref="I2:I8" si="1">10*LOG(H2)</f>
        <v>-11.694048613527666</v>
      </c>
      <c r="J2">
        <f t="shared" ref="J2:J31" si="2">(1+0.25*((8357.88*V/(1000*1473))^2)*(SIN(2*PI()*A2*1000000*0.00203/V)^2))^-1</f>
        <v>5.3650381576417626E-2</v>
      </c>
      <c r="X2">
        <v>4540</v>
      </c>
    </row>
    <row r="3" spans="1:24" x14ac:dyDescent="0.3">
      <c r="A3">
        <v>1.05</v>
      </c>
      <c r="B3">
        <v>0.222</v>
      </c>
      <c r="C3">
        <v>7.9200000000000007E-2</v>
      </c>
      <c r="D3">
        <v>1.7999999999999999E-2</v>
      </c>
      <c r="E3">
        <v>20.6</v>
      </c>
      <c r="F3">
        <f t="shared" ref="F3:F38" si="3">B3^2/E3^2</f>
        <v>1.1613724196436986E-4</v>
      </c>
      <c r="G3">
        <f t="shared" ref="G3:G39" si="4">C3^2/E3^2</f>
        <v>1.4781412008671883E-5</v>
      </c>
      <c r="H3">
        <f t="shared" si="0"/>
        <v>0.12727538349159973</v>
      </c>
      <c r="I3">
        <f t="shared" si="1"/>
        <v>-8.9525558572229027</v>
      </c>
      <c r="J3">
        <f t="shared" si="2"/>
        <v>0.14243206333277042</v>
      </c>
      <c r="K3">
        <f t="shared" ref="K3:K8" si="5">10*LOG10(J3)</f>
        <v>-8.4639223428740937</v>
      </c>
    </row>
    <row r="4" spans="1:24" x14ac:dyDescent="0.3">
      <c r="A4">
        <v>1.08</v>
      </c>
      <c r="B4">
        <v>0.23400000000000001</v>
      </c>
      <c r="C4">
        <v>5.6000000000000001E-2</v>
      </c>
      <c r="D4">
        <v>1.6E-2</v>
      </c>
      <c r="E4">
        <v>20.6</v>
      </c>
      <c r="F4">
        <f t="shared" si="3"/>
        <v>1.2903195400131964E-4</v>
      </c>
      <c r="G4">
        <f t="shared" si="4"/>
        <v>7.389951927608634E-6</v>
      </c>
      <c r="H4">
        <f t="shared" si="0"/>
        <v>5.7272262400467525E-2</v>
      </c>
      <c r="I4">
        <f t="shared" si="1"/>
        <v>-12.420556608078851</v>
      </c>
      <c r="J4">
        <f t="shared" si="2"/>
        <v>0.34410692669261411</v>
      </c>
      <c r="K4">
        <f t="shared" si="5"/>
        <v>-4.6330658517011045</v>
      </c>
    </row>
    <row r="5" spans="1:24" x14ac:dyDescent="0.3">
      <c r="A5">
        <f>1.1</f>
        <v>1.1000000000000001</v>
      </c>
      <c r="B5">
        <v>0.24</v>
      </c>
      <c r="C5">
        <v>0.108</v>
      </c>
      <c r="D5">
        <v>8.0000000000000002E-3</v>
      </c>
      <c r="E5">
        <v>20.6</v>
      </c>
      <c r="F5">
        <f t="shared" si="3"/>
        <v>1.3573381091526061E-4</v>
      </c>
      <c r="G5">
        <f t="shared" si="4"/>
        <v>2.7486096710340271E-5</v>
      </c>
      <c r="H5">
        <f t="shared" si="0"/>
        <v>0.20249999999999999</v>
      </c>
      <c r="I5">
        <f t="shared" si="1"/>
        <v>-6.9357497244931263</v>
      </c>
      <c r="J5">
        <f t="shared" si="2"/>
        <v>0.69704838844670514</v>
      </c>
      <c r="K5">
        <f t="shared" si="5"/>
        <v>-1.5673707253906386</v>
      </c>
    </row>
    <row r="6" spans="1:24" x14ac:dyDescent="0.3">
      <c r="A6">
        <v>1.1200000000000001</v>
      </c>
      <c r="B6">
        <v>0.246</v>
      </c>
      <c r="C6">
        <v>0.159</v>
      </c>
      <c r="D6">
        <v>0.08</v>
      </c>
      <c r="E6">
        <v>20.6</v>
      </c>
      <c r="F6">
        <f t="shared" si="3"/>
        <v>1.4260533509284566E-4</v>
      </c>
      <c r="G6">
        <f t="shared" si="4"/>
        <v>5.9574417947026105E-5</v>
      </c>
      <c r="H6">
        <f t="shared" si="0"/>
        <v>0.41775728732897094</v>
      </c>
      <c r="I6">
        <f t="shared" si="1"/>
        <v>-3.7907596556585519</v>
      </c>
      <c r="J6">
        <f t="shared" si="2"/>
        <v>0.99589887351652973</v>
      </c>
      <c r="K6">
        <f t="shared" si="5"/>
        <v>-1.7847588689571141E-2</v>
      </c>
    </row>
    <row r="7" spans="1:24" x14ac:dyDescent="0.3">
      <c r="A7">
        <v>1.1379999999999999</v>
      </c>
      <c r="B7">
        <v>0.254</v>
      </c>
      <c r="C7">
        <v>0.17899999999999999</v>
      </c>
      <c r="D7">
        <v>0.08</v>
      </c>
      <c r="E7">
        <v>20.6</v>
      </c>
      <c r="F7">
        <f t="shared" si="3"/>
        <v>1.5203129418418323E-4</v>
      </c>
      <c r="G7">
        <f t="shared" si="4"/>
        <v>7.550428881138655E-5</v>
      </c>
      <c r="H7">
        <f t="shared" si="0"/>
        <v>0.49663649327298653</v>
      </c>
      <c r="I7">
        <f t="shared" si="1"/>
        <v>-3.0396137128008975</v>
      </c>
      <c r="J7">
        <f t="shared" si="2"/>
        <v>0.66162082873256078</v>
      </c>
      <c r="K7">
        <f t="shared" si="5"/>
        <v>-1.7939083105341249</v>
      </c>
    </row>
    <row r="8" spans="1:24" x14ac:dyDescent="0.3">
      <c r="A8">
        <v>1.1499999999999999</v>
      </c>
      <c r="B8">
        <v>0.25800000000000001</v>
      </c>
      <c r="C8">
        <v>0.17399999999999999</v>
      </c>
      <c r="D8">
        <v>0.06</v>
      </c>
      <c r="E8">
        <v>20.6</v>
      </c>
      <c r="F8">
        <f t="shared" si="3"/>
        <v>1.5685738523894802E-4</v>
      </c>
      <c r="G8">
        <f t="shared" si="4"/>
        <v>7.1345084362333853E-5</v>
      </c>
      <c r="H8">
        <f t="shared" si="0"/>
        <v>0.45484045429962144</v>
      </c>
      <c r="I8">
        <f t="shared" si="1"/>
        <v>-3.4214091536126086</v>
      </c>
      <c r="J8">
        <f t="shared" si="2"/>
        <v>0.43132918079518223</v>
      </c>
      <c r="K8">
        <f t="shared" si="5"/>
        <v>-3.6519115945286789</v>
      </c>
    </row>
    <row r="9" spans="1:24" x14ac:dyDescent="0.3">
      <c r="A9">
        <f>1.2</f>
        <v>1.2</v>
      </c>
      <c r="B9">
        <v>0.27700000000000002</v>
      </c>
      <c r="C9">
        <v>0.107</v>
      </c>
      <c r="D9">
        <v>0.08</v>
      </c>
      <c r="E9">
        <v>20.6</v>
      </c>
      <c r="F9">
        <f t="shared" si="3"/>
        <v>1.808111037798096E-4</v>
      </c>
      <c r="G9">
        <f t="shared" si="4"/>
        <v>2.6979451409180879E-5</v>
      </c>
      <c r="H9">
        <f t="shared" ref="H9:H39" si="6">G9/F9</f>
        <v>0.14921346557364226</v>
      </c>
      <c r="I9">
        <f t="shared" ref="I9:I39" si="7">10*LOG(H9)</f>
        <v>-8.2619198275847801</v>
      </c>
      <c r="J9">
        <f t="shared" si="2"/>
        <v>0.10413440749558957</v>
      </c>
      <c r="K9">
        <f t="shared" ref="K9:K39" si="8">10*LOG10(J9)</f>
        <v>-9.8240574967764065</v>
      </c>
    </row>
    <row r="10" spans="1:24" x14ac:dyDescent="0.3">
      <c r="A10">
        <v>1.25</v>
      </c>
      <c r="B10">
        <v>0.29899999999999999</v>
      </c>
      <c r="C10">
        <v>6.8699999999999997E-2</v>
      </c>
      <c r="D10">
        <v>0.06</v>
      </c>
      <c r="E10">
        <v>20.6</v>
      </c>
      <c r="F10">
        <f t="shared" si="3"/>
        <v>2.106725421811669E-4</v>
      </c>
      <c r="G10">
        <f t="shared" si="4"/>
        <v>1.1121901215948719E-5</v>
      </c>
      <c r="H10">
        <f t="shared" si="6"/>
        <v>5.2792362501538008E-2</v>
      </c>
      <c r="I10">
        <f t="shared" si="7"/>
        <v>-12.774289025297584</v>
      </c>
      <c r="J10">
        <f t="shared" si="2"/>
        <v>4.4019699338131185E-2</v>
      </c>
      <c r="K10">
        <f t="shared" si="8"/>
        <v>-13.563529280760935</v>
      </c>
    </row>
    <row r="11" spans="1:24" x14ac:dyDescent="0.3">
      <c r="A11">
        <f>1.3</f>
        <v>1.3</v>
      </c>
      <c r="B11">
        <v>0.32100000000000001</v>
      </c>
      <c r="C11">
        <v>5.2299999999999999E-2</v>
      </c>
      <c r="D11">
        <v>0.03</v>
      </c>
      <c r="E11">
        <v>20.6</v>
      </c>
      <c r="F11">
        <f t="shared" si="3"/>
        <v>2.4281506268262793E-4</v>
      </c>
      <c r="G11">
        <f t="shared" si="4"/>
        <v>6.4456829107361665E-6</v>
      </c>
      <c r="H11">
        <f t="shared" si="6"/>
        <v>2.6545646878427035E-2</v>
      </c>
      <c r="I11">
        <f t="shared" si="7"/>
        <v>-15.760066870751956</v>
      </c>
      <c r="J11">
        <f t="shared" si="2"/>
        <v>2.4610843396996637E-2</v>
      </c>
      <c r="K11">
        <f t="shared" si="8"/>
        <v>-16.088735030633295</v>
      </c>
    </row>
    <row r="12" spans="1:24" x14ac:dyDescent="0.3">
      <c r="A12">
        <v>1.35</v>
      </c>
      <c r="B12">
        <v>0.34599999999999997</v>
      </c>
      <c r="C12">
        <v>4.4499999999999998E-2</v>
      </c>
      <c r="D12">
        <v>0.03</v>
      </c>
      <c r="E12">
        <v>20.6</v>
      </c>
      <c r="F12">
        <f t="shared" si="3"/>
        <v>2.8210952964464125E-4</v>
      </c>
      <c r="G12">
        <f t="shared" si="4"/>
        <v>4.6664388726552913E-6</v>
      </c>
      <c r="H12">
        <f t="shared" si="6"/>
        <v>1.6541230913161148E-2</v>
      </c>
      <c r="I12">
        <f t="shared" si="7"/>
        <v>-17.8143217562369</v>
      </c>
      <c r="J12">
        <f t="shared" si="2"/>
        <v>1.6143515249180583E-2</v>
      </c>
      <c r="K12">
        <f t="shared" si="8"/>
        <v>-17.920018917270056</v>
      </c>
    </row>
    <row r="13" spans="1:24" x14ac:dyDescent="0.3">
      <c r="A13">
        <f>1.4</f>
        <v>1.4</v>
      </c>
      <c r="B13">
        <v>0.376</v>
      </c>
      <c r="C13">
        <v>4.0500000000000001E-2</v>
      </c>
      <c r="D13">
        <v>0.02</v>
      </c>
      <c r="E13">
        <v>20.6</v>
      </c>
      <c r="F13">
        <f t="shared" si="3"/>
        <v>3.3315109812423412E-4</v>
      </c>
      <c r="G13">
        <f t="shared" si="4"/>
        <v>3.8652323498916006E-6</v>
      </c>
      <c r="H13">
        <f t="shared" si="6"/>
        <v>1.1602039950203711E-2</v>
      </c>
      <c r="I13">
        <f t="shared" si="7"/>
        <v>-19.354656434259851</v>
      </c>
      <c r="J13">
        <f t="shared" si="2"/>
        <v>1.1767247388095909E-2</v>
      </c>
      <c r="K13">
        <f t="shared" si="8"/>
        <v>-19.293251160834895</v>
      </c>
    </row>
    <row r="14" spans="1:24" x14ac:dyDescent="0.3">
      <c r="A14">
        <v>1.45</v>
      </c>
      <c r="B14">
        <v>0.40600000000000003</v>
      </c>
      <c r="C14">
        <v>3.9E-2</v>
      </c>
      <c r="D14">
        <v>0.02</v>
      </c>
      <c r="E14">
        <v>20.6</v>
      </c>
      <c r="F14">
        <f t="shared" si="3"/>
        <v>3.8843434819492878E-4</v>
      </c>
      <c r="G14">
        <f t="shared" si="4"/>
        <v>3.5842209444811004E-6</v>
      </c>
      <c r="H14">
        <f t="shared" si="6"/>
        <v>9.2273532480768757E-3</v>
      </c>
      <c r="I14">
        <f t="shared" si="7"/>
        <v>-20.3492285310139</v>
      </c>
      <c r="J14">
        <f t="shared" si="2"/>
        <v>9.2645868621744776E-3</v>
      </c>
      <c r="K14">
        <f t="shared" si="8"/>
        <v>-20.331739425057279</v>
      </c>
    </row>
    <row r="15" spans="1:24" x14ac:dyDescent="0.3">
      <c r="A15">
        <f>1.5</f>
        <v>1.5</v>
      </c>
      <c r="B15">
        <v>0.44400000000000001</v>
      </c>
      <c r="C15">
        <v>3.8100000000000002E-2</v>
      </c>
      <c r="D15">
        <v>0.02</v>
      </c>
      <c r="E15">
        <v>20.6</v>
      </c>
      <c r="F15">
        <f t="shared" si="3"/>
        <v>4.6454896785747945E-4</v>
      </c>
      <c r="G15">
        <f t="shared" si="4"/>
        <v>3.4207041191441226E-6</v>
      </c>
      <c r="H15">
        <f t="shared" si="6"/>
        <v>7.3634952520087657E-3</v>
      </c>
      <c r="I15">
        <f t="shared" si="7"/>
        <v>-21.329159888780008</v>
      </c>
      <c r="J15">
        <f t="shared" si="2"/>
        <v>7.7511512028111676E-3</v>
      </c>
      <c r="K15">
        <f t="shared" si="8"/>
        <v>-21.10633791184085</v>
      </c>
    </row>
    <row r="16" spans="1:24" x14ac:dyDescent="0.3">
      <c r="A16">
        <f>1.6</f>
        <v>1.6</v>
      </c>
      <c r="B16">
        <v>0.51800000000000002</v>
      </c>
      <c r="C16">
        <v>4.1399999999999999E-2</v>
      </c>
      <c r="D16">
        <v>0.02</v>
      </c>
      <c r="E16">
        <v>20.6</v>
      </c>
      <c r="F16">
        <f t="shared" si="3"/>
        <v>6.3230276180601362E-4</v>
      </c>
      <c r="G16">
        <f t="shared" si="4"/>
        <v>4.0389292110472235E-6</v>
      </c>
      <c r="H16">
        <f t="shared" si="6"/>
        <v>6.387650750585114E-3</v>
      </c>
      <c r="I16">
        <f t="shared" si="7"/>
        <v>-21.94658837248668</v>
      </c>
      <c r="J16">
        <f t="shared" si="2"/>
        <v>6.2819110049773313E-3</v>
      </c>
      <c r="K16">
        <f t="shared" si="8"/>
        <v>-22.019082204878224</v>
      </c>
    </row>
    <row r="17" spans="1:11" x14ac:dyDescent="0.3">
      <c r="A17">
        <f>1.7</f>
        <v>1.7</v>
      </c>
      <c r="B17">
        <v>0.60399999999999998</v>
      </c>
      <c r="C17">
        <v>4.7100000000000003E-2</v>
      </c>
      <c r="D17">
        <v>0.02</v>
      </c>
      <c r="E17">
        <v>20.6</v>
      </c>
      <c r="F17">
        <f t="shared" si="3"/>
        <v>8.5968517296634915E-4</v>
      </c>
      <c r="G17">
        <f t="shared" si="4"/>
        <v>5.2276604769535297E-6</v>
      </c>
      <c r="H17">
        <f t="shared" si="6"/>
        <v>6.0809010569711861E-3</v>
      </c>
      <c r="I17">
        <f t="shared" si="7"/>
        <v>-22.160320629844712</v>
      </c>
      <c r="J17">
        <f t="shared" si="2"/>
        <v>6.0159231154714946E-3</v>
      </c>
      <c r="K17">
        <f t="shared" si="8"/>
        <v>-22.206977227388613</v>
      </c>
    </row>
    <row r="18" spans="1:11" x14ac:dyDescent="0.3">
      <c r="A18">
        <v>1.8</v>
      </c>
      <c r="B18">
        <v>0.69199999999999995</v>
      </c>
      <c r="C18">
        <v>5.6500000000000002E-2</v>
      </c>
      <c r="D18">
        <v>0.03</v>
      </c>
      <c r="E18">
        <v>20.6</v>
      </c>
      <c r="F18">
        <f t="shared" si="3"/>
        <v>1.128438118578565E-3</v>
      </c>
      <c r="G18">
        <f t="shared" si="4"/>
        <v>7.5225044773305678E-6</v>
      </c>
      <c r="H18">
        <f t="shared" si="6"/>
        <v>6.6662977379798871E-3</v>
      </c>
      <c r="I18">
        <f t="shared" si="7"/>
        <v>-21.761152932746384</v>
      </c>
      <c r="J18">
        <f t="shared" si="2"/>
        <v>6.7584132226440243E-3</v>
      </c>
      <c r="K18">
        <f t="shared" si="8"/>
        <v>-21.701552581326364</v>
      </c>
    </row>
    <row r="19" spans="1:11" x14ac:dyDescent="0.3">
      <c r="A19">
        <f>1.9</f>
        <v>1.9</v>
      </c>
      <c r="B19">
        <v>0.76800000000000002</v>
      </c>
      <c r="C19">
        <v>7.1800000000000003E-2</v>
      </c>
      <c r="D19">
        <v>0.02</v>
      </c>
      <c r="E19">
        <v>20.6</v>
      </c>
      <c r="F19">
        <f t="shared" si="3"/>
        <v>1.3899142237722686E-3</v>
      </c>
      <c r="G19">
        <f t="shared" si="4"/>
        <v>1.2148270336506738E-5</v>
      </c>
      <c r="H19">
        <f t="shared" si="6"/>
        <v>8.7403021918402782E-3</v>
      </c>
      <c r="I19">
        <f t="shared" si="7"/>
        <v>-20.584735515784232</v>
      </c>
      <c r="J19">
        <f t="shared" si="2"/>
        <v>9.0894791824511229E-3</v>
      </c>
      <c r="K19">
        <f t="shared" si="8"/>
        <v>-20.414610006798593</v>
      </c>
    </row>
    <row r="20" spans="1:11" x14ac:dyDescent="0.3">
      <c r="A20">
        <f>2</f>
        <v>2</v>
      </c>
      <c r="B20">
        <v>0.82799999999999996</v>
      </c>
      <c r="C20">
        <v>9.8699999999999996E-2</v>
      </c>
      <c r="D20">
        <v>0.03</v>
      </c>
      <c r="E20">
        <v>20.6</v>
      </c>
      <c r="F20">
        <f t="shared" si="3"/>
        <v>1.6155716844188893E-3</v>
      </c>
      <c r="G20">
        <f t="shared" si="4"/>
        <v>2.2956192855123003E-5</v>
      </c>
      <c r="H20">
        <f t="shared" si="6"/>
        <v>1.420933102289435E-2</v>
      </c>
      <c r="I20">
        <f t="shared" si="7"/>
        <v>-18.474263682304869</v>
      </c>
      <c r="J20">
        <f t="shared" si="2"/>
        <v>1.561164462419015E-2</v>
      </c>
      <c r="K20">
        <f t="shared" si="8"/>
        <v>-18.065513433445322</v>
      </c>
    </row>
    <row r="21" spans="1:11" x14ac:dyDescent="0.3">
      <c r="A21">
        <f>2.1</f>
        <v>2.1</v>
      </c>
      <c r="B21">
        <v>0.85699999999999998</v>
      </c>
      <c r="C21">
        <v>0.16600000000000001</v>
      </c>
      <c r="D21">
        <v>0.06</v>
      </c>
      <c r="E21">
        <v>20.6</v>
      </c>
      <c r="F21">
        <f t="shared" si="3"/>
        <v>1.7307215571684415E-3</v>
      </c>
      <c r="G21">
        <f t="shared" si="4"/>
        <v>6.4935432180224334E-5</v>
      </c>
      <c r="H21">
        <f t="shared" si="6"/>
        <v>3.7519283163296571E-2</v>
      </c>
      <c r="I21">
        <f t="shared" si="7"/>
        <v>-14.25745467766286</v>
      </c>
      <c r="J21">
        <f t="shared" si="2"/>
        <v>4.1306097799157462E-2</v>
      </c>
      <c r="K21">
        <f t="shared" si="8"/>
        <v>-13.839858310301993</v>
      </c>
    </row>
    <row r="22" spans="1:11" x14ac:dyDescent="0.3">
      <c r="A22">
        <v>2.15</v>
      </c>
      <c r="B22">
        <v>0.85599999999999998</v>
      </c>
      <c r="C22">
        <v>0.24199999999999999</v>
      </c>
      <c r="D22">
        <v>0.08</v>
      </c>
      <c r="E22">
        <v>20.6</v>
      </c>
      <c r="F22">
        <f t="shared" si="3"/>
        <v>1.7266848901875762E-3</v>
      </c>
      <c r="G22">
        <f t="shared" si="4"/>
        <v>1.3800546705627296E-4</v>
      </c>
      <c r="H22">
        <f t="shared" ref="H22:H26" si="9">G22/F22</f>
        <v>7.9925102629050573E-2</v>
      </c>
      <c r="I22">
        <f t="shared" si="7"/>
        <v>-10.973167973934439</v>
      </c>
      <c r="J22">
        <f t="shared" si="2"/>
        <v>9.437651253457148E-2</v>
      </c>
      <c r="K22">
        <f t="shared" si="8"/>
        <v>-10.251360750432404</v>
      </c>
    </row>
    <row r="23" spans="1:11" x14ac:dyDescent="0.3">
      <c r="A23">
        <f>2.2</f>
        <v>2.2000000000000002</v>
      </c>
      <c r="B23">
        <v>0.85499999999999998</v>
      </c>
      <c r="C23">
        <v>0.439</v>
      </c>
      <c r="D23">
        <v>0.12</v>
      </c>
      <c r="E23">
        <v>20.6</v>
      </c>
      <c r="F23">
        <f t="shared" si="3"/>
        <v>1.7226529361862564E-3</v>
      </c>
      <c r="G23">
        <f t="shared" si="4"/>
        <v>4.541450655104156E-4</v>
      </c>
      <c r="H23">
        <f t="shared" si="9"/>
        <v>0.26363120276324342</v>
      </c>
      <c r="I23">
        <f t="shared" si="7"/>
        <v>-5.7900318897210248</v>
      </c>
      <c r="J23">
        <f t="shared" si="2"/>
        <v>0.36577407837050602</v>
      </c>
      <c r="K23">
        <f t="shared" si="8"/>
        <v>-4.3678707529356462</v>
      </c>
    </row>
    <row r="24" spans="1:11" x14ac:dyDescent="0.3">
      <c r="A24">
        <v>2.2440000000000002</v>
      </c>
      <c r="B24">
        <v>0.84799999999999998</v>
      </c>
      <c r="C24">
        <v>0.76900000000000002</v>
      </c>
      <c r="D24">
        <v>0.14000000000000001</v>
      </c>
      <c r="E24">
        <v>20.6</v>
      </c>
      <c r="F24">
        <f t="shared" si="3"/>
        <v>1.6945612216042979E-3</v>
      </c>
      <c r="G24">
        <f t="shared" si="4"/>
        <v>1.393536148553115E-3</v>
      </c>
      <c r="H24">
        <f t="shared" si="9"/>
        <v>0.82235810119259523</v>
      </c>
      <c r="I24">
        <f t="shared" si="7"/>
        <v>-0.84939024910565575</v>
      </c>
      <c r="J24">
        <f t="shared" si="2"/>
        <v>0.93060854365857593</v>
      </c>
      <c r="K24">
        <f t="shared" si="8"/>
        <v>-0.31232964647429728</v>
      </c>
    </row>
    <row r="25" spans="1:11" x14ac:dyDescent="0.3">
      <c r="A25">
        <v>2.25</v>
      </c>
      <c r="B25">
        <v>0.84799999999999998</v>
      </c>
      <c r="C25">
        <v>0.755</v>
      </c>
      <c r="D25">
        <v>0.14000000000000001</v>
      </c>
      <c r="E25">
        <v>20.6</v>
      </c>
      <c r="F25">
        <f t="shared" si="3"/>
        <v>1.6945612216042979E-3</v>
      </c>
      <c r="G25">
        <f t="shared" si="4"/>
        <v>1.3432580827599206E-3</v>
      </c>
      <c r="H25">
        <f t="shared" si="9"/>
        <v>0.79268784487362054</v>
      </c>
      <c r="I25">
        <f t="shared" si="7"/>
        <v>-1.0089780125505117</v>
      </c>
      <c r="J25">
        <f t="shared" si="2"/>
        <v>0.80633263627845597</v>
      </c>
      <c r="K25">
        <f t="shared" si="8"/>
        <v>-0.93485761794596733</v>
      </c>
    </row>
    <row r="26" spans="1:11" x14ac:dyDescent="0.3">
      <c r="A26">
        <v>2.27</v>
      </c>
      <c r="B26">
        <v>0.84799999999999998</v>
      </c>
      <c r="C26">
        <v>0.58699999999999997</v>
      </c>
      <c r="D26">
        <v>0.12</v>
      </c>
      <c r="E26">
        <v>20.6</v>
      </c>
      <c r="F26">
        <f t="shared" si="3"/>
        <v>1.6945612216042979E-3</v>
      </c>
      <c r="G26">
        <f t="shared" si="4"/>
        <v>8.1197332453577132E-4</v>
      </c>
      <c r="H26">
        <f t="shared" si="9"/>
        <v>0.47916434896760413</v>
      </c>
      <c r="I26">
        <f t="shared" si="7"/>
        <v>-3.1951550201819874</v>
      </c>
      <c r="J26">
        <f t="shared" si="2"/>
        <v>0.40498195568175716</v>
      </c>
      <c r="K26">
        <f t="shared" si="8"/>
        <v>-3.9256432671723767</v>
      </c>
    </row>
    <row r="27" spans="1:11" x14ac:dyDescent="0.3">
      <c r="A27">
        <f>2.3</f>
        <v>2.2999999999999998</v>
      </c>
      <c r="B27">
        <v>0.83499999999999996</v>
      </c>
      <c r="C27">
        <v>0.374</v>
      </c>
      <c r="D27">
        <v>0.08</v>
      </c>
      <c r="E27">
        <v>20.6</v>
      </c>
      <c r="F27">
        <f t="shared" si="3"/>
        <v>1.6430035818644545E-3</v>
      </c>
      <c r="G27">
        <f t="shared" si="4"/>
        <v>3.2961636346498253E-4</v>
      </c>
      <c r="H27">
        <f t="shared" si="6"/>
        <v>0.20061816486786907</v>
      </c>
      <c r="I27">
        <f t="shared" si="7"/>
        <v>-6.9762974656624372</v>
      </c>
      <c r="J27">
        <f t="shared" si="2"/>
        <v>0.16046859842502911</v>
      </c>
      <c r="K27">
        <f t="shared" si="8"/>
        <v>-7.9460994061105792</v>
      </c>
    </row>
    <row r="28" spans="1:11" x14ac:dyDescent="0.3">
      <c r="A28">
        <v>2.35</v>
      </c>
      <c r="B28">
        <v>0.81799999999999995</v>
      </c>
      <c r="C28">
        <v>0.221</v>
      </c>
      <c r="D28">
        <v>0.05</v>
      </c>
      <c r="E28">
        <v>20.6</v>
      </c>
      <c r="F28">
        <f t="shared" si="3"/>
        <v>1.5767838627580352E-3</v>
      </c>
      <c r="G28">
        <f t="shared" si="4"/>
        <v>1.1509331699500422E-4</v>
      </c>
      <c r="H28">
        <f t="shared" si="6"/>
        <v>7.2992449829926906E-2</v>
      </c>
      <c r="I28">
        <f t="shared" si="7"/>
        <v>-11.367220599724245</v>
      </c>
      <c r="J28">
        <f t="shared" si="2"/>
        <v>5.7745963521677844E-2</v>
      </c>
      <c r="K28">
        <f t="shared" si="8"/>
        <v>-12.384783678259272</v>
      </c>
    </row>
    <row r="29" spans="1:11" x14ac:dyDescent="0.3">
      <c r="A29">
        <f>2.4</f>
        <v>2.4</v>
      </c>
      <c r="B29">
        <v>0.79200000000000004</v>
      </c>
      <c r="C29">
        <v>0.14799999999999999</v>
      </c>
      <c r="D29">
        <v>0.05</v>
      </c>
      <c r="E29">
        <v>20.6</v>
      </c>
      <c r="F29">
        <f t="shared" si="3"/>
        <v>1.478141200867188E-3</v>
      </c>
      <c r="G29">
        <f t="shared" si="4"/>
        <v>5.1616551984164372E-5</v>
      </c>
      <c r="H29">
        <f t="shared" si="6"/>
        <v>3.4919906132027341E-2</v>
      </c>
      <c r="I29">
        <f t="shared" si="7"/>
        <v>-14.569269323890722</v>
      </c>
      <c r="J29">
        <f t="shared" si="2"/>
        <v>2.9737666092144607E-2</v>
      </c>
      <c r="K29">
        <f t="shared" si="8"/>
        <v>-15.266931193069111</v>
      </c>
    </row>
    <row r="30" spans="1:11" x14ac:dyDescent="0.3">
      <c r="A30">
        <v>2.4500000000000002</v>
      </c>
      <c r="B30">
        <v>0.77500000000000002</v>
      </c>
      <c r="C30">
        <v>0.11</v>
      </c>
      <c r="D30">
        <v>0.03</v>
      </c>
      <c r="E30">
        <v>20.6</v>
      </c>
      <c r="F30">
        <f t="shared" si="3"/>
        <v>1.4153666698086529E-3</v>
      </c>
      <c r="G30">
        <f t="shared" si="4"/>
        <v>2.8513526251296063E-5</v>
      </c>
      <c r="H30">
        <f t="shared" si="6"/>
        <v>2.014568158168574E-2</v>
      </c>
      <c r="I30">
        <f t="shared" si="7"/>
        <v>-16.958180346961708</v>
      </c>
      <c r="J30">
        <f t="shared" si="2"/>
        <v>1.8558620119167018E-2</v>
      </c>
      <c r="K30">
        <f t="shared" si="8"/>
        <v>-17.31454317821343</v>
      </c>
    </row>
    <row r="31" spans="1:11" x14ac:dyDescent="0.3">
      <c r="A31">
        <f>2.5</f>
        <v>2.5</v>
      </c>
      <c r="B31">
        <v>0.752</v>
      </c>
      <c r="C31">
        <v>8.6999999999999994E-2</v>
      </c>
      <c r="D31">
        <v>0.02</v>
      </c>
      <c r="E31">
        <v>20.6</v>
      </c>
      <c r="F31">
        <f t="shared" si="3"/>
        <v>1.3326043924969365E-3</v>
      </c>
      <c r="G31">
        <f t="shared" si="4"/>
        <v>1.7836271090583463E-5</v>
      </c>
      <c r="H31">
        <f t="shared" si="6"/>
        <v>1.3384520710728836E-2</v>
      </c>
      <c r="I31">
        <f t="shared" si="7"/>
        <v>-18.733971759460474</v>
      </c>
      <c r="J31">
        <f t="shared" si="2"/>
        <v>1.3072457322848161E-2</v>
      </c>
      <c r="K31">
        <f t="shared" si="8"/>
        <v>-18.836427673205904</v>
      </c>
    </row>
    <row r="33" spans="1:18" x14ac:dyDescent="0.3">
      <c r="A33">
        <v>2.5499999999999998</v>
      </c>
      <c r="B33">
        <v>0.72799999999999998</v>
      </c>
      <c r="C33">
        <v>7.3700000000000002E-2</v>
      </c>
      <c r="D33">
        <v>0.02</v>
      </c>
      <c r="E33">
        <v>20.6</v>
      </c>
      <c r="F33">
        <f t="shared" si="3"/>
        <v>1.2489018757658591E-3</v>
      </c>
      <c r="G33">
        <f t="shared" si="4"/>
        <v>1.2799721934206805E-5</v>
      </c>
      <c r="H33">
        <f t="shared" si="6"/>
        <v>1.0248781095278348E-2</v>
      </c>
      <c r="I33">
        <f t="shared" si="7"/>
        <v>-19.893277829079715</v>
      </c>
      <c r="J33">
        <f t="shared" ref="J33:J39" si="10">(1+0.25*((8357.88*V/(1000*1473))^2)*(SIN(2*PI()*A33*1000000*0.00203/V)^2))^-1</f>
        <v>1.0030652182654688E-2</v>
      </c>
      <c r="K33">
        <f t="shared" si="8"/>
        <v>-19.986708286824772</v>
      </c>
    </row>
    <row r="34" spans="1:18" x14ac:dyDescent="0.3">
      <c r="A34">
        <f>2.6</f>
        <v>2.6</v>
      </c>
      <c r="B34">
        <v>0.70299999999999996</v>
      </c>
      <c r="C34">
        <v>6.5500000000000003E-2</v>
      </c>
      <c r="D34">
        <v>0.02</v>
      </c>
      <c r="E34">
        <v>20.6</v>
      </c>
      <c r="F34">
        <f t="shared" si="3"/>
        <v>1.1645984541427087E-3</v>
      </c>
      <c r="G34">
        <f t="shared" si="4"/>
        <v>1.0109930247902723E-5</v>
      </c>
      <c r="H34">
        <f t="shared" si="6"/>
        <v>8.6810438498691866E-3</v>
      </c>
      <c r="I34">
        <f t="shared" si="7"/>
        <v>-20.614280500560817</v>
      </c>
      <c r="J34">
        <f t="shared" si="10"/>
        <v>8.2198006933296326E-3</v>
      </c>
      <c r="K34">
        <f t="shared" si="8"/>
        <v>-20.851387127320329</v>
      </c>
    </row>
    <row r="35" spans="1:18" x14ac:dyDescent="0.3">
      <c r="A35">
        <v>2.65</v>
      </c>
      <c r="B35">
        <v>0.66700000000000004</v>
      </c>
      <c r="C35">
        <v>5.5300000000000002E-2</v>
      </c>
      <c r="D35">
        <v>0.02</v>
      </c>
      <c r="E35">
        <v>20.6</v>
      </c>
      <c r="F35">
        <f t="shared" si="3"/>
        <v>1.048376378546517E-3</v>
      </c>
      <c r="G35">
        <f t="shared" si="4"/>
        <v>7.2063578094071068E-6</v>
      </c>
      <c r="H35">
        <f t="shared" si="6"/>
        <v>6.8738269545886733E-3</v>
      </c>
      <c r="I35">
        <f t="shared" si="7"/>
        <v>-21.628014052237013</v>
      </c>
      <c r="J35">
        <f t="shared" si="10"/>
        <v>7.1091567940186661E-3</v>
      </c>
      <c r="K35">
        <f t="shared" si="8"/>
        <v>-21.48181907205695</v>
      </c>
    </row>
    <row r="36" spans="1:18" x14ac:dyDescent="0.3">
      <c r="A36">
        <f>2.7</f>
        <v>2.7</v>
      </c>
      <c r="B36">
        <v>0.64300000000000002</v>
      </c>
      <c r="C36">
        <v>5.2200000000000003E-2</v>
      </c>
      <c r="D36">
        <v>0.02</v>
      </c>
      <c r="E36">
        <v>20.6</v>
      </c>
      <c r="F36">
        <f t="shared" si="3"/>
        <v>9.7428834008860389E-4</v>
      </c>
      <c r="G36">
        <f t="shared" si="4"/>
        <v>6.4210575926100481E-6</v>
      </c>
      <c r="H36">
        <f t="shared" si="6"/>
        <v>6.5905105587388052E-3</v>
      </c>
      <c r="I36">
        <f t="shared" si="7"/>
        <v>-21.810809398439197</v>
      </c>
      <c r="J36">
        <f t="shared" si="10"/>
        <v>6.4423556880883409E-3</v>
      </c>
      <c r="K36">
        <f t="shared" si="8"/>
        <v>-21.909553010764547</v>
      </c>
    </row>
    <row r="37" spans="1:18" x14ac:dyDescent="0.3">
      <c r="A37">
        <f>2.8</f>
        <v>2.8</v>
      </c>
      <c r="B37">
        <v>0.56299999999999994</v>
      </c>
      <c r="C37">
        <v>4.3499999999999997E-2</v>
      </c>
      <c r="D37">
        <v>0.02</v>
      </c>
      <c r="E37">
        <v>20.6</v>
      </c>
      <c r="F37">
        <f t="shared" si="3"/>
        <v>7.4693420680554219E-4</v>
      </c>
      <c r="G37">
        <f t="shared" si="4"/>
        <v>4.4590677726458658E-6</v>
      </c>
      <c r="H37">
        <f t="shared" si="6"/>
        <v>5.9698267022958093E-3</v>
      </c>
      <c r="I37">
        <f t="shared" si="7"/>
        <v>-22.240382757934178</v>
      </c>
      <c r="J37">
        <f t="shared" si="10"/>
        <v>5.9926442168826612E-3</v>
      </c>
      <c r="K37">
        <f t="shared" si="8"/>
        <v>-22.223815055892299</v>
      </c>
    </row>
    <row r="38" spans="1:18" x14ac:dyDescent="0.3">
      <c r="A38">
        <f>2.9</f>
        <v>2.9</v>
      </c>
      <c r="B38">
        <v>0.48199999999999998</v>
      </c>
      <c r="C38">
        <v>3.8399999999999997E-2</v>
      </c>
      <c r="D38">
        <v>0.02</v>
      </c>
      <c r="E38">
        <v>20.6</v>
      </c>
      <c r="F38">
        <f t="shared" si="3"/>
        <v>5.474691299839757E-4</v>
      </c>
      <c r="G38">
        <f t="shared" si="4"/>
        <v>3.4747855594306709E-6</v>
      </c>
      <c r="H38">
        <f t="shared" si="6"/>
        <v>6.3469981577452175E-3</v>
      </c>
      <c r="I38">
        <f t="shared" si="7"/>
        <v>-21.974316277426379</v>
      </c>
      <c r="J38">
        <f t="shared" si="10"/>
        <v>6.5350462664809355E-3</v>
      </c>
      <c r="K38">
        <f t="shared" si="8"/>
        <v>-21.8475133337705</v>
      </c>
    </row>
    <row r="39" spans="1:18" x14ac:dyDescent="0.3">
      <c r="A39">
        <f>3</f>
        <v>3</v>
      </c>
      <c r="B39">
        <v>0.39900000000000002</v>
      </c>
      <c r="C39">
        <v>3.5799999999999998E-2</v>
      </c>
      <c r="D39">
        <v>0.02</v>
      </c>
      <c r="E39">
        <v>20.6</v>
      </c>
      <c r="F39">
        <f>B39^2/E39^2</f>
        <v>3.7515552832500702E-4</v>
      </c>
      <c r="G39">
        <f t="shared" si="4"/>
        <v>3.0201715524554615E-6</v>
      </c>
      <c r="H39">
        <f t="shared" si="6"/>
        <v>8.050451944397333E-3</v>
      </c>
      <c r="I39">
        <f t="shared" si="7"/>
        <v>-20.941797380857476</v>
      </c>
      <c r="J39">
        <f t="shared" si="10"/>
        <v>8.4795196869433022E-3</v>
      </c>
      <c r="K39">
        <f t="shared" si="8"/>
        <v>-20.716287471793571</v>
      </c>
    </row>
    <row r="40" spans="1:18" x14ac:dyDescent="0.3">
      <c r="E40" t="s">
        <v>21</v>
      </c>
      <c r="L40" t="s">
        <v>13</v>
      </c>
      <c r="Q40" s="1" t="s">
        <v>29</v>
      </c>
      <c r="R40">
        <v>7.0919999999999997E-2</v>
      </c>
    </row>
    <row r="41" spans="1:18" x14ac:dyDescent="0.3">
      <c r="L41" t="s">
        <v>14</v>
      </c>
      <c r="Q41" s="1" t="s">
        <v>30</v>
      </c>
      <c r="R41">
        <f>7.6*5.5*0.203/1000000</f>
        <v>8.4854000000000001E-6</v>
      </c>
    </row>
    <row r="42" spans="1:18" x14ac:dyDescent="0.3">
      <c r="L42" t="s">
        <v>15</v>
      </c>
      <c r="Q42" s="1" t="s">
        <v>31</v>
      </c>
      <c r="R42">
        <f>R40/R41</f>
        <v>8357.8853088834931</v>
      </c>
    </row>
    <row r="43" spans="1:18" x14ac:dyDescent="0.3">
      <c r="L43" t="s">
        <v>16</v>
      </c>
    </row>
    <row r="44" spans="1:18" x14ac:dyDescent="0.3">
      <c r="L44" t="s">
        <v>22</v>
      </c>
      <c r="N44" t="s">
        <v>23</v>
      </c>
      <c r="Q44" s="1" t="s">
        <v>29</v>
      </c>
      <c r="R44">
        <v>0.28370000000000001</v>
      </c>
    </row>
    <row r="45" spans="1:18" x14ac:dyDescent="0.3">
      <c r="L45" t="s">
        <v>24</v>
      </c>
      <c r="Q45" s="1" t="s">
        <v>30</v>
      </c>
      <c r="R45">
        <f>7.6*5.5*0.814/1000000</f>
        <v>3.4025200000000001E-5</v>
      </c>
    </row>
    <row r="46" spans="1:18" x14ac:dyDescent="0.3">
      <c r="L46" t="s">
        <v>26</v>
      </c>
      <c r="Q46" s="1" t="s">
        <v>31</v>
      </c>
      <c r="R46">
        <f>R44/R45</f>
        <v>8337.937763775084</v>
      </c>
    </row>
    <row r="47" spans="1:18" x14ac:dyDescent="0.3">
      <c r="L47" t="s">
        <v>27</v>
      </c>
    </row>
    <row r="48" spans="1:18" x14ac:dyDescent="0.3">
      <c r="L48" t="s">
        <v>28</v>
      </c>
      <c r="M48" t="s">
        <v>32</v>
      </c>
    </row>
  </sheetData>
  <conditionalFormatting sqref="J2:J39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{0A16C321-0DFD-4D48-9DFA-BC9E4B87E06B}</x14:id>
        </ext>
      </extLst>
    </cfRule>
  </conditionalFormatting>
  <conditionalFormatting sqref="H2:H3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{01D0F71B-48E7-1142-A91E-49BB33FEA93D}</x14:id>
        </ext>
      </extLst>
    </cfRule>
  </conditionalFormatting>
  <conditionalFormatting sqref="H1:H1048576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{1D3EE8BB-1935-C848-A545-F7479F940421}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16C321-0DFD-4D48-9DFA-BC9E4B87E06B}">
            <x14:dataBar minLength="0" maxLength="100" border="1" gradient="0">
              <x14:cfvo type="autoMin"/>
              <x14:cfvo type="autoMax"/>
              <x14:borderColor theme="0" tint="-0.249977111117893"/>
              <x14:negativeFillColor rgb="FFFF0000"/>
              <x14:axisColor rgb="FF000000"/>
            </x14:dataBar>
          </x14:cfRule>
          <xm:sqref>J2:J39</xm:sqref>
        </x14:conditionalFormatting>
        <x14:conditionalFormatting xmlns:xm="http://schemas.microsoft.com/office/excel/2006/main">
          <x14:cfRule type="dataBar" id="{01D0F71B-48E7-1142-A91E-49BB33FEA9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H2:H39</xm:sqref>
        </x14:conditionalFormatting>
        <x14:conditionalFormatting xmlns:xm="http://schemas.microsoft.com/office/excel/2006/main">
          <x14:cfRule type="dataBar" id="{1D3EE8BB-1935-C848-A545-F7479F94042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232A6-6E0C-5E4E-BED1-316F21D15D0B}">
  <dimension ref="A1:Q49"/>
  <sheetViews>
    <sheetView tabSelected="1" topLeftCell="A10" zoomScale="75" workbookViewId="0">
      <selection activeCell="P15" sqref="P15"/>
    </sheetView>
  </sheetViews>
  <sheetFormatPr defaultColWidth="11.19921875" defaultRowHeight="15.6" x14ac:dyDescent="0.3"/>
  <cols>
    <col min="1" max="1" width="18.19921875" customWidth="1"/>
    <col min="2" max="2" width="13.796875" customWidth="1"/>
    <col min="7" max="7" width="10.796875" customWidth="1"/>
    <col min="8" max="8" width="8.796875" bestFit="1" customWidth="1"/>
    <col min="9" max="9" width="9.09765625" customWidth="1"/>
    <col min="11" max="11" width="6.59765625" bestFit="1" customWidth="1"/>
    <col min="12" max="12" width="13" bestFit="1" customWidth="1"/>
  </cols>
  <sheetData>
    <row r="1" spans="1:17" x14ac:dyDescent="0.3">
      <c r="A1" t="s">
        <v>6</v>
      </c>
      <c r="B1" t="s">
        <v>7</v>
      </c>
      <c r="G1" t="s">
        <v>37</v>
      </c>
      <c r="H1" t="s">
        <v>17</v>
      </c>
      <c r="I1" t="s">
        <v>18</v>
      </c>
      <c r="J1" t="s">
        <v>33</v>
      </c>
      <c r="K1" t="s">
        <v>35</v>
      </c>
      <c r="L1" t="s">
        <v>36</v>
      </c>
      <c r="M1" t="s">
        <v>5</v>
      </c>
      <c r="N1" t="s">
        <v>34</v>
      </c>
    </row>
    <row r="2" spans="1:17" x14ac:dyDescent="0.3">
      <c r="A2">
        <v>0</v>
      </c>
      <c r="B2">
        <v>1720</v>
      </c>
      <c r="G2" t="s">
        <v>38</v>
      </c>
      <c r="H2">
        <v>0</v>
      </c>
      <c r="I2">
        <v>214</v>
      </c>
      <c r="J2">
        <v>2</v>
      </c>
      <c r="K2">
        <v>20.5</v>
      </c>
      <c r="L2">
        <f>331^2/(20.5*1000)^2</f>
        <v>2.6070434265318263E-4</v>
      </c>
      <c r="M2">
        <f>(I2^2/(K2*1000)^2)/L2</f>
        <v>0.41799545458694243</v>
      </c>
      <c r="N2">
        <f>10*LOG10(M2)</f>
        <v>-3.7882844085305583</v>
      </c>
      <c r="P2" s="2" t="s">
        <v>40</v>
      </c>
    </row>
    <row r="3" spans="1:17" x14ac:dyDescent="0.3">
      <c r="A3">
        <f>A2+3</f>
        <v>3</v>
      </c>
      <c r="B3">
        <v>1160</v>
      </c>
      <c r="G3" t="s">
        <v>38</v>
      </c>
      <c r="H3">
        <f>H2+3</f>
        <v>3</v>
      </c>
      <c r="I3">
        <v>73</v>
      </c>
      <c r="J3">
        <v>1</v>
      </c>
      <c r="K3">
        <v>20.5</v>
      </c>
      <c r="L3">
        <f t="shared" ref="L3:L28" si="0">331^2/(20.5*1000)^2</f>
        <v>2.6070434265318263E-4</v>
      </c>
      <c r="M3">
        <f t="shared" ref="M3:M28" si="1">(I3^2/(K3*1000)^2)/L3</f>
        <v>4.8639570650140102E-2</v>
      </c>
      <c r="N3">
        <f t="shared" ref="N3:N28" si="2">10*LOG10(M3)</f>
        <v>-13.130102673105258</v>
      </c>
    </row>
    <row r="4" spans="1:17" x14ac:dyDescent="0.3">
      <c r="A4">
        <f t="shared" ref="A4:A5" si="3">A3+3</f>
        <v>6</v>
      </c>
      <c r="B4">
        <v>354</v>
      </c>
      <c r="G4" t="s">
        <v>38</v>
      </c>
      <c r="H4">
        <f t="shared" ref="H4:H5" si="4">H3+3</f>
        <v>6</v>
      </c>
      <c r="I4">
        <v>25.5</v>
      </c>
      <c r="J4">
        <v>0.5</v>
      </c>
      <c r="K4">
        <v>20.5</v>
      </c>
      <c r="L4">
        <f t="shared" si="0"/>
        <v>2.6070434265318263E-4</v>
      </c>
      <c r="M4">
        <f t="shared" si="1"/>
        <v>5.9350498808882716E-3</v>
      </c>
      <c r="N4">
        <f t="shared" si="2"/>
        <v>-22.265756266835272</v>
      </c>
    </row>
    <row r="5" spans="1:17" x14ac:dyDescent="0.3">
      <c r="A5">
        <f t="shared" si="3"/>
        <v>9</v>
      </c>
      <c r="B5">
        <v>120</v>
      </c>
      <c r="G5" t="s">
        <v>38</v>
      </c>
      <c r="H5">
        <f t="shared" si="4"/>
        <v>9</v>
      </c>
      <c r="I5">
        <v>51</v>
      </c>
      <c r="J5">
        <v>0.2</v>
      </c>
      <c r="K5">
        <v>20.5</v>
      </c>
      <c r="L5">
        <f t="shared" si="0"/>
        <v>2.6070434265318263E-4</v>
      </c>
      <c r="M5">
        <f t="shared" si="1"/>
        <v>2.3740199523553086E-2</v>
      </c>
      <c r="N5">
        <f t="shared" si="2"/>
        <v>-16.245156353555647</v>
      </c>
    </row>
    <row r="6" spans="1:17" x14ac:dyDescent="0.3">
      <c r="A6">
        <v>10</v>
      </c>
      <c r="G6" t="s">
        <v>38</v>
      </c>
      <c r="H6">
        <v>12</v>
      </c>
      <c r="I6">
        <v>12.2</v>
      </c>
      <c r="J6">
        <v>0.2</v>
      </c>
      <c r="K6">
        <v>20.5</v>
      </c>
      <c r="L6">
        <f t="shared" si="0"/>
        <v>2.6070434265318263E-4</v>
      </c>
      <c r="M6">
        <f t="shared" si="1"/>
        <v>1.3585126094139335E-3</v>
      </c>
      <c r="N6">
        <f t="shared" si="2"/>
        <v>-28.669363262019409</v>
      </c>
    </row>
    <row r="7" spans="1:17" x14ac:dyDescent="0.3">
      <c r="A7">
        <v>11</v>
      </c>
      <c r="G7" t="s">
        <v>38</v>
      </c>
      <c r="H7">
        <f>H6+3</f>
        <v>15</v>
      </c>
      <c r="I7">
        <v>5.6</v>
      </c>
      <c r="J7">
        <v>0.1</v>
      </c>
      <c r="K7">
        <v>20.5</v>
      </c>
      <c r="L7">
        <f t="shared" si="0"/>
        <v>2.6070434265318263E-4</v>
      </c>
      <c r="M7">
        <f t="shared" si="1"/>
        <v>2.8623323993026711E-4</v>
      </c>
      <c r="N7">
        <f t="shared" si="2"/>
        <v>-35.432799335390371</v>
      </c>
      <c r="P7" t="s">
        <v>18</v>
      </c>
      <c r="Q7" t="s">
        <v>33</v>
      </c>
    </row>
    <row r="8" spans="1:17" x14ac:dyDescent="0.3">
      <c r="A8">
        <f>A5+3</f>
        <v>12</v>
      </c>
      <c r="B8">
        <v>75</v>
      </c>
      <c r="G8" t="s">
        <v>38</v>
      </c>
      <c r="H8">
        <f t="shared" ref="H8:H22" si="5">H7+3</f>
        <v>18</v>
      </c>
      <c r="I8">
        <v>1.7</v>
      </c>
      <c r="J8">
        <v>0.2</v>
      </c>
      <c r="K8">
        <v>20.5</v>
      </c>
      <c r="L8">
        <f t="shared" si="0"/>
        <v>2.6070434265318263E-4</v>
      </c>
      <c r="M8">
        <f t="shared" si="1"/>
        <v>2.6377999470614539E-5</v>
      </c>
      <c r="N8">
        <f t="shared" si="2"/>
        <v>-45.787581447948895</v>
      </c>
      <c r="P8">
        <v>48.5</v>
      </c>
      <c r="Q8">
        <v>0.3</v>
      </c>
    </row>
    <row r="9" spans="1:17" x14ac:dyDescent="0.3">
      <c r="A9">
        <v>13</v>
      </c>
      <c r="G9" t="s">
        <v>38</v>
      </c>
      <c r="H9">
        <f t="shared" si="5"/>
        <v>21</v>
      </c>
      <c r="I9">
        <v>1.36</v>
      </c>
      <c r="J9">
        <v>0.14000000000000001</v>
      </c>
      <c r="K9">
        <v>20.5</v>
      </c>
      <c r="L9">
        <f t="shared" si="0"/>
        <v>2.6070434265318263E-4</v>
      </c>
      <c r="M9">
        <f t="shared" si="1"/>
        <v>1.6881919661193309E-5</v>
      </c>
      <c r="N9">
        <f t="shared" si="2"/>
        <v>-47.72578170811002</v>
      </c>
      <c r="P9">
        <v>65.5</v>
      </c>
      <c r="Q9">
        <v>0.3</v>
      </c>
    </row>
    <row r="10" spans="1:17" x14ac:dyDescent="0.3">
      <c r="A10">
        <v>14</v>
      </c>
      <c r="G10" t="s">
        <v>38</v>
      </c>
      <c r="H10">
        <f t="shared" si="5"/>
        <v>24</v>
      </c>
      <c r="I10">
        <v>2</v>
      </c>
      <c r="J10">
        <v>0.08</v>
      </c>
      <c r="K10">
        <v>20.5</v>
      </c>
      <c r="L10">
        <f t="shared" si="0"/>
        <v>2.6070434265318263E-4</v>
      </c>
      <c r="M10">
        <f t="shared" si="1"/>
        <v>3.6509341827840202E-5</v>
      </c>
      <c r="N10">
        <f t="shared" si="2"/>
        <v>-44.375959962234752</v>
      </c>
      <c r="P10">
        <v>111</v>
      </c>
      <c r="Q10">
        <v>0.1</v>
      </c>
    </row>
    <row r="11" spans="1:17" x14ac:dyDescent="0.3">
      <c r="A11">
        <f>A8+3</f>
        <v>15</v>
      </c>
      <c r="B11">
        <v>92</v>
      </c>
      <c r="G11" t="s">
        <v>38</v>
      </c>
      <c r="H11">
        <f t="shared" si="5"/>
        <v>27</v>
      </c>
      <c r="I11">
        <v>2.6</v>
      </c>
      <c r="J11">
        <v>0.15</v>
      </c>
      <c r="K11">
        <v>20.5</v>
      </c>
      <c r="L11">
        <f t="shared" si="0"/>
        <v>2.6070434265318263E-4</v>
      </c>
      <c r="M11">
        <f t="shared" si="1"/>
        <v>6.170078768904994E-5</v>
      </c>
      <c r="N11">
        <f t="shared" si="2"/>
        <v>-42.097092916098013</v>
      </c>
      <c r="P11">
        <v>94.7</v>
      </c>
      <c r="Q11">
        <v>0.4</v>
      </c>
    </row>
    <row r="12" spans="1:17" x14ac:dyDescent="0.3">
      <c r="A12">
        <f>A11+3</f>
        <v>18</v>
      </c>
      <c r="B12">
        <v>250</v>
      </c>
      <c r="G12" t="s">
        <v>38</v>
      </c>
      <c r="H12">
        <f t="shared" si="5"/>
        <v>30</v>
      </c>
      <c r="I12">
        <v>4.2</v>
      </c>
      <c r="J12">
        <v>0.2</v>
      </c>
      <c r="K12">
        <v>20.5</v>
      </c>
      <c r="L12">
        <f t="shared" si="0"/>
        <v>2.6070434265318263E-4</v>
      </c>
      <c r="M12">
        <f t="shared" si="1"/>
        <v>1.6100619746077529E-4</v>
      </c>
      <c r="N12">
        <f t="shared" si="2"/>
        <v>-37.931574067556369</v>
      </c>
      <c r="P12">
        <v>71</v>
      </c>
    </row>
    <row r="13" spans="1:17" x14ac:dyDescent="0.3">
      <c r="A13">
        <f>A12+3</f>
        <v>21</v>
      </c>
      <c r="B13">
        <v>756</v>
      </c>
      <c r="G13" t="s">
        <v>38</v>
      </c>
      <c r="H13">
        <f t="shared" si="5"/>
        <v>33</v>
      </c>
      <c r="I13">
        <v>7.55</v>
      </c>
      <c r="J13">
        <v>0.05</v>
      </c>
      <c r="K13">
        <v>20.5</v>
      </c>
      <c r="L13">
        <f t="shared" si="0"/>
        <v>2.6070434265318263E-4</v>
      </c>
      <c r="M13">
        <f t="shared" si="1"/>
        <v>5.202809393853652E-4</v>
      </c>
      <c r="N13">
        <f t="shared" si="2"/>
        <v>-32.837620842930605</v>
      </c>
    </row>
    <row r="14" spans="1:17" x14ac:dyDescent="0.3">
      <c r="A14">
        <v>22</v>
      </c>
      <c r="G14" t="s">
        <v>38</v>
      </c>
      <c r="H14">
        <f t="shared" si="5"/>
        <v>36</v>
      </c>
      <c r="I14">
        <v>15.3</v>
      </c>
      <c r="J14">
        <v>0.2</v>
      </c>
      <c r="K14">
        <v>20.5</v>
      </c>
      <c r="L14">
        <f t="shared" si="0"/>
        <v>2.6070434265318263E-4</v>
      </c>
      <c r="M14">
        <f t="shared" si="1"/>
        <v>2.1366179571197783E-3</v>
      </c>
      <c r="N14">
        <f t="shared" si="2"/>
        <v>-26.702731259162398</v>
      </c>
    </row>
    <row r="15" spans="1:17" x14ac:dyDescent="0.3">
      <c r="A15">
        <v>23</v>
      </c>
      <c r="G15" t="s">
        <v>38</v>
      </c>
      <c r="H15">
        <f t="shared" si="5"/>
        <v>39</v>
      </c>
      <c r="I15">
        <v>134</v>
      </c>
      <c r="J15">
        <v>1</v>
      </c>
      <c r="K15">
        <v>20.5</v>
      </c>
      <c r="L15">
        <f t="shared" si="0"/>
        <v>2.6070434265318263E-4</v>
      </c>
      <c r="M15">
        <f t="shared" si="1"/>
        <v>0.16389043546517465</v>
      </c>
      <c r="N15">
        <f t="shared" si="2"/>
        <v>-7.8544639082182224</v>
      </c>
    </row>
    <row r="16" spans="1:17" x14ac:dyDescent="0.3">
      <c r="A16">
        <f>A13+3</f>
        <v>24</v>
      </c>
      <c r="B16">
        <v>839</v>
      </c>
      <c r="G16" t="s">
        <v>38</v>
      </c>
      <c r="H16">
        <f t="shared" si="5"/>
        <v>42</v>
      </c>
      <c r="I16">
        <v>268</v>
      </c>
      <c r="J16">
        <v>1</v>
      </c>
      <c r="K16">
        <v>20.5</v>
      </c>
      <c r="L16">
        <f t="shared" si="0"/>
        <v>2.6070434265318263E-4</v>
      </c>
      <c r="M16">
        <f t="shared" si="1"/>
        <v>0.6555617418606986</v>
      </c>
      <c r="N16">
        <f t="shared" si="2"/>
        <v>-1.8338639949385982</v>
      </c>
    </row>
    <row r="17" spans="1:14" x14ac:dyDescent="0.3">
      <c r="A17">
        <v>25</v>
      </c>
      <c r="G17" t="s">
        <v>38</v>
      </c>
      <c r="H17">
        <f t="shared" si="5"/>
        <v>45</v>
      </c>
      <c r="I17">
        <v>264</v>
      </c>
      <c r="J17">
        <v>1</v>
      </c>
      <c r="K17">
        <v>20.5</v>
      </c>
      <c r="L17">
        <f t="shared" si="0"/>
        <v>2.6070434265318263E-4</v>
      </c>
      <c r="M17">
        <f t="shared" si="1"/>
        <v>0.63613877200828761</v>
      </c>
      <c r="N17">
        <f t="shared" si="2"/>
        <v>-1.9644813381177537</v>
      </c>
    </row>
    <row r="18" spans="1:14" x14ac:dyDescent="0.3">
      <c r="A18">
        <v>26</v>
      </c>
      <c r="G18" t="s">
        <v>38</v>
      </c>
      <c r="H18">
        <f t="shared" si="5"/>
        <v>48</v>
      </c>
      <c r="I18">
        <v>111</v>
      </c>
      <c r="J18">
        <v>1</v>
      </c>
      <c r="K18">
        <v>20.5</v>
      </c>
      <c r="L18">
        <f t="shared" si="0"/>
        <v>2.6070434265318263E-4</v>
      </c>
      <c r="M18">
        <f t="shared" si="1"/>
        <v>0.11245790016520477</v>
      </c>
      <c r="N18">
        <f t="shared" si="2"/>
        <v>-9.4901002997812274</v>
      </c>
    </row>
    <row r="19" spans="1:14" x14ac:dyDescent="0.3">
      <c r="A19">
        <f>A16+3</f>
        <v>27</v>
      </c>
      <c r="B19">
        <v>410</v>
      </c>
      <c r="G19" t="s">
        <v>38</v>
      </c>
      <c r="H19">
        <f t="shared" si="5"/>
        <v>51</v>
      </c>
      <c r="I19">
        <v>52.9</v>
      </c>
      <c r="J19">
        <v>0.02</v>
      </c>
      <c r="K19">
        <v>20.5</v>
      </c>
      <c r="L19">
        <f t="shared" si="0"/>
        <v>2.6070434265318263E-4</v>
      </c>
      <c r="M19">
        <f t="shared" si="1"/>
        <v>2.5542026816111573E-2</v>
      </c>
      <c r="N19">
        <f t="shared" si="2"/>
        <v>-15.927446434810658</v>
      </c>
    </row>
    <row r="20" spans="1:14" x14ac:dyDescent="0.3">
      <c r="A20">
        <f>A19+3</f>
        <v>30</v>
      </c>
      <c r="B20">
        <v>360</v>
      </c>
      <c r="G20" t="s">
        <v>38</v>
      </c>
      <c r="H20">
        <f t="shared" si="5"/>
        <v>54</v>
      </c>
      <c r="I20">
        <v>39.299999999999997</v>
      </c>
      <c r="J20">
        <v>0.1</v>
      </c>
      <c r="K20">
        <v>20.5</v>
      </c>
      <c r="L20">
        <f t="shared" si="0"/>
        <v>2.6070434265318263E-4</v>
      </c>
      <c r="M20">
        <f t="shared" si="1"/>
        <v>1.4097078339920225E-2</v>
      </c>
      <c r="N20">
        <f t="shared" si="2"/>
        <v>-18.50870886800584</v>
      </c>
    </row>
    <row r="21" spans="1:14" x14ac:dyDescent="0.3">
      <c r="A21">
        <f>A20+3</f>
        <v>33</v>
      </c>
      <c r="B21">
        <v>412</v>
      </c>
      <c r="G21" t="s">
        <v>38</v>
      </c>
      <c r="H21">
        <f t="shared" si="5"/>
        <v>57</v>
      </c>
      <c r="I21">
        <v>36.700000000000003</v>
      </c>
      <c r="J21">
        <v>1</v>
      </c>
      <c r="K21">
        <v>20.5</v>
      </c>
      <c r="L21">
        <f t="shared" si="0"/>
        <v>2.6070434265318263E-4</v>
      </c>
      <c r="M21">
        <f t="shared" si="1"/>
        <v>1.2293516853624922E-2</v>
      </c>
      <c r="N21">
        <f t="shared" si="2"/>
        <v>-19.103238590472589</v>
      </c>
    </row>
    <row r="22" spans="1:14" x14ac:dyDescent="0.3">
      <c r="A22">
        <f>A21+3</f>
        <v>36</v>
      </c>
      <c r="B22">
        <v>592</v>
      </c>
      <c r="G22" t="s">
        <v>38</v>
      </c>
      <c r="H22">
        <f t="shared" si="5"/>
        <v>60</v>
      </c>
      <c r="I22">
        <v>48</v>
      </c>
      <c r="J22">
        <v>0.3</v>
      </c>
      <c r="K22">
        <v>20.5</v>
      </c>
      <c r="L22">
        <f t="shared" si="0"/>
        <v>2.6070434265318263E-4</v>
      </c>
      <c r="M22">
        <f t="shared" si="1"/>
        <v>2.1029380892835955E-2</v>
      </c>
      <c r="N22">
        <f t="shared" si="2"/>
        <v>-16.771735128002629</v>
      </c>
    </row>
    <row r="23" spans="1:14" x14ac:dyDescent="0.3">
      <c r="A23">
        <f>A22+3</f>
        <v>39</v>
      </c>
      <c r="B23">
        <v>1150</v>
      </c>
      <c r="G23" t="s">
        <v>38</v>
      </c>
      <c r="H23">
        <v>37</v>
      </c>
      <c r="I23">
        <v>29.3</v>
      </c>
      <c r="J23">
        <v>0.1</v>
      </c>
      <c r="K23">
        <v>20.5</v>
      </c>
      <c r="L23">
        <f t="shared" si="0"/>
        <v>2.6070434265318263E-4</v>
      </c>
      <c r="M23">
        <f t="shared" si="1"/>
        <v>7.8357262164456334E-3</v>
      </c>
      <c r="N23">
        <f t="shared" si="2"/>
        <v>-21.059207468432184</v>
      </c>
    </row>
    <row r="24" spans="1:14" x14ac:dyDescent="0.3">
      <c r="A24">
        <v>40</v>
      </c>
      <c r="G24" t="s">
        <v>38</v>
      </c>
      <c r="H24">
        <v>38</v>
      </c>
      <c r="I24">
        <v>64.8</v>
      </c>
      <c r="J24">
        <v>1</v>
      </c>
      <c r="K24">
        <v>20.5</v>
      </c>
      <c r="L24">
        <f t="shared" si="0"/>
        <v>2.6070434265318263E-4</v>
      </c>
      <c r="M24">
        <f t="shared" si="1"/>
        <v>3.8326046677193526E-2</v>
      </c>
      <c r="N24">
        <f t="shared" si="2"/>
        <v>-14.165059758102508</v>
      </c>
    </row>
    <row r="25" spans="1:14" x14ac:dyDescent="0.3">
      <c r="A25">
        <v>41</v>
      </c>
      <c r="G25" t="s">
        <v>38</v>
      </c>
      <c r="H25">
        <v>40</v>
      </c>
      <c r="I25">
        <v>184</v>
      </c>
      <c r="J25">
        <v>1</v>
      </c>
      <c r="K25">
        <v>20.5</v>
      </c>
      <c r="L25">
        <f t="shared" si="0"/>
        <v>2.6070434265318263E-4</v>
      </c>
      <c r="M25">
        <f t="shared" si="1"/>
        <v>0.30901506923083943</v>
      </c>
      <c r="N25">
        <f t="shared" si="2"/>
        <v>-5.1002034153236453</v>
      </c>
    </row>
    <row r="26" spans="1:14" x14ac:dyDescent="0.3">
      <c r="A26">
        <f>A23+3</f>
        <v>42</v>
      </c>
      <c r="B26">
        <v>2130</v>
      </c>
      <c r="G26" t="s">
        <v>38</v>
      </c>
      <c r="H26">
        <v>43</v>
      </c>
      <c r="I26">
        <v>293</v>
      </c>
      <c r="J26">
        <v>2</v>
      </c>
      <c r="K26">
        <v>20.5</v>
      </c>
      <c r="L26">
        <f t="shared" si="0"/>
        <v>2.6070434265318263E-4</v>
      </c>
      <c r="M26">
        <f t="shared" si="1"/>
        <v>0.78357262164456332</v>
      </c>
      <c r="N26">
        <f t="shared" si="2"/>
        <v>-1.0592074684321857</v>
      </c>
    </row>
    <row r="27" spans="1:14" x14ac:dyDescent="0.3">
      <c r="A27">
        <v>43</v>
      </c>
      <c r="G27" t="s">
        <v>38</v>
      </c>
      <c r="H27">
        <v>19</v>
      </c>
      <c r="I27">
        <v>0.6</v>
      </c>
      <c r="J27">
        <v>0.1</v>
      </c>
      <c r="K27">
        <v>20.5</v>
      </c>
      <c r="L27">
        <f t="shared" si="0"/>
        <v>2.6070434265318263E-4</v>
      </c>
      <c r="M27">
        <f t="shared" si="1"/>
        <v>3.2858407645056177E-6</v>
      </c>
      <c r="N27">
        <f t="shared" si="2"/>
        <v>-54.8335348678415</v>
      </c>
    </row>
    <row r="28" spans="1:14" x14ac:dyDescent="0.3">
      <c r="A28">
        <v>44</v>
      </c>
      <c r="G28" t="s">
        <v>38</v>
      </c>
      <c r="H28">
        <v>19.5</v>
      </c>
      <c r="I28">
        <v>0.5</v>
      </c>
      <c r="J28">
        <v>0.1</v>
      </c>
      <c r="K28">
        <v>20.5</v>
      </c>
      <c r="L28">
        <f t="shared" si="0"/>
        <v>2.6070434265318263E-4</v>
      </c>
      <c r="M28">
        <f t="shared" si="1"/>
        <v>2.2818338642400126E-6</v>
      </c>
      <c r="N28">
        <f t="shared" si="2"/>
        <v>-56.417159788794002</v>
      </c>
    </row>
    <row r="29" spans="1:14" x14ac:dyDescent="0.3">
      <c r="A29">
        <f>A26+3</f>
        <v>45</v>
      </c>
      <c r="B29">
        <v>2110</v>
      </c>
      <c r="G29" t="s">
        <v>39</v>
      </c>
      <c r="H29">
        <v>0</v>
      </c>
      <c r="K29">
        <v>20.5</v>
      </c>
    </row>
    <row r="30" spans="1:14" x14ac:dyDescent="0.3">
      <c r="A30">
        <f>A29+3</f>
        <v>48</v>
      </c>
      <c r="B30">
        <v>1850</v>
      </c>
      <c r="G30" t="s">
        <v>39</v>
      </c>
      <c r="H30">
        <f>H29+3</f>
        <v>3</v>
      </c>
      <c r="K30">
        <v>20.5</v>
      </c>
    </row>
    <row r="31" spans="1:14" x14ac:dyDescent="0.3">
      <c r="A31">
        <f>A30+3</f>
        <v>51</v>
      </c>
      <c r="B31">
        <v>806</v>
      </c>
      <c r="G31" t="s">
        <v>39</v>
      </c>
      <c r="H31">
        <f t="shared" ref="H31:H49" si="6">H30+3</f>
        <v>6</v>
      </c>
      <c r="K31">
        <v>20.5</v>
      </c>
    </row>
    <row r="32" spans="1:14" x14ac:dyDescent="0.3">
      <c r="A32">
        <f>A31+3</f>
        <v>54</v>
      </c>
      <c r="B32">
        <v>168</v>
      </c>
      <c r="G32" t="s">
        <v>39</v>
      </c>
      <c r="H32">
        <f t="shared" si="6"/>
        <v>9</v>
      </c>
      <c r="K32">
        <v>20.5</v>
      </c>
    </row>
    <row r="33" spans="1:11" x14ac:dyDescent="0.3">
      <c r="A33">
        <f>A32+3</f>
        <v>57</v>
      </c>
      <c r="B33">
        <v>88.8</v>
      </c>
      <c r="G33" t="s">
        <v>39</v>
      </c>
      <c r="H33">
        <f t="shared" si="6"/>
        <v>12</v>
      </c>
      <c r="K33">
        <v>20.5</v>
      </c>
    </row>
    <row r="34" spans="1:11" x14ac:dyDescent="0.3">
      <c r="A34">
        <f>A33+3</f>
        <v>60</v>
      </c>
      <c r="B34">
        <v>68.8</v>
      </c>
      <c r="G34" t="s">
        <v>39</v>
      </c>
      <c r="H34">
        <f t="shared" si="6"/>
        <v>15</v>
      </c>
      <c r="K34">
        <v>20.5</v>
      </c>
    </row>
    <row r="35" spans="1:11" x14ac:dyDescent="0.3">
      <c r="G35" t="s">
        <v>39</v>
      </c>
      <c r="H35">
        <f t="shared" si="6"/>
        <v>18</v>
      </c>
      <c r="K35">
        <v>20.5</v>
      </c>
    </row>
    <row r="36" spans="1:11" x14ac:dyDescent="0.3">
      <c r="G36" t="s">
        <v>39</v>
      </c>
      <c r="H36">
        <f t="shared" si="6"/>
        <v>21</v>
      </c>
      <c r="K36">
        <v>20.5</v>
      </c>
    </row>
    <row r="37" spans="1:11" x14ac:dyDescent="0.3">
      <c r="G37" t="s">
        <v>39</v>
      </c>
      <c r="H37">
        <f t="shared" si="6"/>
        <v>24</v>
      </c>
      <c r="K37">
        <v>20.5</v>
      </c>
    </row>
    <row r="38" spans="1:11" x14ac:dyDescent="0.3">
      <c r="G38" t="s">
        <v>39</v>
      </c>
      <c r="H38">
        <f t="shared" si="6"/>
        <v>27</v>
      </c>
      <c r="K38">
        <v>20.5</v>
      </c>
    </row>
    <row r="39" spans="1:11" x14ac:dyDescent="0.3">
      <c r="G39" t="s">
        <v>39</v>
      </c>
      <c r="H39">
        <f t="shared" si="6"/>
        <v>30</v>
      </c>
      <c r="K39">
        <v>20.5</v>
      </c>
    </row>
    <row r="40" spans="1:11" x14ac:dyDescent="0.3">
      <c r="G40" t="s">
        <v>39</v>
      </c>
      <c r="H40">
        <f t="shared" si="6"/>
        <v>33</v>
      </c>
      <c r="K40">
        <v>20.5</v>
      </c>
    </row>
    <row r="41" spans="1:11" x14ac:dyDescent="0.3">
      <c r="G41" t="s">
        <v>39</v>
      </c>
      <c r="H41">
        <f t="shared" si="6"/>
        <v>36</v>
      </c>
      <c r="K41">
        <v>20.5</v>
      </c>
    </row>
    <row r="42" spans="1:11" x14ac:dyDescent="0.3">
      <c r="G42" t="s">
        <v>39</v>
      </c>
      <c r="H42">
        <f t="shared" si="6"/>
        <v>39</v>
      </c>
      <c r="K42">
        <v>20.5</v>
      </c>
    </row>
    <row r="43" spans="1:11" x14ac:dyDescent="0.3">
      <c r="G43" t="s">
        <v>39</v>
      </c>
      <c r="H43">
        <f t="shared" si="6"/>
        <v>42</v>
      </c>
      <c r="K43">
        <v>20.5</v>
      </c>
    </row>
    <row r="44" spans="1:11" x14ac:dyDescent="0.3">
      <c r="G44" t="s">
        <v>39</v>
      </c>
      <c r="H44">
        <f t="shared" si="6"/>
        <v>45</v>
      </c>
      <c r="K44">
        <v>20.5</v>
      </c>
    </row>
    <row r="45" spans="1:11" x14ac:dyDescent="0.3">
      <c r="G45" t="s">
        <v>39</v>
      </c>
      <c r="H45">
        <f t="shared" si="6"/>
        <v>48</v>
      </c>
      <c r="K45">
        <v>20.5</v>
      </c>
    </row>
    <row r="46" spans="1:11" x14ac:dyDescent="0.3">
      <c r="G46" t="s">
        <v>39</v>
      </c>
      <c r="H46">
        <f t="shared" si="6"/>
        <v>51</v>
      </c>
      <c r="K46">
        <v>20.5</v>
      </c>
    </row>
    <row r="47" spans="1:11" x14ac:dyDescent="0.3">
      <c r="G47" t="s">
        <v>39</v>
      </c>
      <c r="H47">
        <f t="shared" si="6"/>
        <v>54</v>
      </c>
      <c r="K47">
        <v>20.5</v>
      </c>
    </row>
    <row r="48" spans="1:11" x14ac:dyDescent="0.3">
      <c r="G48" t="s">
        <v>39</v>
      </c>
      <c r="H48">
        <f t="shared" si="6"/>
        <v>57</v>
      </c>
      <c r="K48">
        <v>20.5</v>
      </c>
    </row>
    <row r="49" spans="7:11" x14ac:dyDescent="0.3">
      <c r="G49" t="s">
        <v>39</v>
      </c>
      <c r="H49">
        <f t="shared" si="6"/>
        <v>60</v>
      </c>
      <c r="K49">
        <v>20.5</v>
      </c>
    </row>
  </sheetData>
  <conditionalFormatting sqref="B11:B13 B1:B5 B8 B16 B19:B23 B26 B29:B1048576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{E5762CC6-5E2A-8945-B650-CD258063790B}</x14:id>
        </ext>
      </extLst>
    </cfRule>
  </conditionalFormatting>
  <conditionalFormatting sqref="P7:P12 I1 I7:I34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{FC4FE603-91E0-BB48-A87F-A74AEE430E5E}</x14:id>
        </ext>
      </extLst>
    </cfRule>
  </conditionalFormatting>
  <conditionalFormatting sqref="I1:I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{F8C483B5-8BFE-1F49-BEB6-452F2D9389F1}</x14:id>
        </ext>
      </extLst>
    </cfRule>
  </conditionalFormatting>
  <hyperlinks>
    <hyperlink ref="P2" r:id="rId1" xr:uid="{4C9BE63B-9570-5544-B9D1-22C75606C1F6}"/>
  </hyperlinks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762CC6-5E2A-8945-B650-CD258063790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B11:B13 B1:B5 B8 B16 B19:B23 B26 B29:B1048576</xm:sqref>
        </x14:conditionalFormatting>
        <x14:conditionalFormatting xmlns:xm="http://schemas.microsoft.com/office/excel/2006/main">
          <x14:cfRule type="dataBar" id="{FC4FE603-91E0-BB48-A87F-A74AEE430E5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P7:P12 I1 I7:I34</xm:sqref>
        </x14:conditionalFormatting>
        <x14:conditionalFormatting xmlns:xm="http://schemas.microsoft.com/office/excel/2006/main">
          <x14:cfRule type="dataBar" id="{F8C483B5-8BFE-1F49-BEB6-452F2D9389F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I1:I1048576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OG</vt:lpstr>
      <vt:lpstr>Redo</vt:lpstr>
      <vt:lpstr>Lamb OG and Redo 2</vt:lpstr>
      <vt:lpstr>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Georgiou</dc:creator>
  <cp:lastModifiedBy>Maria</cp:lastModifiedBy>
  <dcterms:created xsi:type="dcterms:W3CDTF">2022-11-07T14:56:24Z</dcterms:created>
  <dcterms:modified xsi:type="dcterms:W3CDTF">2023-02-18T18:32:43Z</dcterms:modified>
</cp:coreProperties>
</file>