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hamilton\OneDrive - CGIAR\Current\Optimal contributions\Paper\Excel examples\"/>
    </mc:Choice>
  </mc:AlternateContent>
  <bookViews>
    <workbookView xWindow="0" yWindow="0" windowWidth="7470" windowHeight="6150"/>
  </bookViews>
  <sheets>
    <sheet name="Optimal contributions example" sheetId="1" r:id="rId1"/>
  </sheets>
  <definedNames>
    <definedName name="A_11_matrix">'Optimal contributions example'!$B$370:$K$379</definedName>
    <definedName name="A_12_matrix">'Optimal contributions example'!$L$370:$M$379</definedName>
    <definedName name="A_1b_matrix">'Optimal contributions example'!$D$168:$O$177</definedName>
    <definedName name="A_21_matrix">'Optimal contributions example'!$B$380:$K$381</definedName>
    <definedName name="A_22_matrix">'Optimal contributions example'!$L$380:$M$381</definedName>
    <definedName name="A_2b_matrix">'Optimal contributions example'!$D$178:$O$179</definedName>
    <definedName name="A_bar_b_b">'Optimal contributions example'!$D$202:$G$205</definedName>
    <definedName name="A_bar_b_b_Hamilton_matrix">'Optimal contributions example'!$W$158:$Z$161</definedName>
    <definedName name="A_bar_b_b_Meuwissen_matrix">'Optimal contributions example'!$E$158:$H$161</definedName>
    <definedName name="A_c1f_matrix">'Optimal contributions example'!$V$168:$AC$177</definedName>
    <definedName name="A_c2f_matrix">'Optimal contributions example'!$V$178:$AC$179</definedName>
    <definedName name="A_fam">'Optimal contributions example'!$W$125:$AD$132</definedName>
    <definedName name="A_for_A_bar_bb_matrix">'Optimal contributions example'!$E$126:$P$137</definedName>
    <definedName name="A_inv_11_matrix">'Optimal contributions example'!$D$420:$M$429</definedName>
    <definedName name="A_matrix">'Optimal contributions example'!$B$370:$M$381</definedName>
    <definedName name="Ap_11_inv_matrix">'Optimal contributions example'!$B$303:$Q$318</definedName>
    <definedName name="Ap_11_matrix">'Optimal contributions example'!$B$284:$N$296</definedName>
    <definedName name="Ap_matrix">'Optimal contributions example'!$B$284:$Q$299</definedName>
    <definedName name="c_1_vector">'Optimal contributions example'!$E$532:$E$541</definedName>
    <definedName name="c_2">'Optimal contributions example'!$B$3</definedName>
    <definedName name="c_2_vector">'Optimal contributions example'!$G$37:$G$38</definedName>
    <definedName name="C_scalar">'Optimal contributions example'!$C$5</definedName>
    <definedName name="c_vector">'Optimal contributions example'!$E$532:$E$543</definedName>
    <definedName name="c_vector_t_minus_2">'Optimal contributions example'!#REF!</definedName>
    <definedName name="Ct_a_a">'Optimal contributions example'!#REF!</definedName>
    <definedName name="Ct_a_b">'Optimal contributions example'!#REF!</definedName>
    <definedName name="Ct_b_b">'Optimal contributions example'!#REF!</definedName>
    <definedName name="d_1_inv_matrix">'Optimal contributions example'!$B$385:$K$394</definedName>
    <definedName name="d_1_matrix">'Optimal contributions example'!$B$355:$K$364</definedName>
    <definedName name="d_inv_matrix">'Optimal contributions example'!$B$385:$M$396</definedName>
    <definedName name="d_inv_vector">'Optimal contributions example'!$H$327:$H$336</definedName>
    <definedName name="d_matrix">'Optimal contributions example'!$B$355:$M$366</definedName>
    <definedName name="d_vector">'Optimal contributions example'!$G$327:$G$336</definedName>
    <definedName name="EBV_1_vector">'Optimal contributions example'!$C$27:$C$36</definedName>
    <definedName name="EBV_2_vector">'Optimal contributions example'!$C$37:$C$38</definedName>
    <definedName name="EBV_vector">'Optimal contributions example'!$C$27:$C$38</definedName>
    <definedName name="J_1">'Optimal contributions example'!$L$16</definedName>
    <definedName name="J_1_matrix">'Optimal contributions example'!$E$144:$H$153</definedName>
    <definedName name="J_2_matrix">'Optimal contributions example'!$E$142:$H$143</definedName>
    <definedName name="J_f_matrix">'Optimal contributions example'!$W$143:$Z$150</definedName>
    <definedName name="J_matrix">'Optimal contributions example'!$E$142:$H$153</definedName>
    <definedName name="K_scalar">'Optimal contributions example'!$C$469</definedName>
    <definedName name="L_matrix">'Optimal contributions example'!$C$38:$D$204</definedName>
    <definedName name="Lambda">'Optimal contributions example'!$C$519:$C$524</definedName>
    <definedName name="Lambda_0">'Optimal contributions example'!$C$490</definedName>
    <definedName name="M_1_Hamilton_matrix">'Optimal contributions example'!$V$184:$Y$193</definedName>
    <definedName name="M_1_matrix">'Optimal contributions example'!$D$210:$G$219</definedName>
    <definedName name="M_1_Meuwissen_matrix">'Optimal contributions example'!$D$184:$G$193</definedName>
    <definedName name="M_2_Hamilton_matrix">'Optimal contributions example'!$V$194:$Y$195</definedName>
    <definedName name="M_2_matrix">'Optimal contributions example'!$D$220:$G$221</definedName>
    <definedName name="M_2_Meuwissen_matrix">'Optimal contributions example'!$D$194:$G$195</definedName>
    <definedName name="P_vector">'Optimal contributions example'!$C$473:$C$482</definedName>
    <definedName name="Part_2">'Optimal contributions example'!$C$505:$C$514</definedName>
    <definedName name="Pt">'Optimal contributions example'!$C$246:$H$246</definedName>
    <definedName name="Q_1.A_11_inv.Q_1">'Optimal contributions example'!$C$444:$H$449</definedName>
    <definedName name="Q_1.A_11_inv.Q_1_inv">'Optimal contributions example'!$K$444:$P$449</definedName>
    <definedName name="Q_1_matrix">'Optimal contributions example'!$D$228:$I$237</definedName>
    <definedName name="Q_2_matrix">'Optimal contributions example'!$D$238:$I$239</definedName>
    <definedName name="Q_matrix">'Optimal contributions example'!$D$228:$I$239</definedName>
    <definedName name="q_scalar">'Optimal contributions example'!$C$12</definedName>
    <definedName name="Q1.A11_inv">'Optimal contributions example'!$C$497:$L$502</definedName>
    <definedName name="r_1_scalar">'Optimal contributions example'!$D$258</definedName>
    <definedName name="R_11_matrix">'Optimal contributions example'!$C$454:$L$463</definedName>
    <definedName name="r_3_scalar">'Optimal contributions example'!$D$255</definedName>
    <definedName name="r_a_vector">'Optimal contributions example'!$D$264:$D$265</definedName>
    <definedName name="r_b_vector">'Optimal contributions example'!$D$260:$D$263</definedName>
    <definedName name="rb_vector">'Optimal contributions example'!$G$37:$G$38</definedName>
    <definedName name="s_1_vector">'Optimal contributions example'!$C$271:$C$276</definedName>
    <definedName name="V_inv_matrix">'Optimal contributions example'!$B$400:$Q$415</definedName>
    <definedName name="Z_1_matrix">'Optimal contributions example'!$B$340:$Q$349</definedName>
    <definedName name="Z_matrix">'Optimal contributions example'!$B$340:$Q$351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1" l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44" i="1"/>
  <c r="B531" i="1" l="1"/>
  <c r="C531" i="1"/>
  <c r="D531" i="1"/>
  <c r="B283" i="1" l="1" a="1"/>
  <c r="B283" i="1" s="1"/>
  <c r="A227" i="1"/>
  <c r="B227" i="1"/>
  <c r="C227" i="1"/>
  <c r="Q283" i="1" l="1"/>
  <c r="M283" i="1"/>
  <c r="I283" i="1"/>
  <c r="E283" i="1"/>
  <c r="P283" i="1"/>
  <c r="L283" i="1"/>
  <c r="H283" i="1"/>
  <c r="D283" i="1"/>
  <c r="O283" i="1"/>
  <c r="K283" i="1"/>
  <c r="G283" i="1"/>
  <c r="C283" i="1"/>
  <c r="N283" i="1"/>
  <c r="J283" i="1"/>
  <c r="F283" i="1"/>
  <c r="L344" i="1"/>
  <c r="T112" i="1"/>
  <c r="T113" i="1"/>
  <c r="T114" i="1"/>
  <c r="T115" i="1"/>
  <c r="T116" i="1"/>
  <c r="T117" i="1"/>
  <c r="T118" i="1"/>
  <c r="T111" i="1"/>
  <c r="V129" i="1" l="1"/>
  <c r="V130" i="1"/>
  <c r="V131" i="1"/>
  <c r="V132" i="1"/>
  <c r="Q399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P340" i="1"/>
  <c r="P341" i="1"/>
  <c r="P342" i="1"/>
  <c r="P343" i="1"/>
  <c r="P344" i="1"/>
  <c r="P345" i="1"/>
  <c r="P346" i="1"/>
  <c r="P347" i="1"/>
  <c r="P348" i="1"/>
  <c r="P349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B303" i="1" a="1"/>
  <c r="B303" i="1" s="1"/>
  <c r="B399" i="1"/>
  <c r="B127" i="1"/>
  <c r="B128" i="1"/>
  <c r="B129" i="1"/>
  <c r="B130" i="1"/>
  <c r="B131" i="1"/>
  <c r="B132" i="1"/>
  <c r="B133" i="1"/>
  <c r="B134" i="1"/>
  <c r="B135" i="1"/>
  <c r="B136" i="1"/>
  <c r="B137" i="1"/>
  <c r="B126" i="1"/>
  <c r="B142" i="1"/>
  <c r="C127" i="1"/>
  <c r="C128" i="1"/>
  <c r="C129" i="1"/>
  <c r="C130" i="1"/>
  <c r="C131" i="1"/>
  <c r="C132" i="1"/>
  <c r="C133" i="1"/>
  <c r="C134" i="1"/>
  <c r="C135" i="1"/>
  <c r="C136" i="1"/>
  <c r="C137" i="1"/>
  <c r="C126" i="1"/>
  <c r="B143" i="1"/>
  <c r="B144" i="1"/>
  <c r="B145" i="1"/>
  <c r="B146" i="1"/>
  <c r="B147" i="1"/>
  <c r="B148" i="1"/>
  <c r="B149" i="1"/>
  <c r="B150" i="1"/>
  <c r="B151" i="1"/>
  <c r="B152" i="1"/>
  <c r="B153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D229" i="1"/>
  <c r="E229" i="1"/>
  <c r="F229" i="1"/>
  <c r="G229" i="1"/>
  <c r="H229" i="1"/>
  <c r="I229" i="1"/>
  <c r="D230" i="1"/>
  <c r="E230" i="1"/>
  <c r="F230" i="1"/>
  <c r="G230" i="1"/>
  <c r="H230" i="1"/>
  <c r="I230" i="1"/>
  <c r="D231" i="1"/>
  <c r="E231" i="1"/>
  <c r="F231" i="1"/>
  <c r="G231" i="1"/>
  <c r="H231" i="1"/>
  <c r="I231" i="1"/>
  <c r="D232" i="1"/>
  <c r="E232" i="1"/>
  <c r="F232" i="1"/>
  <c r="G232" i="1"/>
  <c r="H232" i="1"/>
  <c r="I232" i="1"/>
  <c r="D233" i="1"/>
  <c r="E233" i="1"/>
  <c r="F233" i="1"/>
  <c r="G233" i="1"/>
  <c r="H233" i="1"/>
  <c r="I233" i="1"/>
  <c r="D234" i="1"/>
  <c r="E234" i="1"/>
  <c r="F234" i="1"/>
  <c r="G234" i="1"/>
  <c r="H234" i="1"/>
  <c r="I234" i="1"/>
  <c r="D235" i="1"/>
  <c r="E235" i="1"/>
  <c r="F235" i="1"/>
  <c r="G235" i="1"/>
  <c r="H235" i="1"/>
  <c r="I235" i="1"/>
  <c r="D236" i="1"/>
  <c r="E236" i="1"/>
  <c r="F236" i="1"/>
  <c r="G236" i="1"/>
  <c r="H236" i="1"/>
  <c r="I236" i="1"/>
  <c r="D237" i="1"/>
  <c r="E237" i="1"/>
  <c r="F237" i="1"/>
  <c r="G237" i="1"/>
  <c r="H237" i="1"/>
  <c r="I237" i="1"/>
  <c r="D238" i="1"/>
  <c r="E238" i="1"/>
  <c r="F238" i="1"/>
  <c r="G238" i="1"/>
  <c r="H238" i="1"/>
  <c r="I238" i="1"/>
  <c r="D239" i="1"/>
  <c r="E239" i="1"/>
  <c r="F239" i="1"/>
  <c r="G239" i="1"/>
  <c r="H239" i="1"/>
  <c r="I239" i="1"/>
  <c r="A400" i="1" l="1" a="1"/>
  <c r="A411" i="1" s="1"/>
  <c r="M318" i="1"/>
  <c r="M317" i="1"/>
  <c r="M316" i="1"/>
  <c r="M315" i="1"/>
  <c r="M314" i="1"/>
  <c r="Q312" i="1"/>
  <c r="Q304" i="1"/>
  <c r="D318" i="1"/>
  <c r="D317" i="1"/>
  <c r="D316" i="1"/>
  <c r="L314" i="1"/>
  <c r="I313" i="1"/>
  <c r="M311" i="1"/>
  <c r="M309" i="1"/>
  <c r="M307" i="1"/>
  <c r="M305" i="1"/>
  <c r="M303" i="1"/>
  <c r="Q318" i="1"/>
  <c r="I318" i="1"/>
  <c r="Q317" i="1"/>
  <c r="I317" i="1"/>
  <c r="Q316" i="1"/>
  <c r="I316" i="1"/>
  <c r="Q315" i="1"/>
  <c r="I315" i="1"/>
  <c r="Q314" i="1"/>
  <c r="I314" i="1"/>
  <c r="Q313" i="1"/>
  <c r="H313" i="1"/>
  <c r="I312" i="1"/>
  <c r="I311" i="1"/>
  <c r="I310" i="1"/>
  <c r="I309" i="1"/>
  <c r="I308" i="1"/>
  <c r="I307" i="1"/>
  <c r="I306" i="1"/>
  <c r="I305" i="1"/>
  <c r="I304" i="1"/>
  <c r="I303" i="1"/>
  <c r="E318" i="1"/>
  <c r="E317" i="1"/>
  <c r="E316" i="1"/>
  <c r="E315" i="1"/>
  <c r="E314" i="1"/>
  <c r="M313" i="1"/>
  <c r="Q311" i="1"/>
  <c r="Q310" i="1"/>
  <c r="Q309" i="1"/>
  <c r="Q308" i="1"/>
  <c r="Q307" i="1"/>
  <c r="Q306" i="1"/>
  <c r="Q305" i="1"/>
  <c r="Q303" i="1"/>
  <c r="L318" i="1"/>
  <c r="L317" i="1"/>
  <c r="L316" i="1"/>
  <c r="L315" i="1"/>
  <c r="D315" i="1"/>
  <c r="D314" i="1"/>
  <c r="M312" i="1"/>
  <c r="M310" i="1"/>
  <c r="M308" i="1"/>
  <c r="M306" i="1"/>
  <c r="M304" i="1"/>
  <c r="P318" i="1"/>
  <c r="H318" i="1"/>
  <c r="P317" i="1"/>
  <c r="H317" i="1"/>
  <c r="P316" i="1"/>
  <c r="H316" i="1"/>
  <c r="P315" i="1"/>
  <c r="H315" i="1"/>
  <c r="P314" i="1"/>
  <c r="H314" i="1"/>
  <c r="P313" i="1"/>
  <c r="E313" i="1"/>
  <c r="E312" i="1"/>
  <c r="E311" i="1"/>
  <c r="E310" i="1"/>
  <c r="E309" i="1"/>
  <c r="E308" i="1"/>
  <c r="E307" i="1"/>
  <c r="E306" i="1"/>
  <c r="E305" i="1"/>
  <c r="E304" i="1"/>
  <c r="E303" i="1"/>
  <c r="P312" i="1"/>
  <c r="H312" i="1"/>
  <c r="P311" i="1"/>
  <c r="H311" i="1"/>
  <c r="P310" i="1"/>
  <c r="H310" i="1"/>
  <c r="P309" i="1"/>
  <c r="H309" i="1"/>
  <c r="P308" i="1"/>
  <c r="H308" i="1"/>
  <c r="P307" i="1"/>
  <c r="H307" i="1"/>
  <c r="L306" i="1"/>
  <c r="D306" i="1"/>
  <c r="L305" i="1"/>
  <c r="D305" i="1"/>
  <c r="L304" i="1"/>
  <c r="D304" i="1"/>
  <c r="P303" i="1"/>
  <c r="L303" i="1"/>
  <c r="D303" i="1"/>
  <c r="O318" i="1"/>
  <c r="K318" i="1"/>
  <c r="G318" i="1"/>
  <c r="C318" i="1"/>
  <c r="O317" i="1"/>
  <c r="K317" i="1"/>
  <c r="G317" i="1"/>
  <c r="C317" i="1"/>
  <c r="O316" i="1"/>
  <c r="K316" i="1"/>
  <c r="G316" i="1"/>
  <c r="C316" i="1"/>
  <c r="O315" i="1"/>
  <c r="K315" i="1"/>
  <c r="G315" i="1"/>
  <c r="C315" i="1"/>
  <c r="O314" i="1"/>
  <c r="K314" i="1"/>
  <c r="G314" i="1"/>
  <c r="C314" i="1"/>
  <c r="O313" i="1"/>
  <c r="K313" i="1"/>
  <c r="G313" i="1"/>
  <c r="C313" i="1"/>
  <c r="O312" i="1"/>
  <c r="K312" i="1"/>
  <c r="G312" i="1"/>
  <c r="C312" i="1"/>
  <c r="O311" i="1"/>
  <c r="K311" i="1"/>
  <c r="G311" i="1"/>
  <c r="C311" i="1"/>
  <c r="O310" i="1"/>
  <c r="K310" i="1"/>
  <c r="G310" i="1"/>
  <c r="C310" i="1"/>
  <c r="O309" i="1"/>
  <c r="K309" i="1"/>
  <c r="G309" i="1"/>
  <c r="C309" i="1"/>
  <c r="O308" i="1"/>
  <c r="K308" i="1"/>
  <c r="G308" i="1"/>
  <c r="C308" i="1"/>
  <c r="O307" i="1"/>
  <c r="K307" i="1"/>
  <c r="G307" i="1"/>
  <c r="C307" i="1"/>
  <c r="O306" i="1"/>
  <c r="K306" i="1"/>
  <c r="G306" i="1"/>
  <c r="C306" i="1"/>
  <c r="O305" i="1"/>
  <c r="K305" i="1"/>
  <c r="G305" i="1"/>
  <c r="C305" i="1"/>
  <c r="O304" i="1"/>
  <c r="K304" i="1"/>
  <c r="G304" i="1"/>
  <c r="C304" i="1"/>
  <c r="O303" i="1"/>
  <c r="K303" i="1"/>
  <c r="G303" i="1"/>
  <c r="C303" i="1"/>
  <c r="L313" i="1"/>
  <c r="D313" i="1"/>
  <c r="L312" i="1"/>
  <c r="D312" i="1"/>
  <c r="L311" i="1"/>
  <c r="D311" i="1"/>
  <c r="L310" i="1"/>
  <c r="D310" i="1"/>
  <c r="L309" i="1"/>
  <c r="D309" i="1"/>
  <c r="L308" i="1"/>
  <c r="D308" i="1"/>
  <c r="L307" i="1"/>
  <c r="D307" i="1"/>
  <c r="P306" i="1"/>
  <c r="H306" i="1"/>
  <c r="P305" i="1"/>
  <c r="H305" i="1"/>
  <c r="P304" i="1"/>
  <c r="H304" i="1"/>
  <c r="H303" i="1"/>
  <c r="N318" i="1"/>
  <c r="J318" i="1"/>
  <c r="F318" i="1"/>
  <c r="B318" i="1"/>
  <c r="N317" i="1"/>
  <c r="J317" i="1"/>
  <c r="F317" i="1"/>
  <c r="B317" i="1"/>
  <c r="N316" i="1"/>
  <c r="J316" i="1"/>
  <c r="F316" i="1"/>
  <c r="B316" i="1"/>
  <c r="N315" i="1"/>
  <c r="J315" i="1"/>
  <c r="F315" i="1"/>
  <c r="B315" i="1"/>
  <c r="N314" i="1"/>
  <c r="J314" i="1"/>
  <c r="F314" i="1"/>
  <c r="B314" i="1"/>
  <c r="N313" i="1"/>
  <c r="J313" i="1"/>
  <c r="F313" i="1"/>
  <c r="B313" i="1"/>
  <c r="N312" i="1"/>
  <c r="J312" i="1"/>
  <c r="F312" i="1"/>
  <c r="B312" i="1"/>
  <c r="N311" i="1"/>
  <c r="J311" i="1"/>
  <c r="F311" i="1"/>
  <c r="B311" i="1"/>
  <c r="N310" i="1"/>
  <c r="J310" i="1"/>
  <c r="F310" i="1"/>
  <c r="B310" i="1"/>
  <c r="N309" i="1"/>
  <c r="J309" i="1"/>
  <c r="F309" i="1"/>
  <c r="B309" i="1"/>
  <c r="N308" i="1"/>
  <c r="J308" i="1"/>
  <c r="F308" i="1"/>
  <c r="B308" i="1"/>
  <c r="N307" i="1"/>
  <c r="J307" i="1"/>
  <c r="F307" i="1"/>
  <c r="B307" i="1"/>
  <c r="N306" i="1"/>
  <c r="J306" i="1"/>
  <c r="F306" i="1"/>
  <c r="B306" i="1"/>
  <c r="N305" i="1"/>
  <c r="J305" i="1"/>
  <c r="F305" i="1"/>
  <c r="B305" i="1"/>
  <c r="N304" i="1"/>
  <c r="J304" i="1"/>
  <c r="F304" i="1"/>
  <c r="B304" i="1"/>
  <c r="N303" i="1"/>
  <c r="J303" i="1"/>
  <c r="F303" i="1"/>
  <c r="A169" i="1"/>
  <c r="A185" i="1" s="1"/>
  <c r="A211" i="1" s="1"/>
  <c r="A229" i="1" s="1"/>
  <c r="B169" i="1"/>
  <c r="B185" i="1" s="1"/>
  <c r="B211" i="1" s="1"/>
  <c r="B229" i="1" s="1"/>
  <c r="C169" i="1"/>
  <c r="C185" i="1" s="1"/>
  <c r="C211" i="1" s="1"/>
  <c r="C229" i="1" s="1"/>
  <c r="A170" i="1"/>
  <c r="A186" i="1" s="1"/>
  <c r="A212" i="1" s="1"/>
  <c r="A230" i="1" s="1"/>
  <c r="B170" i="1"/>
  <c r="B186" i="1" s="1"/>
  <c r="B212" i="1" s="1"/>
  <c r="B230" i="1" s="1"/>
  <c r="C170" i="1"/>
  <c r="C186" i="1" s="1"/>
  <c r="C212" i="1" s="1"/>
  <c r="C230" i="1" s="1"/>
  <c r="A171" i="1"/>
  <c r="A187" i="1" s="1"/>
  <c r="A213" i="1" s="1"/>
  <c r="A231" i="1" s="1"/>
  <c r="B171" i="1"/>
  <c r="B187" i="1" s="1"/>
  <c r="B213" i="1" s="1"/>
  <c r="B231" i="1" s="1"/>
  <c r="C171" i="1"/>
  <c r="C187" i="1" s="1"/>
  <c r="C213" i="1" s="1"/>
  <c r="C231" i="1" s="1"/>
  <c r="A172" i="1"/>
  <c r="A188" i="1" s="1"/>
  <c r="A214" i="1" s="1"/>
  <c r="A232" i="1" s="1"/>
  <c r="B172" i="1"/>
  <c r="B188" i="1" s="1"/>
  <c r="B214" i="1" s="1"/>
  <c r="B232" i="1" s="1"/>
  <c r="C172" i="1"/>
  <c r="C188" i="1" s="1"/>
  <c r="C214" i="1" s="1"/>
  <c r="C232" i="1" s="1"/>
  <c r="A173" i="1"/>
  <c r="A189" i="1" s="1"/>
  <c r="A215" i="1" s="1"/>
  <c r="A233" i="1" s="1"/>
  <c r="B173" i="1"/>
  <c r="B189" i="1" s="1"/>
  <c r="B215" i="1" s="1"/>
  <c r="B233" i="1" s="1"/>
  <c r="C173" i="1"/>
  <c r="C189" i="1" s="1"/>
  <c r="C215" i="1" s="1"/>
  <c r="C233" i="1" s="1"/>
  <c r="A174" i="1"/>
  <c r="A190" i="1" s="1"/>
  <c r="A216" i="1" s="1"/>
  <c r="A234" i="1" s="1"/>
  <c r="B174" i="1"/>
  <c r="B190" i="1" s="1"/>
  <c r="B216" i="1" s="1"/>
  <c r="B234" i="1" s="1"/>
  <c r="C174" i="1"/>
  <c r="C190" i="1" s="1"/>
  <c r="C216" i="1" s="1"/>
  <c r="C234" i="1" s="1"/>
  <c r="A175" i="1"/>
  <c r="A191" i="1" s="1"/>
  <c r="A217" i="1" s="1"/>
  <c r="A235" i="1" s="1"/>
  <c r="B175" i="1"/>
  <c r="B191" i="1" s="1"/>
  <c r="B217" i="1" s="1"/>
  <c r="B235" i="1" s="1"/>
  <c r="C175" i="1"/>
  <c r="C191" i="1" s="1"/>
  <c r="C217" i="1" s="1"/>
  <c r="C235" i="1" s="1"/>
  <c r="A176" i="1"/>
  <c r="A192" i="1" s="1"/>
  <c r="A218" i="1" s="1"/>
  <c r="A236" i="1" s="1"/>
  <c r="B176" i="1"/>
  <c r="B192" i="1" s="1"/>
  <c r="B218" i="1" s="1"/>
  <c r="B236" i="1" s="1"/>
  <c r="C176" i="1"/>
  <c r="C192" i="1" s="1"/>
  <c r="C218" i="1" s="1"/>
  <c r="C236" i="1" s="1"/>
  <c r="A177" i="1"/>
  <c r="A193" i="1" s="1"/>
  <c r="A219" i="1" s="1"/>
  <c r="A237" i="1" s="1"/>
  <c r="B177" i="1"/>
  <c r="B193" i="1" s="1"/>
  <c r="B219" i="1" s="1"/>
  <c r="B237" i="1" s="1"/>
  <c r="C177" i="1"/>
  <c r="C193" i="1" s="1"/>
  <c r="C219" i="1" s="1"/>
  <c r="C237" i="1" s="1"/>
  <c r="A178" i="1"/>
  <c r="A194" i="1" s="1"/>
  <c r="A220" i="1" s="1"/>
  <c r="A238" i="1" s="1"/>
  <c r="B178" i="1"/>
  <c r="B194" i="1" s="1"/>
  <c r="B220" i="1" s="1"/>
  <c r="B238" i="1" s="1"/>
  <c r="C178" i="1"/>
  <c r="C194" i="1" s="1"/>
  <c r="C220" i="1" s="1"/>
  <c r="C238" i="1" s="1"/>
  <c r="A179" i="1"/>
  <c r="A195" i="1" s="1"/>
  <c r="A221" i="1" s="1"/>
  <c r="A239" i="1" s="1"/>
  <c r="B179" i="1"/>
  <c r="B195" i="1" s="1"/>
  <c r="B221" i="1" s="1"/>
  <c r="B239" i="1" s="1"/>
  <c r="C179" i="1"/>
  <c r="C195" i="1" s="1"/>
  <c r="C221" i="1" s="1"/>
  <c r="C239" i="1" s="1"/>
  <c r="A168" i="1"/>
  <c r="A184" i="1" s="1"/>
  <c r="A210" i="1" s="1"/>
  <c r="A228" i="1" s="1"/>
  <c r="S168" i="1"/>
  <c r="S184" i="1" s="1"/>
  <c r="B168" i="1"/>
  <c r="B184" i="1" s="1"/>
  <c r="B210" i="1" s="1"/>
  <c r="B228" i="1" s="1"/>
  <c r="C168" i="1"/>
  <c r="C184" i="1" s="1"/>
  <c r="C210" i="1" s="1"/>
  <c r="C228" i="1" s="1"/>
  <c r="U168" i="1"/>
  <c r="U184" i="1" s="1"/>
  <c r="E167" i="1"/>
  <c r="F167" i="1"/>
  <c r="G167" i="1"/>
  <c r="H167" i="1"/>
  <c r="I167" i="1"/>
  <c r="J167" i="1"/>
  <c r="K167" i="1"/>
  <c r="L167" i="1"/>
  <c r="M167" i="1"/>
  <c r="N167" i="1"/>
  <c r="O167" i="1"/>
  <c r="D167" i="1"/>
  <c r="U169" i="1"/>
  <c r="U185" i="1" s="1"/>
  <c r="U170" i="1"/>
  <c r="U186" i="1" s="1"/>
  <c r="U171" i="1"/>
  <c r="U187" i="1" s="1"/>
  <c r="U172" i="1"/>
  <c r="U188" i="1" s="1"/>
  <c r="U173" i="1"/>
  <c r="U189" i="1" s="1"/>
  <c r="U174" i="1"/>
  <c r="U190" i="1" s="1"/>
  <c r="U175" i="1"/>
  <c r="U191" i="1" s="1"/>
  <c r="U176" i="1"/>
  <c r="U192" i="1" s="1"/>
  <c r="U177" i="1"/>
  <c r="U193" i="1" s="1"/>
  <c r="S169" i="1"/>
  <c r="S185" i="1" s="1"/>
  <c r="T169" i="1"/>
  <c r="T185" i="1" s="1"/>
  <c r="S170" i="1"/>
  <c r="S186" i="1" s="1"/>
  <c r="T170" i="1"/>
  <c r="T186" i="1" s="1"/>
  <c r="S171" i="1"/>
  <c r="S187" i="1" s="1"/>
  <c r="T171" i="1"/>
  <c r="T187" i="1" s="1"/>
  <c r="S172" i="1"/>
  <c r="S188" i="1" s="1"/>
  <c r="T172" i="1"/>
  <c r="T188" i="1" s="1"/>
  <c r="S173" i="1"/>
  <c r="S189" i="1" s="1"/>
  <c r="T173" i="1"/>
  <c r="T189" i="1" s="1"/>
  <c r="S174" i="1"/>
  <c r="S190" i="1" s="1"/>
  <c r="T174" i="1"/>
  <c r="T190" i="1" s="1"/>
  <c r="S175" i="1"/>
  <c r="S191" i="1" s="1"/>
  <c r="T175" i="1"/>
  <c r="T191" i="1" s="1"/>
  <c r="S176" i="1"/>
  <c r="S192" i="1" s="1"/>
  <c r="T176" i="1"/>
  <c r="T192" i="1" s="1"/>
  <c r="S177" i="1"/>
  <c r="S193" i="1" s="1"/>
  <c r="T177" i="1"/>
  <c r="T193" i="1" s="1"/>
  <c r="S178" i="1"/>
  <c r="S194" i="1" s="1"/>
  <c r="T178" i="1"/>
  <c r="T194" i="1" s="1"/>
  <c r="S179" i="1"/>
  <c r="S195" i="1" s="1"/>
  <c r="T179" i="1"/>
  <c r="T195" i="1" s="1"/>
  <c r="T168" i="1"/>
  <c r="T184" i="1" s="1"/>
  <c r="U178" i="1"/>
  <c r="U194" i="1" s="1"/>
  <c r="U179" i="1"/>
  <c r="U195" i="1" s="1"/>
  <c r="A413" i="1" l="1"/>
  <c r="A403" i="1"/>
  <c r="A405" i="1"/>
  <c r="A407" i="1"/>
  <c r="A409" i="1"/>
  <c r="A401" i="1"/>
  <c r="A400" i="1"/>
  <c r="A408" i="1"/>
  <c r="A402" i="1"/>
  <c r="A410" i="1"/>
  <c r="A415" i="1"/>
  <c r="A404" i="1"/>
  <c r="A412" i="1"/>
  <c r="A406" i="1"/>
  <c r="A414" i="1"/>
  <c r="F340" i="1" l="1"/>
  <c r="G340" i="1"/>
  <c r="H340" i="1"/>
  <c r="I340" i="1"/>
  <c r="J340" i="1"/>
  <c r="K340" i="1"/>
  <c r="C340" i="1"/>
  <c r="D340" i="1"/>
  <c r="M340" i="1"/>
  <c r="N340" i="1"/>
  <c r="O340" i="1"/>
  <c r="Q340" i="1"/>
  <c r="C341" i="1"/>
  <c r="D341" i="1"/>
  <c r="E341" i="1"/>
  <c r="G341" i="1"/>
  <c r="H341" i="1"/>
  <c r="I341" i="1"/>
  <c r="K341" i="1"/>
  <c r="L341" i="1"/>
  <c r="N341" i="1"/>
  <c r="O341" i="1"/>
  <c r="Q341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Q342" i="1"/>
  <c r="C343" i="1"/>
  <c r="D343" i="1"/>
  <c r="E343" i="1"/>
  <c r="G343" i="1"/>
  <c r="H343" i="1"/>
  <c r="J343" i="1"/>
  <c r="K343" i="1"/>
  <c r="L343" i="1"/>
  <c r="M343" i="1"/>
  <c r="O343" i="1"/>
  <c r="Q343" i="1"/>
  <c r="D344" i="1"/>
  <c r="E344" i="1"/>
  <c r="F344" i="1"/>
  <c r="G344" i="1"/>
  <c r="H344" i="1"/>
  <c r="I344" i="1"/>
  <c r="J344" i="1"/>
  <c r="M344" i="1"/>
  <c r="N344" i="1"/>
  <c r="O344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Q345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Q346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Q347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Q348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Q349" i="1"/>
  <c r="B341" i="1"/>
  <c r="B342" i="1"/>
  <c r="B343" i="1"/>
  <c r="B344" i="1"/>
  <c r="B345" i="1"/>
  <c r="B346" i="1"/>
  <c r="B347" i="1"/>
  <c r="B348" i="1"/>
  <c r="B349" i="1"/>
  <c r="C326" i="1"/>
  <c r="E326" i="1" s="1"/>
  <c r="C327" i="1"/>
  <c r="E327" i="1" s="1"/>
  <c r="C328" i="1"/>
  <c r="E328" i="1" s="1"/>
  <c r="C329" i="1"/>
  <c r="E329" i="1" s="1"/>
  <c r="C330" i="1"/>
  <c r="E330" i="1" s="1"/>
  <c r="C331" i="1"/>
  <c r="E331" i="1" s="1"/>
  <c r="C332" i="1"/>
  <c r="E332" i="1" s="1"/>
  <c r="C333" i="1"/>
  <c r="E333" i="1" s="1"/>
  <c r="C334" i="1"/>
  <c r="E334" i="1" s="1"/>
  <c r="C335" i="1"/>
  <c r="E335" i="1" s="1"/>
  <c r="C336" i="1"/>
  <c r="E336" i="1" s="1"/>
  <c r="C325" i="1"/>
  <c r="E325" i="1" s="1"/>
  <c r="B332" i="1"/>
  <c r="D332" i="1" s="1"/>
  <c r="B333" i="1"/>
  <c r="D333" i="1" s="1"/>
  <c r="B334" i="1"/>
  <c r="D334" i="1" s="1"/>
  <c r="B335" i="1"/>
  <c r="D335" i="1" s="1"/>
  <c r="B336" i="1"/>
  <c r="D336" i="1" s="1"/>
  <c r="H325" i="1"/>
  <c r="H326" i="1"/>
  <c r="H328" i="1"/>
  <c r="H329" i="1"/>
  <c r="B325" i="1"/>
  <c r="D325" i="1" s="1"/>
  <c r="B326" i="1"/>
  <c r="D326" i="1" s="1"/>
  <c r="B327" i="1"/>
  <c r="D327" i="1" s="1"/>
  <c r="B328" i="1"/>
  <c r="D328" i="1" s="1"/>
  <c r="B329" i="1"/>
  <c r="D329" i="1" s="1"/>
  <c r="B330" i="1"/>
  <c r="D330" i="1" s="1"/>
  <c r="B331" i="1"/>
  <c r="D331" i="1" s="1"/>
  <c r="Z141" i="1"/>
  <c r="Y141" i="1"/>
  <c r="X141" i="1"/>
  <c r="W141" i="1"/>
  <c r="U126" i="1"/>
  <c r="U144" i="1" s="1"/>
  <c r="U127" i="1"/>
  <c r="U145" i="1" s="1"/>
  <c r="U128" i="1"/>
  <c r="U146" i="1" s="1"/>
  <c r="U129" i="1"/>
  <c r="U147" i="1" s="1"/>
  <c r="U130" i="1"/>
  <c r="U148" i="1" s="1"/>
  <c r="U131" i="1"/>
  <c r="U149" i="1" s="1"/>
  <c r="U132" i="1"/>
  <c r="U150" i="1" s="1"/>
  <c r="U125" i="1"/>
  <c r="U143" i="1" s="1"/>
  <c r="V126" i="1"/>
  <c r="V144" i="1" s="1"/>
  <c r="V127" i="1"/>
  <c r="V145" i="1" s="1"/>
  <c r="V128" i="1"/>
  <c r="V146" i="1" s="1"/>
  <c r="V147" i="1"/>
  <c r="V148" i="1"/>
  <c r="V149" i="1"/>
  <c r="V150" i="1"/>
  <c r="V125" i="1"/>
  <c r="F327" i="1" l="1"/>
  <c r="G327" i="1" s="1"/>
  <c r="H327" i="1" s="1"/>
  <c r="F326" i="1"/>
  <c r="F332" i="1"/>
  <c r="G332" i="1" s="1"/>
  <c r="H332" i="1" s="1"/>
  <c r="F325" i="1"/>
  <c r="F329" i="1"/>
  <c r="F330" i="1"/>
  <c r="G330" i="1" s="1"/>
  <c r="H330" i="1" s="1"/>
  <c r="F328" i="1"/>
  <c r="F331" i="1"/>
  <c r="G331" i="1" s="1"/>
  <c r="H331" i="1" s="1"/>
  <c r="F336" i="1"/>
  <c r="G336" i="1" s="1"/>
  <c r="H336" i="1" s="1"/>
  <c r="F334" i="1"/>
  <c r="G334" i="1" s="1"/>
  <c r="H334" i="1" s="1"/>
  <c r="F333" i="1"/>
  <c r="G333" i="1" s="1"/>
  <c r="H333" i="1" s="1"/>
  <c r="F335" i="1"/>
  <c r="G335" i="1" s="1"/>
  <c r="H335" i="1" s="1"/>
  <c r="C356" i="1"/>
  <c r="B355" i="1"/>
  <c r="X143" i="1" a="1"/>
  <c r="X143" i="1" s="1"/>
  <c r="Z143" i="1" s="1"/>
  <c r="W143" i="1" a="1"/>
  <c r="W146" i="1" s="1"/>
  <c r="Y146" i="1" s="1"/>
  <c r="W124" i="1" a="1"/>
  <c r="AD124" i="1" s="1"/>
  <c r="AC167" i="1" s="1"/>
  <c r="W123" i="1" a="1"/>
  <c r="W123" i="1" s="1"/>
  <c r="V143" i="1"/>
  <c r="X124" i="1" l="1"/>
  <c r="W167" i="1" s="1"/>
  <c r="AB123" i="1"/>
  <c r="Y124" i="1"/>
  <c r="X167" i="1" s="1"/>
  <c r="W124" i="1"/>
  <c r="V167" i="1" s="1"/>
  <c r="AD123" i="1"/>
  <c r="AC124" i="1"/>
  <c r="AB167" i="1" s="1"/>
  <c r="AA124" i="1"/>
  <c r="Z167" i="1" s="1"/>
  <c r="AC123" i="1"/>
  <c r="AB124" i="1"/>
  <c r="AA167" i="1" s="1"/>
  <c r="X123" i="1"/>
  <c r="AA123" i="1"/>
  <c r="Z123" i="1"/>
  <c r="Z124" i="1"/>
  <c r="Y167" i="1" s="1"/>
  <c r="X150" i="1"/>
  <c r="Z150" i="1" s="1"/>
  <c r="W144" i="1"/>
  <c r="Y144" i="1" s="1"/>
  <c r="X148" i="1"/>
  <c r="Z148" i="1" s="1"/>
  <c r="W150" i="1"/>
  <c r="Y150" i="1" s="1"/>
  <c r="W149" i="1"/>
  <c r="Y149" i="1" s="1"/>
  <c r="X145" i="1"/>
  <c r="Z145" i="1" s="1"/>
  <c r="W147" i="1"/>
  <c r="Y147" i="1" s="1"/>
  <c r="X144" i="1"/>
  <c r="Z144" i="1" s="1"/>
  <c r="X146" i="1"/>
  <c r="Z146" i="1" s="1"/>
  <c r="W148" i="1"/>
  <c r="Y148" i="1" s="1"/>
  <c r="Y123" i="1"/>
  <c r="X147" i="1"/>
  <c r="Z147" i="1" s="1"/>
  <c r="X149" i="1"/>
  <c r="Z149" i="1" s="1"/>
  <c r="W143" i="1"/>
  <c r="W145" i="1"/>
  <c r="Y145" i="1" s="1"/>
  <c r="Y143" i="1" l="1"/>
  <c r="W158" i="1" s="1" a="1"/>
  <c r="W158" i="1" l="1"/>
  <c r="W160" i="1"/>
  <c r="Z159" i="1"/>
  <c r="Y159" i="1"/>
  <c r="X159" i="1"/>
  <c r="W159" i="1"/>
  <c r="Z158" i="1"/>
  <c r="Y158" i="1"/>
  <c r="X158" i="1"/>
  <c r="Z161" i="1"/>
  <c r="Y161" i="1"/>
  <c r="X161" i="1"/>
  <c r="W161" i="1"/>
  <c r="Z160" i="1"/>
  <c r="Y160" i="1"/>
  <c r="X160" i="1"/>
  <c r="V184" i="1" a="1"/>
  <c r="W190" i="1" s="1"/>
  <c r="V194" i="1" a="1"/>
  <c r="V192" i="1" l="1"/>
  <c r="Y193" i="1"/>
  <c r="V185" i="1"/>
  <c r="Y186" i="1"/>
  <c r="W192" i="1"/>
  <c r="W185" i="1"/>
  <c r="V190" i="1"/>
  <c r="V187" i="1"/>
  <c r="Y188" i="1"/>
  <c r="X184" i="1"/>
  <c r="X190" i="1"/>
  <c r="W187" i="1"/>
  <c r="V189" i="1"/>
  <c r="Y190" i="1"/>
  <c r="X187" i="1"/>
  <c r="W193" i="1"/>
  <c r="X193" i="1"/>
  <c r="V191" i="1"/>
  <c r="Y192" i="1"/>
  <c r="X191" i="1"/>
  <c r="Y185" i="1"/>
  <c r="W191" i="1"/>
  <c r="V193" i="1"/>
  <c r="W184" i="1"/>
  <c r="X185" i="1"/>
  <c r="X189" i="1"/>
  <c r="Y191" i="1"/>
  <c r="X188" i="1"/>
  <c r="W186" i="1"/>
  <c r="V184" i="1"/>
  <c r="V188" i="1"/>
  <c r="Y189" i="1"/>
  <c r="X186" i="1"/>
  <c r="X192" i="1"/>
  <c r="W188" i="1"/>
  <c r="Y187" i="1"/>
  <c r="V186" i="1"/>
  <c r="W189" i="1"/>
  <c r="Y184" i="1"/>
  <c r="V194" i="1"/>
  <c r="Y195" i="1"/>
  <c r="Y194" i="1"/>
  <c r="X194" i="1"/>
  <c r="X195" i="1"/>
  <c r="W195" i="1"/>
  <c r="V195" i="1"/>
  <c r="W194" i="1"/>
  <c r="H246" i="1" l="1"/>
  <c r="G246" i="1"/>
  <c r="F246" i="1"/>
  <c r="E246" i="1"/>
  <c r="D246" i="1"/>
  <c r="C246" i="1"/>
  <c r="E21" i="1"/>
  <c r="B274" i="1" s="1"/>
  <c r="E19" i="1"/>
  <c r="B272" i="1" s="1"/>
  <c r="E22" i="1"/>
  <c r="B275" i="1" s="1"/>
  <c r="E20" i="1"/>
  <c r="B273" i="1" s="1"/>
  <c r="E23" i="1"/>
  <c r="B276" i="1" s="1"/>
  <c r="E18" i="1"/>
  <c r="G28" i="1"/>
  <c r="G29" i="1"/>
  <c r="G30" i="1"/>
  <c r="G31" i="1"/>
  <c r="G32" i="1"/>
  <c r="G33" i="1"/>
  <c r="G34" i="1"/>
  <c r="G35" i="1"/>
  <c r="G36" i="1"/>
  <c r="E271" i="1" a="1"/>
  <c r="G38" i="1"/>
  <c r="G27" i="1"/>
  <c r="E271" i="1" l="1"/>
  <c r="E274" i="1"/>
  <c r="E275" i="1"/>
  <c r="E273" i="1"/>
  <c r="E276" i="1"/>
  <c r="E272" i="1"/>
  <c r="D227" i="1" a="1"/>
  <c r="G227" i="1" s="1"/>
  <c r="B271" i="1"/>
  <c r="B519" i="1" s="1"/>
  <c r="B552" i="1" s="1"/>
  <c r="E123" i="1" a="1"/>
  <c r="E123" i="1" s="1"/>
  <c r="E124" i="1" a="1"/>
  <c r="E124" i="1" s="1"/>
  <c r="C245" i="1" a="1"/>
  <c r="C245" i="1" s="1"/>
  <c r="B521" i="1"/>
  <c r="B554" i="1" s="1"/>
  <c r="B522" i="1"/>
  <c r="B555" i="1" s="1"/>
  <c r="B523" i="1"/>
  <c r="B556" i="1" s="1"/>
  <c r="B524" i="1"/>
  <c r="B557" i="1" s="1"/>
  <c r="B520" i="1"/>
  <c r="B553" i="1" s="1"/>
  <c r="C271" i="1" l="1" a="1"/>
  <c r="D227" i="1"/>
  <c r="F227" i="1"/>
  <c r="E227" i="1"/>
  <c r="I227" i="1"/>
  <c r="H227" i="1"/>
  <c r="F123" i="1"/>
  <c r="G123" i="1"/>
  <c r="I123" i="1"/>
  <c r="H123" i="1"/>
  <c r="M123" i="1"/>
  <c r="P123" i="1"/>
  <c r="L123" i="1"/>
  <c r="O123" i="1"/>
  <c r="K123" i="1"/>
  <c r="J123" i="1"/>
  <c r="F124" i="1"/>
  <c r="P124" i="1"/>
  <c r="N123" i="1"/>
  <c r="I124" i="1"/>
  <c r="N124" i="1"/>
  <c r="K124" i="1"/>
  <c r="G124" i="1"/>
  <c r="H124" i="1"/>
  <c r="O124" i="1"/>
  <c r="M124" i="1"/>
  <c r="J124" i="1"/>
  <c r="L124" i="1"/>
  <c r="H245" i="1"/>
  <c r="E245" i="1"/>
  <c r="D245" i="1"/>
  <c r="G245" i="1"/>
  <c r="F245" i="1"/>
  <c r="B445" i="1"/>
  <c r="J445" i="1" s="1"/>
  <c r="B446" i="1"/>
  <c r="J446" i="1" s="1"/>
  <c r="B447" i="1"/>
  <c r="J447" i="1" s="1"/>
  <c r="B448" i="1"/>
  <c r="J448" i="1" s="1"/>
  <c r="B449" i="1"/>
  <c r="J449" i="1" s="1"/>
  <c r="B444" i="1"/>
  <c r="B455" i="1"/>
  <c r="B474" i="1" s="1"/>
  <c r="B506" i="1" s="1"/>
  <c r="B456" i="1"/>
  <c r="B475" i="1" s="1"/>
  <c r="B507" i="1" s="1"/>
  <c r="B457" i="1"/>
  <c r="B476" i="1" s="1"/>
  <c r="B508" i="1" s="1"/>
  <c r="B458" i="1"/>
  <c r="B477" i="1" s="1"/>
  <c r="B509" i="1" s="1"/>
  <c r="B459" i="1"/>
  <c r="B478" i="1" s="1"/>
  <c r="B510" i="1" s="1"/>
  <c r="B460" i="1"/>
  <c r="B479" i="1" s="1"/>
  <c r="B511" i="1" s="1"/>
  <c r="B461" i="1"/>
  <c r="B480" i="1" s="1"/>
  <c r="B512" i="1" s="1"/>
  <c r="B462" i="1"/>
  <c r="B481" i="1" s="1"/>
  <c r="B513" i="1" s="1"/>
  <c r="B463" i="1"/>
  <c r="B482" i="1" s="1"/>
  <c r="B514" i="1" s="1"/>
  <c r="B464" i="1"/>
  <c r="B483" i="1" s="1"/>
  <c r="B515" i="1" s="1"/>
  <c r="B465" i="1"/>
  <c r="B484" i="1" s="1"/>
  <c r="B516" i="1" s="1"/>
  <c r="B454" i="1"/>
  <c r="B473" i="1" s="1"/>
  <c r="B505" i="1" s="1"/>
  <c r="C420" i="1"/>
  <c r="Q419" i="1"/>
  <c r="A421" i="1"/>
  <c r="B533" i="1" s="1"/>
  <c r="B421" i="1"/>
  <c r="C533" i="1" s="1"/>
  <c r="C421" i="1"/>
  <c r="A422" i="1"/>
  <c r="B534" i="1" s="1"/>
  <c r="B422" i="1"/>
  <c r="C534" i="1" s="1"/>
  <c r="C422" i="1"/>
  <c r="A423" i="1"/>
  <c r="B535" i="1" s="1"/>
  <c r="B423" i="1"/>
  <c r="C535" i="1" s="1"/>
  <c r="C423" i="1"/>
  <c r="A424" i="1"/>
  <c r="B536" i="1" s="1"/>
  <c r="B424" i="1"/>
  <c r="C536" i="1" s="1"/>
  <c r="C424" i="1"/>
  <c r="A425" i="1"/>
  <c r="B537" i="1" s="1"/>
  <c r="B425" i="1"/>
  <c r="C537" i="1" s="1"/>
  <c r="C425" i="1"/>
  <c r="A426" i="1"/>
  <c r="B538" i="1" s="1"/>
  <c r="B426" i="1"/>
  <c r="C538" i="1" s="1"/>
  <c r="C426" i="1"/>
  <c r="A427" i="1"/>
  <c r="B539" i="1" s="1"/>
  <c r="B427" i="1"/>
  <c r="C539" i="1" s="1"/>
  <c r="C427" i="1"/>
  <c r="A428" i="1"/>
  <c r="B540" i="1" s="1"/>
  <c r="B428" i="1"/>
  <c r="C540" i="1" s="1"/>
  <c r="C428" i="1"/>
  <c r="A429" i="1"/>
  <c r="B541" i="1" s="1"/>
  <c r="B429" i="1"/>
  <c r="C541" i="1" s="1"/>
  <c r="C429" i="1"/>
  <c r="A430" i="1"/>
  <c r="B542" i="1" s="1"/>
  <c r="B430" i="1"/>
  <c r="C542" i="1" s="1"/>
  <c r="C430" i="1"/>
  <c r="A431" i="1"/>
  <c r="B543" i="1" s="1"/>
  <c r="B431" i="1"/>
  <c r="C543" i="1" s="1"/>
  <c r="C431" i="1"/>
  <c r="A420" i="1"/>
  <c r="B532" i="1" s="1"/>
  <c r="B420" i="1"/>
  <c r="C532" i="1" s="1"/>
  <c r="F359" i="1"/>
  <c r="E358" i="1"/>
  <c r="I228" i="1"/>
  <c r="H228" i="1"/>
  <c r="G228" i="1"/>
  <c r="F228" i="1"/>
  <c r="E228" i="1"/>
  <c r="D228" i="1"/>
  <c r="C276" i="1" l="1"/>
  <c r="C275" i="1"/>
  <c r="C271" i="1"/>
  <c r="C274" i="1"/>
  <c r="C273" i="1"/>
  <c r="C272" i="1"/>
  <c r="Q428" i="1"/>
  <c r="AE428" i="1" s="1"/>
  <c r="D540" i="1"/>
  <c r="Q424" i="1"/>
  <c r="AE424" i="1" s="1"/>
  <c r="D536" i="1"/>
  <c r="Q429" i="1"/>
  <c r="AE429" i="1" s="1"/>
  <c r="D541" i="1"/>
  <c r="Q425" i="1"/>
  <c r="AE425" i="1" s="1"/>
  <c r="D537" i="1"/>
  <c r="Q421" i="1"/>
  <c r="AE421" i="1" s="1"/>
  <c r="D533" i="1"/>
  <c r="Q420" i="1"/>
  <c r="AE420" i="1" s="1"/>
  <c r="D532" i="1"/>
  <c r="Q430" i="1"/>
  <c r="AE430" i="1" s="1"/>
  <c r="D542" i="1"/>
  <c r="Q426" i="1"/>
  <c r="AE426" i="1" s="1"/>
  <c r="D538" i="1"/>
  <c r="Q422" i="1"/>
  <c r="AE422" i="1" s="1"/>
  <c r="D534" i="1"/>
  <c r="J444" i="1"/>
  <c r="C565" i="1" a="1"/>
  <c r="Q431" i="1"/>
  <c r="AE431" i="1" s="1"/>
  <c r="D543" i="1"/>
  <c r="Q427" i="1"/>
  <c r="AE427" i="1" s="1"/>
  <c r="D539" i="1"/>
  <c r="Q423" i="1"/>
  <c r="AE423" i="1" s="1"/>
  <c r="D535" i="1"/>
  <c r="B497" i="1" a="1"/>
  <c r="B497" i="1" s="1"/>
  <c r="C453" i="1" a="1"/>
  <c r="C453" i="1" s="1"/>
  <c r="C443" i="1" a="1"/>
  <c r="E443" i="1" s="1"/>
  <c r="M443" i="1" s="1"/>
  <c r="H142" i="1" a="1"/>
  <c r="H142" i="1" s="1"/>
  <c r="D418" i="1" a="1"/>
  <c r="D418" i="1" s="1"/>
  <c r="D419" i="1" a="1"/>
  <c r="J419" i="1" s="1"/>
  <c r="I496" i="1" s="1"/>
  <c r="G142" i="1" a="1"/>
  <c r="G142" i="1" s="1"/>
  <c r="E142" i="1" a="1"/>
  <c r="E142" i="1" s="1"/>
  <c r="F142" i="1" a="1"/>
  <c r="F142" i="1" s="1"/>
  <c r="D357" i="1"/>
  <c r="C565" i="1" l="1"/>
  <c r="D565" i="1"/>
  <c r="H565" i="1"/>
  <c r="G565" i="1"/>
  <c r="F565" i="1"/>
  <c r="E565" i="1"/>
  <c r="B498" i="1"/>
  <c r="B502" i="1"/>
  <c r="B501" i="1"/>
  <c r="B499" i="1"/>
  <c r="B500" i="1"/>
  <c r="D202" i="1" a="1"/>
  <c r="H418" i="1"/>
  <c r="G443" i="1"/>
  <c r="O443" i="1" s="1"/>
  <c r="I453" i="1"/>
  <c r="F453" i="1"/>
  <c r="K453" i="1"/>
  <c r="H443" i="1"/>
  <c r="P443" i="1" s="1"/>
  <c r="D453" i="1"/>
  <c r="C443" i="1"/>
  <c r="K443" i="1" s="1"/>
  <c r="M453" i="1"/>
  <c r="H453" i="1"/>
  <c r="J453" i="1"/>
  <c r="E453" i="1"/>
  <c r="H153" i="1"/>
  <c r="J418" i="1"/>
  <c r="G453" i="1"/>
  <c r="L453" i="1"/>
  <c r="F443" i="1"/>
  <c r="N443" i="1" s="1"/>
  <c r="N453" i="1"/>
  <c r="D443" i="1"/>
  <c r="L443" i="1" s="1"/>
  <c r="L418" i="1"/>
  <c r="O418" i="1"/>
  <c r="M418" i="1"/>
  <c r="N418" i="1"/>
  <c r="K418" i="1"/>
  <c r="X419" i="1"/>
  <c r="AL419" i="1"/>
  <c r="H152" i="1"/>
  <c r="I419" i="1"/>
  <c r="H496" i="1" s="1"/>
  <c r="I418" i="1"/>
  <c r="K419" i="1"/>
  <c r="J496" i="1" s="1"/>
  <c r="F418" i="1"/>
  <c r="L419" i="1"/>
  <c r="K496" i="1" s="1"/>
  <c r="F419" i="1"/>
  <c r="E496" i="1" s="1"/>
  <c r="D419" i="1"/>
  <c r="C496" i="1" s="1"/>
  <c r="H144" i="1"/>
  <c r="G144" i="1"/>
  <c r="H147" i="1"/>
  <c r="H419" i="1"/>
  <c r="G496" i="1" s="1"/>
  <c r="E418" i="1"/>
  <c r="N419" i="1"/>
  <c r="M496" i="1" s="1"/>
  <c r="E419" i="1"/>
  <c r="D496" i="1" s="1"/>
  <c r="G418" i="1"/>
  <c r="G153" i="1"/>
  <c r="H151" i="1"/>
  <c r="G146" i="1"/>
  <c r="G150" i="1"/>
  <c r="G148" i="1"/>
  <c r="H146" i="1"/>
  <c r="H149" i="1"/>
  <c r="H148" i="1"/>
  <c r="G143" i="1"/>
  <c r="G145" i="1"/>
  <c r="H150" i="1"/>
  <c r="H143" i="1"/>
  <c r="H145" i="1"/>
  <c r="G151" i="1"/>
  <c r="G149" i="1"/>
  <c r="M419" i="1"/>
  <c r="L496" i="1" s="1"/>
  <c r="O419" i="1"/>
  <c r="N496" i="1" s="1"/>
  <c r="G419" i="1"/>
  <c r="F496" i="1" s="1"/>
  <c r="G147" i="1"/>
  <c r="G152" i="1"/>
  <c r="F143" i="1"/>
  <c r="F146" i="1"/>
  <c r="E145" i="1"/>
  <c r="F152" i="1"/>
  <c r="E151" i="1"/>
  <c r="E146" i="1"/>
  <c r="E153" i="1"/>
  <c r="E144" i="1"/>
  <c r="F150" i="1"/>
  <c r="F147" i="1"/>
  <c r="F149" i="1"/>
  <c r="E150" i="1"/>
  <c r="E143" i="1"/>
  <c r="E152" i="1"/>
  <c r="F148" i="1"/>
  <c r="F151" i="1"/>
  <c r="F153" i="1"/>
  <c r="E148" i="1"/>
  <c r="E147" i="1"/>
  <c r="E149" i="1"/>
  <c r="F145" i="1"/>
  <c r="F144" i="1"/>
  <c r="K364" i="1"/>
  <c r="M366" i="1"/>
  <c r="L365" i="1"/>
  <c r="G360" i="1"/>
  <c r="H361" i="1"/>
  <c r="I362" i="1"/>
  <c r="J363" i="1"/>
  <c r="E158" i="1" l="1" a="1"/>
  <c r="E158" i="1" s="1"/>
  <c r="F205" i="1"/>
  <c r="F204" i="1"/>
  <c r="F203" i="1"/>
  <c r="F202" i="1"/>
  <c r="D205" i="1"/>
  <c r="D204" i="1"/>
  <c r="G205" i="1"/>
  <c r="G203" i="1"/>
  <c r="G202" i="1"/>
  <c r="E205" i="1"/>
  <c r="E204" i="1"/>
  <c r="E203" i="1"/>
  <c r="E202" i="1"/>
  <c r="D202" i="1"/>
  <c r="D203" i="1"/>
  <c r="G204" i="1"/>
  <c r="D194" i="1" a="1"/>
  <c r="D194" i="1" s="1"/>
  <c r="D184" i="1" a="1"/>
  <c r="B370" i="1" a="1"/>
  <c r="I377" i="1" s="1"/>
  <c r="B385" i="1" a="1"/>
  <c r="B385" i="1" s="1"/>
  <c r="U419" i="1"/>
  <c r="AI419" i="1"/>
  <c r="AB419" i="1"/>
  <c r="AP419" i="1"/>
  <c r="Z419" i="1"/>
  <c r="AN419" i="1"/>
  <c r="W419" i="1"/>
  <c r="AK419" i="1"/>
  <c r="AC419" i="1"/>
  <c r="AQ419" i="1"/>
  <c r="AA419" i="1"/>
  <c r="AO419" i="1"/>
  <c r="V419" i="1"/>
  <c r="AJ419" i="1"/>
  <c r="R419" i="1"/>
  <c r="AF419" i="1"/>
  <c r="Y419" i="1"/>
  <c r="AM419" i="1"/>
  <c r="S419" i="1"/>
  <c r="AG419" i="1"/>
  <c r="T419" i="1"/>
  <c r="AH419" i="1"/>
  <c r="H158" i="1" l="1"/>
  <c r="G160" i="1"/>
  <c r="F161" i="1"/>
  <c r="F158" i="1"/>
  <c r="E160" i="1"/>
  <c r="G159" i="1"/>
  <c r="F160" i="1"/>
  <c r="H161" i="1"/>
  <c r="G161" i="1"/>
  <c r="H159" i="1"/>
  <c r="E159" i="1"/>
  <c r="G158" i="1"/>
  <c r="H160" i="1"/>
  <c r="F159" i="1"/>
  <c r="E161" i="1"/>
  <c r="F194" i="1"/>
  <c r="D195" i="1"/>
  <c r="E195" i="1"/>
  <c r="G195" i="1"/>
  <c r="F195" i="1"/>
  <c r="G194" i="1"/>
  <c r="E194" i="1"/>
  <c r="D184" i="1"/>
  <c r="G190" i="1"/>
  <c r="G184" i="1"/>
  <c r="F189" i="1"/>
  <c r="F184" i="1"/>
  <c r="E190" i="1"/>
  <c r="E186" i="1"/>
  <c r="G191" i="1"/>
  <c r="F185" i="1"/>
  <c r="D190" i="1"/>
  <c r="D186" i="1"/>
  <c r="F191" i="1"/>
  <c r="E192" i="1"/>
  <c r="E184" i="1"/>
  <c r="G185" i="1"/>
  <c r="D188" i="1"/>
  <c r="G186" i="1"/>
  <c r="F186" i="1"/>
  <c r="E187" i="1"/>
  <c r="F192" i="1"/>
  <c r="D187" i="1"/>
  <c r="G189" i="1"/>
  <c r="F193" i="1"/>
  <c r="F188" i="1"/>
  <c r="E193" i="1"/>
  <c r="E189" i="1"/>
  <c r="E185" i="1"/>
  <c r="G188" i="1"/>
  <c r="D193" i="1"/>
  <c r="D189" i="1"/>
  <c r="D185" i="1"/>
  <c r="G187" i="1"/>
  <c r="F187" i="1"/>
  <c r="E188" i="1"/>
  <c r="D192" i="1"/>
  <c r="G192" i="1"/>
  <c r="F190" i="1"/>
  <c r="E191" i="1"/>
  <c r="G193" i="1"/>
  <c r="D191" i="1"/>
  <c r="J370" i="1"/>
  <c r="AL370" i="1" s="1"/>
  <c r="M375" i="1"/>
  <c r="AO375" i="1" s="1"/>
  <c r="J374" i="1"/>
  <c r="AL374" i="1" s="1"/>
  <c r="K370" i="1"/>
  <c r="AM370" i="1" s="1"/>
  <c r="B379" i="1"/>
  <c r="AD379" i="1" s="1"/>
  <c r="C376" i="1"/>
  <c r="AE376" i="1" s="1"/>
  <c r="H371" i="1"/>
  <c r="AJ371" i="1" s="1"/>
  <c r="L375" i="1"/>
  <c r="AN375" i="1" s="1"/>
  <c r="L373" i="1"/>
  <c r="AN373" i="1" s="1"/>
  <c r="F371" i="1"/>
  <c r="AH371" i="1" s="1"/>
  <c r="H370" i="1"/>
  <c r="AJ370" i="1" s="1"/>
  <c r="E377" i="1"/>
  <c r="AG377" i="1" s="1"/>
  <c r="C378" i="1"/>
  <c r="AE378" i="1" s="1"/>
  <c r="E374" i="1"/>
  <c r="AG374" i="1" s="1"/>
  <c r="B377" i="1"/>
  <c r="AD377" i="1" s="1"/>
  <c r="D380" i="1"/>
  <c r="AF380" i="1" s="1"/>
  <c r="C373" i="1"/>
  <c r="AE373" i="1" s="1"/>
  <c r="D375" i="1"/>
  <c r="AF375" i="1" s="1"/>
  <c r="J378" i="1"/>
  <c r="AL378" i="1" s="1"/>
  <c r="K374" i="1"/>
  <c r="AM374" i="1" s="1"/>
  <c r="D371" i="1"/>
  <c r="AF371" i="1" s="1"/>
  <c r="D373" i="1"/>
  <c r="AF373" i="1" s="1"/>
  <c r="L378" i="1"/>
  <c r="AN378" i="1" s="1"/>
  <c r="M380" i="1"/>
  <c r="AO380" i="1" s="1"/>
  <c r="M373" i="1"/>
  <c r="AO373" i="1" s="1"/>
  <c r="G376" i="1"/>
  <c r="AI376" i="1" s="1"/>
  <c r="L381" i="1"/>
  <c r="AN381" i="1" s="1"/>
  <c r="F375" i="1"/>
  <c r="AH375" i="1" s="1"/>
  <c r="L376" i="1"/>
  <c r="AN376" i="1" s="1"/>
  <c r="G371" i="1"/>
  <c r="AI371" i="1" s="1"/>
  <c r="D370" i="1"/>
  <c r="AF370" i="1" s="1"/>
  <c r="F370" i="1"/>
  <c r="AH370" i="1" s="1"/>
  <c r="B381" i="1"/>
  <c r="AD381" i="1" s="1"/>
  <c r="E375" i="1"/>
  <c r="AG375" i="1" s="1"/>
  <c r="C377" i="1"/>
  <c r="AE377" i="1" s="1"/>
  <c r="M371" i="1"/>
  <c r="AO371" i="1" s="1"/>
  <c r="F381" i="1"/>
  <c r="AH381" i="1" s="1"/>
  <c r="C380" i="1"/>
  <c r="AE380" i="1" s="1"/>
  <c r="H375" i="1"/>
  <c r="AJ375" i="1" s="1"/>
  <c r="M372" i="1"/>
  <c r="AO372" i="1" s="1"/>
  <c r="I371" i="1"/>
  <c r="AK371" i="1" s="1"/>
  <c r="F372" i="1"/>
  <c r="AH372" i="1" s="1"/>
  <c r="E379" i="1"/>
  <c r="AG379" i="1" s="1"/>
  <c r="K377" i="1"/>
  <c r="AM377" i="1" s="1"/>
  <c r="I373" i="1"/>
  <c r="AK373" i="1" s="1"/>
  <c r="J376" i="1"/>
  <c r="AL376" i="1" s="1"/>
  <c r="H379" i="1"/>
  <c r="AJ379" i="1" s="1"/>
  <c r="K372" i="1"/>
  <c r="AM372" i="1" s="1"/>
  <c r="H374" i="1"/>
  <c r="AJ374" i="1" s="1"/>
  <c r="J371" i="1"/>
  <c r="AL371" i="1" s="1"/>
  <c r="L370" i="1"/>
  <c r="AN370" i="1" s="1"/>
  <c r="M377" i="1"/>
  <c r="AO377" i="1" s="1"/>
  <c r="G378" i="1"/>
  <c r="AI378" i="1" s="1"/>
  <c r="M374" i="1"/>
  <c r="AO374" i="1" s="1"/>
  <c r="E371" i="1"/>
  <c r="AG371" i="1" s="1"/>
  <c r="B372" i="1"/>
  <c r="AD372" i="1" s="1"/>
  <c r="I378" i="1"/>
  <c r="AK378" i="1" s="1"/>
  <c r="F376" i="1"/>
  <c r="AH376" i="1" s="1"/>
  <c r="G372" i="1"/>
  <c r="AI372" i="1" s="1"/>
  <c r="F380" i="1"/>
  <c r="AH380" i="1" s="1"/>
  <c r="K378" i="1"/>
  <c r="AM378" i="1" s="1"/>
  <c r="K381" i="1"/>
  <c r="AM381" i="1" s="1"/>
  <c r="I381" i="1"/>
  <c r="AK381" i="1" s="1"/>
  <c r="J380" i="1"/>
  <c r="AL380" i="1" s="1"/>
  <c r="I374" i="1"/>
  <c r="AK374" i="1" s="1"/>
  <c r="K376" i="1"/>
  <c r="AM376" i="1" s="1"/>
  <c r="I370" i="1"/>
  <c r="AK370" i="1" s="1"/>
  <c r="J375" i="1"/>
  <c r="AL375" i="1" s="1"/>
  <c r="H377" i="1"/>
  <c r="AJ377" i="1" s="1"/>
  <c r="K371" i="1"/>
  <c r="AM371" i="1" s="1"/>
  <c r="D372" i="1"/>
  <c r="AF372" i="1" s="1"/>
  <c r="B370" i="1"/>
  <c r="B376" i="1"/>
  <c r="AD376" i="1" s="1"/>
  <c r="D378" i="1"/>
  <c r="AF378" i="1" s="1"/>
  <c r="C372" i="1"/>
  <c r="AE372" i="1" s="1"/>
  <c r="E378" i="1"/>
  <c r="AG378" i="1" s="1"/>
  <c r="B380" i="1"/>
  <c r="AD380" i="1" s="1"/>
  <c r="E373" i="1"/>
  <c r="AG373" i="1" s="1"/>
  <c r="G377" i="1"/>
  <c r="AI377" i="1" s="1"/>
  <c r="J373" i="1"/>
  <c r="AL373" i="1" s="1"/>
  <c r="H373" i="1"/>
  <c r="AJ373" i="1" s="1"/>
  <c r="M381" i="1"/>
  <c r="AO381" i="1" s="1"/>
  <c r="D381" i="1"/>
  <c r="AF381" i="1" s="1"/>
  <c r="J377" i="1"/>
  <c r="AL377" i="1" s="1"/>
  <c r="H381" i="1"/>
  <c r="AJ381" i="1" s="1"/>
  <c r="K373" i="1"/>
  <c r="AM373" i="1" s="1"/>
  <c r="C375" i="1"/>
  <c r="AE375" i="1" s="1"/>
  <c r="G380" i="1"/>
  <c r="AI380" i="1" s="1"/>
  <c r="D379" i="1"/>
  <c r="AF379" i="1" s="1"/>
  <c r="M378" i="1"/>
  <c r="AO378" i="1" s="1"/>
  <c r="B374" i="1"/>
  <c r="AD374" i="1" s="1"/>
  <c r="F379" i="1"/>
  <c r="AH379" i="1" s="1"/>
  <c r="D374" i="1"/>
  <c r="AF374" i="1" s="1"/>
  <c r="E372" i="1"/>
  <c r="AG372" i="1" s="1"/>
  <c r="C370" i="1"/>
  <c r="AE370" i="1" s="1"/>
  <c r="G375" i="1"/>
  <c r="AI375" i="1" s="1"/>
  <c r="K380" i="1"/>
  <c r="AM380" i="1" s="1"/>
  <c r="L379" i="1"/>
  <c r="AN379" i="1" s="1"/>
  <c r="I379" i="1"/>
  <c r="AK379" i="1" s="1"/>
  <c r="F374" i="1"/>
  <c r="AH374" i="1" s="1"/>
  <c r="J379" i="1"/>
  <c r="AL379" i="1" s="1"/>
  <c r="L374" i="1"/>
  <c r="AN374" i="1" s="1"/>
  <c r="I372" i="1"/>
  <c r="AK372" i="1" s="1"/>
  <c r="G370" i="1"/>
  <c r="AI370" i="1" s="1"/>
  <c r="K375" i="1"/>
  <c r="AM375" i="1" s="1"/>
  <c r="C381" i="1"/>
  <c r="AE381" i="1" s="1"/>
  <c r="H380" i="1"/>
  <c r="AJ380" i="1" s="1"/>
  <c r="E380" i="1"/>
  <c r="AG380" i="1" s="1"/>
  <c r="F373" i="1"/>
  <c r="AH373" i="1" s="1"/>
  <c r="L372" i="1"/>
  <c r="AN372" i="1" s="1"/>
  <c r="E381" i="1"/>
  <c r="AG381" i="1" s="1"/>
  <c r="H378" i="1"/>
  <c r="AJ378" i="1" s="1"/>
  <c r="F377" i="1"/>
  <c r="AH377" i="1" s="1"/>
  <c r="L380" i="1"/>
  <c r="AN380" i="1" s="1"/>
  <c r="G373" i="1"/>
  <c r="AI373" i="1" s="1"/>
  <c r="B371" i="1"/>
  <c r="AD371" i="1" s="1"/>
  <c r="J381" i="1"/>
  <c r="AL381" i="1" s="1"/>
  <c r="I376" i="1"/>
  <c r="AK376" i="1" s="1"/>
  <c r="G381" i="1"/>
  <c r="AI381" i="1" s="1"/>
  <c r="B375" i="1"/>
  <c r="AD375" i="1" s="1"/>
  <c r="D376" i="1"/>
  <c r="AF376" i="1" s="1"/>
  <c r="C371" i="1"/>
  <c r="AE371" i="1" s="1"/>
  <c r="I375" i="1"/>
  <c r="AK375" i="1" s="1"/>
  <c r="C379" i="1"/>
  <c r="AE379" i="1" s="1"/>
  <c r="H376" i="1"/>
  <c r="AJ376" i="1" s="1"/>
  <c r="E376" i="1"/>
  <c r="AG376" i="1" s="1"/>
  <c r="J372" i="1"/>
  <c r="AL372" i="1" s="1"/>
  <c r="B378" i="1"/>
  <c r="AD378" i="1" s="1"/>
  <c r="L371" i="1"/>
  <c r="AN371" i="1" s="1"/>
  <c r="E370" i="1"/>
  <c r="AG370" i="1" s="1"/>
  <c r="M379" i="1"/>
  <c r="AO379" i="1" s="1"/>
  <c r="C374" i="1"/>
  <c r="AE374" i="1" s="1"/>
  <c r="G379" i="1"/>
  <c r="AI379" i="1" s="1"/>
  <c r="D377" i="1"/>
  <c r="AF377" i="1" s="1"/>
  <c r="M376" i="1"/>
  <c r="AO376" i="1" s="1"/>
  <c r="B373" i="1"/>
  <c r="AD373" i="1" s="1"/>
  <c r="F378" i="1"/>
  <c r="AH378" i="1" s="1"/>
  <c r="H372" i="1"/>
  <c r="AJ372" i="1" s="1"/>
  <c r="M370" i="1"/>
  <c r="AO370" i="1" s="1"/>
  <c r="I380" i="1"/>
  <c r="AK380" i="1" s="1"/>
  <c r="G374" i="1"/>
  <c r="AI374" i="1" s="1"/>
  <c r="K379" i="1"/>
  <c r="AM379" i="1" s="1"/>
  <c r="L377" i="1"/>
  <c r="AN377" i="1" s="1"/>
  <c r="B392" i="1"/>
  <c r="I390" i="1"/>
  <c r="J385" i="1"/>
  <c r="K388" i="1"/>
  <c r="L387" i="1"/>
  <c r="F387" i="1"/>
  <c r="L391" i="1"/>
  <c r="D395" i="1"/>
  <c r="E385" i="1"/>
  <c r="C386" i="1"/>
  <c r="G389" i="1"/>
  <c r="K385" i="1"/>
  <c r="F390" i="1"/>
  <c r="D385" i="1"/>
  <c r="I387" i="1"/>
  <c r="L385" i="1"/>
  <c r="G392" i="1"/>
  <c r="F395" i="1"/>
  <c r="D394" i="1"/>
  <c r="G395" i="1"/>
  <c r="G386" i="1"/>
  <c r="H385" i="1"/>
  <c r="F392" i="1"/>
  <c r="M390" i="1"/>
  <c r="E393" i="1"/>
  <c r="M386" i="1"/>
  <c r="I396" i="1"/>
  <c r="J386" i="1"/>
  <c r="J394" i="1"/>
  <c r="M391" i="1"/>
  <c r="K391" i="1"/>
  <c r="L392" i="1"/>
  <c r="B389" i="1"/>
  <c r="C390" i="1"/>
  <c r="B387" i="1"/>
  <c r="L386" i="1"/>
  <c r="E395" i="1"/>
  <c r="C392" i="1"/>
  <c r="D396" i="1"/>
  <c r="J395" i="1"/>
  <c r="D392" i="1"/>
  <c r="J392" i="1"/>
  <c r="D393" i="1"/>
  <c r="C387" i="1"/>
  <c r="H386" i="1"/>
  <c r="I391" i="1"/>
  <c r="F394" i="1"/>
  <c r="M394" i="1"/>
  <c r="F393" i="1"/>
  <c r="G390" i="1"/>
  <c r="M392" i="1"/>
  <c r="J393" i="1"/>
  <c r="I389" i="1"/>
  <c r="K390" i="1"/>
  <c r="L390" i="1"/>
  <c r="J391" i="1"/>
  <c r="K392" i="1"/>
  <c r="J388" i="1"/>
  <c r="H390" i="1"/>
  <c r="K393" i="1"/>
  <c r="J387" i="1"/>
  <c r="G387" i="1"/>
  <c r="B388" i="1"/>
  <c r="D389" i="1"/>
  <c r="C385" i="1"/>
  <c r="C393" i="1"/>
  <c r="M385" i="1"/>
  <c r="B393" i="1"/>
  <c r="D387" i="1"/>
  <c r="B391" i="1"/>
  <c r="L389" i="1"/>
  <c r="G385" i="1"/>
  <c r="C396" i="1"/>
  <c r="I388" i="1"/>
  <c r="D391" i="1"/>
  <c r="M389" i="1"/>
  <c r="B394" i="1"/>
  <c r="E387" i="1"/>
  <c r="C391" i="1"/>
  <c r="L388" i="1"/>
  <c r="E394" i="1"/>
  <c r="E388" i="1"/>
  <c r="H389" i="1"/>
  <c r="F389" i="1"/>
  <c r="D386" i="1"/>
  <c r="M388" i="1"/>
  <c r="K387" i="1"/>
  <c r="K395" i="1"/>
  <c r="H395" i="1"/>
  <c r="I395" i="1"/>
  <c r="E391" i="1"/>
  <c r="L394" i="1"/>
  <c r="F388" i="1"/>
  <c r="F396" i="1"/>
  <c r="I386" i="1"/>
  <c r="K386" i="1"/>
  <c r="K394" i="1"/>
  <c r="H393" i="1"/>
  <c r="I393" i="1"/>
  <c r="M393" i="1"/>
  <c r="I385" i="1"/>
  <c r="B390" i="1"/>
  <c r="H387" i="1"/>
  <c r="E390" i="1"/>
  <c r="G388" i="1"/>
  <c r="G396" i="1"/>
  <c r="L396" i="1"/>
  <c r="M396" i="1"/>
  <c r="AD370" i="1"/>
  <c r="H388" i="1"/>
  <c r="G391" i="1"/>
  <c r="F385" i="1"/>
  <c r="J390" i="1"/>
  <c r="B396" i="1"/>
  <c r="H394" i="1"/>
  <c r="I394" i="1"/>
  <c r="C389" i="1"/>
  <c r="G394" i="1"/>
  <c r="D390" i="1"/>
  <c r="M387" i="1"/>
  <c r="F386" i="1"/>
  <c r="L393" i="1"/>
  <c r="C394" i="1"/>
  <c r="E392" i="1"/>
  <c r="J389" i="1"/>
  <c r="B395" i="1"/>
  <c r="H392" i="1"/>
  <c r="I392" i="1"/>
  <c r="C388" i="1"/>
  <c r="G393" i="1"/>
  <c r="D388" i="1"/>
  <c r="E386" i="1"/>
  <c r="E396" i="1"/>
  <c r="H396" i="1"/>
  <c r="K396" i="1"/>
  <c r="B386" i="1"/>
  <c r="F391" i="1"/>
  <c r="J396" i="1"/>
  <c r="L395" i="1"/>
  <c r="M395" i="1"/>
  <c r="K389" i="1"/>
  <c r="C395" i="1"/>
  <c r="H391" i="1"/>
  <c r="E389" i="1"/>
  <c r="AK377" i="1"/>
  <c r="C250" i="1"/>
  <c r="E542" i="1" a="1"/>
  <c r="E543" i="1" s="1"/>
  <c r="R420" i="1" l="1" a="1"/>
  <c r="B400" i="1" a="1"/>
  <c r="B400" i="1" s="1"/>
  <c r="D220" i="1" a="1"/>
  <c r="D220" i="1" s="1"/>
  <c r="D210" i="1" a="1"/>
  <c r="E542" i="1"/>
  <c r="R420" i="1" l="1"/>
  <c r="Y428" i="1"/>
  <c r="AA423" i="1"/>
  <c r="Z429" i="1"/>
  <c r="T428" i="1"/>
  <c r="X426" i="1"/>
  <c r="R425" i="1"/>
  <c r="V423" i="1"/>
  <c r="Z421" i="1"/>
  <c r="T420" i="1"/>
  <c r="AA425" i="1"/>
  <c r="S421" i="1"/>
  <c r="W428" i="1"/>
  <c r="AA426" i="1"/>
  <c r="U425" i="1"/>
  <c r="Y423" i="1"/>
  <c r="S422" i="1"/>
  <c r="W420" i="1"/>
  <c r="Y426" i="1"/>
  <c r="AA421" i="1"/>
  <c r="T429" i="1"/>
  <c r="X427" i="1"/>
  <c r="R426" i="1"/>
  <c r="V424" i="1"/>
  <c r="Z422" i="1"/>
  <c r="T421" i="1"/>
  <c r="W427" i="1"/>
  <c r="W425" i="1"/>
  <c r="Z428" i="1"/>
  <c r="R424" i="1"/>
  <c r="Z420" i="1"/>
  <c r="U426" i="1"/>
  <c r="R429" i="1"/>
  <c r="Z425" i="1"/>
  <c r="X422" i="1"/>
  <c r="U428" i="1"/>
  <c r="Y427" i="1"/>
  <c r="W424" i="1"/>
  <c r="S429" i="1"/>
  <c r="V428" i="1"/>
  <c r="T425" i="1"/>
  <c r="R422" i="1"/>
  <c r="S425" i="1"/>
  <c r="U420" i="1"/>
  <c r="X428" i="1"/>
  <c r="R427" i="1"/>
  <c r="V425" i="1"/>
  <c r="Z423" i="1"/>
  <c r="T422" i="1"/>
  <c r="X420" i="1"/>
  <c r="S427" i="1"/>
  <c r="U422" i="1"/>
  <c r="AA428" i="1"/>
  <c r="U427" i="1"/>
  <c r="Y425" i="1"/>
  <c r="S424" i="1"/>
  <c r="W422" i="1"/>
  <c r="AA420" i="1"/>
  <c r="AA427" i="1"/>
  <c r="W423" i="1"/>
  <c r="X429" i="1"/>
  <c r="R428" i="1"/>
  <c r="V426" i="1"/>
  <c r="Z424" i="1"/>
  <c r="T423" i="1"/>
  <c r="X421" i="1"/>
  <c r="Y422" i="1"/>
  <c r="V429" i="1"/>
  <c r="Z427" i="1"/>
  <c r="T426" i="1"/>
  <c r="X424" i="1"/>
  <c r="R423" i="1"/>
  <c r="V421" i="1"/>
  <c r="W429" i="1"/>
  <c r="U424" i="1"/>
  <c r="Y429" i="1"/>
  <c r="S428" i="1"/>
  <c r="W426" i="1"/>
  <c r="AA424" i="1"/>
  <c r="U423" i="1"/>
  <c r="Y421" i="1"/>
  <c r="S420" i="1"/>
  <c r="Y420" i="1"/>
  <c r="T427" i="1"/>
  <c r="X425" i="1"/>
  <c r="V422" i="1"/>
  <c r="W421" i="1"/>
  <c r="V427" i="1"/>
  <c r="T424" i="1"/>
  <c r="R421" i="1"/>
  <c r="S423" i="1"/>
  <c r="U429" i="1"/>
  <c r="S426" i="1"/>
  <c r="AA422" i="1"/>
  <c r="U421" i="1"/>
  <c r="Y424" i="1"/>
  <c r="AA429" i="1"/>
  <c r="Z426" i="1"/>
  <c r="X423" i="1"/>
  <c r="V420" i="1"/>
  <c r="L406" i="1"/>
  <c r="Q408" i="1"/>
  <c r="G407" i="1"/>
  <c r="M407" i="1"/>
  <c r="C408" i="1"/>
  <c r="M400" i="1"/>
  <c r="E415" i="1"/>
  <c r="N403" i="1"/>
  <c r="L401" i="1"/>
  <c r="O413" i="1"/>
  <c r="K404" i="1"/>
  <c r="H407" i="1"/>
  <c r="J405" i="1"/>
  <c r="G408" i="1"/>
  <c r="Q411" i="1"/>
  <c r="D412" i="1"/>
  <c r="D401" i="1"/>
  <c r="F412" i="1"/>
  <c r="F401" i="1"/>
  <c r="J412" i="1"/>
  <c r="O406" i="1"/>
  <c r="Q401" i="1"/>
  <c r="P401" i="1"/>
  <c r="B407" i="1"/>
  <c r="M401" i="1"/>
  <c r="I403" i="1"/>
  <c r="C415" i="1"/>
  <c r="N413" i="1"/>
  <c r="M403" i="1"/>
  <c r="I407" i="1"/>
  <c r="M409" i="1"/>
  <c r="I404" i="1"/>
  <c r="N400" i="1"/>
  <c r="J415" i="1"/>
  <c r="E412" i="1"/>
  <c r="K409" i="1"/>
  <c r="E401" i="1"/>
  <c r="D407" i="1"/>
  <c r="C401" i="1"/>
  <c r="F406" i="1"/>
  <c r="H406" i="1"/>
  <c r="M406" i="1"/>
  <c r="I406" i="1"/>
  <c r="P409" i="1"/>
  <c r="B415" i="1"/>
  <c r="E411" i="1"/>
  <c r="N406" i="1"/>
  <c r="N409" i="1"/>
  <c r="L410" i="1"/>
  <c r="I415" i="1"/>
  <c r="M413" i="1"/>
  <c r="L415" i="1"/>
  <c r="I400" i="1"/>
  <c r="J413" i="1"/>
  <c r="K405" i="1"/>
  <c r="K413" i="1"/>
  <c r="E400" i="1"/>
  <c r="D405" i="1"/>
  <c r="C400" i="1"/>
  <c r="F405" i="1"/>
  <c r="H404" i="1"/>
  <c r="M408" i="1"/>
  <c r="I408" i="1"/>
  <c r="P408" i="1"/>
  <c r="B414" i="1"/>
  <c r="Q414" i="1"/>
  <c r="M415" i="1"/>
  <c r="G405" i="1"/>
  <c r="L408" i="1"/>
  <c r="C412" i="1"/>
  <c r="M411" i="1"/>
  <c r="N414" i="1"/>
  <c r="K408" i="1"/>
  <c r="K400" i="1"/>
  <c r="H403" i="1"/>
  <c r="J400" i="1"/>
  <c r="G410" i="1"/>
  <c r="E405" i="1"/>
  <c r="D411" i="1"/>
  <c r="D400" i="1"/>
  <c r="F410" i="1"/>
  <c r="F400" i="1"/>
  <c r="J410" i="1"/>
  <c r="O408" i="1"/>
  <c r="Q400" i="1"/>
  <c r="P400" i="1"/>
  <c r="B406" i="1"/>
  <c r="O415" i="1"/>
  <c r="C405" i="1"/>
  <c r="G409" i="1"/>
  <c r="M404" i="1"/>
  <c r="L404" i="1"/>
  <c r="N405" i="1"/>
  <c r="K411" i="1"/>
  <c r="L402" i="1"/>
  <c r="C413" i="1"/>
  <c r="L413" i="1"/>
  <c r="N410" i="1"/>
  <c r="C409" i="1"/>
  <c r="I409" i="1"/>
  <c r="L411" i="1"/>
  <c r="N412" i="1"/>
  <c r="H412" i="1"/>
  <c r="H400" i="1"/>
  <c r="J411" i="1"/>
  <c r="E408" i="1"/>
  <c r="C410" i="1"/>
  <c r="G412" i="1"/>
  <c r="Q407" i="1"/>
  <c r="E404" i="1"/>
  <c r="D415" i="1"/>
  <c r="D409" i="1"/>
  <c r="D404" i="1"/>
  <c r="C404" i="1"/>
  <c r="F414" i="1"/>
  <c r="F409" i="1"/>
  <c r="F404" i="1"/>
  <c r="H413" i="1"/>
  <c r="G404" i="1"/>
  <c r="J404" i="1"/>
  <c r="M414" i="1"/>
  <c r="O414" i="1"/>
  <c r="I414" i="1"/>
  <c r="P413" i="1"/>
  <c r="P405" i="1"/>
  <c r="O402" i="1"/>
  <c r="B411" i="1"/>
  <c r="B403" i="1"/>
  <c r="G415" i="1"/>
  <c r="N407" i="1"/>
  <c r="I411" i="1"/>
  <c r="E409" i="1"/>
  <c r="K407" i="1"/>
  <c r="M402" i="1"/>
  <c r="L400" i="1"/>
  <c r="E407" i="1"/>
  <c r="Q410" i="1"/>
  <c r="K403" i="1"/>
  <c r="K412" i="1"/>
  <c r="L405" i="1"/>
  <c r="N402" i="1"/>
  <c r="O409" i="1"/>
  <c r="I413" i="1"/>
  <c r="L407" i="1"/>
  <c r="N404" i="1"/>
  <c r="H410" i="1"/>
  <c r="G403" i="1"/>
  <c r="J407" i="1"/>
  <c r="E410" i="1"/>
  <c r="K414" i="1"/>
  <c r="C406" i="1"/>
  <c r="Q409" i="1"/>
  <c r="E403" i="1"/>
  <c r="D413" i="1"/>
  <c r="D408" i="1"/>
  <c r="D403" i="1"/>
  <c r="C402" i="1"/>
  <c r="F413" i="1"/>
  <c r="F408" i="1"/>
  <c r="F402" i="1"/>
  <c r="H411" i="1"/>
  <c r="G402" i="1"/>
  <c r="J403" i="1"/>
  <c r="C407" i="1"/>
  <c r="K406" i="1"/>
  <c r="Q404" i="1"/>
  <c r="P412" i="1"/>
  <c r="P404" i="1"/>
  <c r="O401" i="1"/>
  <c r="B410" i="1"/>
  <c r="B402" i="1"/>
  <c r="H409" i="1"/>
  <c r="H402" i="1"/>
  <c r="G400" i="1"/>
  <c r="J408" i="1"/>
  <c r="J402" i="1"/>
  <c r="M410" i="1"/>
  <c r="C411" i="1"/>
  <c r="O410" i="1"/>
  <c r="K410" i="1"/>
  <c r="I410" i="1"/>
  <c r="Q403" i="1"/>
  <c r="P415" i="1"/>
  <c r="P411" i="1"/>
  <c r="P407" i="1"/>
  <c r="P403" i="1"/>
  <c r="O404" i="1"/>
  <c r="O400" i="1"/>
  <c r="B413" i="1"/>
  <c r="B409" i="1"/>
  <c r="B405" i="1"/>
  <c r="B401" i="1"/>
  <c r="Q406" i="1"/>
  <c r="N415" i="1"/>
  <c r="O407" i="1"/>
  <c r="L409" i="1"/>
  <c r="E413" i="1"/>
  <c r="G413" i="1"/>
  <c r="Q412" i="1"/>
  <c r="L412" i="1"/>
  <c r="K401" i="1"/>
  <c r="N401" i="1"/>
  <c r="G411" i="1"/>
  <c r="L414" i="1"/>
  <c r="N411" i="1"/>
  <c r="O411" i="1"/>
  <c r="I401" i="1"/>
  <c r="K402" i="1"/>
  <c r="M405" i="1"/>
  <c r="O405" i="1"/>
  <c r="I405" i="1"/>
  <c r="I402" i="1"/>
  <c r="L403" i="1"/>
  <c r="N408" i="1"/>
  <c r="H414" i="1"/>
  <c r="H405" i="1"/>
  <c r="G401" i="1"/>
  <c r="J409" i="1"/>
  <c r="E406" i="1"/>
  <c r="E414" i="1"/>
  <c r="G406" i="1"/>
  <c r="G414" i="1"/>
  <c r="Q405" i="1"/>
  <c r="Q413" i="1"/>
  <c r="E402" i="1"/>
  <c r="D414" i="1"/>
  <c r="D410" i="1"/>
  <c r="D406" i="1"/>
  <c r="D402" i="1"/>
  <c r="C403" i="1"/>
  <c r="F415" i="1"/>
  <c r="F411" i="1"/>
  <c r="F407" i="1"/>
  <c r="F403" i="1"/>
  <c r="H415" i="1"/>
  <c r="H408" i="1"/>
  <c r="H401" i="1"/>
  <c r="J414" i="1"/>
  <c r="J406" i="1"/>
  <c r="J401" i="1"/>
  <c r="M412" i="1"/>
  <c r="K415" i="1"/>
  <c r="O412" i="1"/>
  <c r="C414" i="1"/>
  <c r="I412" i="1"/>
  <c r="Q402" i="1"/>
  <c r="P414" i="1"/>
  <c r="P410" i="1"/>
  <c r="P406" i="1"/>
  <c r="P402" i="1"/>
  <c r="O403" i="1"/>
  <c r="Q415" i="1"/>
  <c r="B412" i="1"/>
  <c r="B408" i="1"/>
  <c r="B404" i="1"/>
  <c r="E220" i="1"/>
  <c r="E221" i="1"/>
  <c r="D221" i="1"/>
  <c r="G221" i="1"/>
  <c r="G220" i="1"/>
  <c r="F220" i="1"/>
  <c r="F221" i="1"/>
  <c r="D210" i="1"/>
  <c r="E215" i="1"/>
  <c r="F211" i="1"/>
  <c r="F210" i="1"/>
  <c r="D219" i="1"/>
  <c r="G212" i="1"/>
  <c r="E213" i="1"/>
  <c r="D213" i="1"/>
  <c r="E212" i="1"/>
  <c r="D211" i="1"/>
  <c r="E211" i="1"/>
  <c r="D216" i="1"/>
  <c r="D214" i="1"/>
  <c r="D215" i="1"/>
  <c r="G218" i="1"/>
  <c r="F212" i="1"/>
  <c r="G215" i="1"/>
  <c r="G219" i="1"/>
  <c r="G213" i="1"/>
  <c r="F217" i="1"/>
  <c r="F215" i="1"/>
  <c r="E219" i="1"/>
  <c r="G211" i="1"/>
  <c r="E216" i="1"/>
  <c r="D218" i="1"/>
  <c r="E217" i="1"/>
  <c r="F213" i="1"/>
  <c r="G216" i="1"/>
  <c r="E214" i="1"/>
  <c r="G217" i="1"/>
  <c r="G214" i="1"/>
  <c r="F216" i="1"/>
  <c r="D212" i="1"/>
  <c r="F218" i="1"/>
  <c r="F214" i="1"/>
  <c r="E210" i="1"/>
  <c r="F219" i="1"/>
  <c r="G210" i="1"/>
  <c r="E218" i="1"/>
  <c r="D217" i="1"/>
  <c r="D250" i="1"/>
  <c r="D420" i="1" l="1" a="1"/>
  <c r="D420" i="1" s="1"/>
  <c r="D253" i="1"/>
  <c r="D257" i="1"/>
  <c r="D425" i="1" l="1"/>
  <c r="AF425" i="1" s="1"/>
  <c r="J420" i="1"/>
  <c r="AL420" i="1" s="1"/>
  <c r="D424" i="1"/>
  <c r="AF424" i="1" s="1"/>
  <c r="M426" i="1"/>
  <c r="AO426" i="1" s="1"/>
  <c r="F424" i="1"/>
  <c r="AH424" i="1" s="1"/>
  <c r="D426" i="1"/>
  <c r="D423" i="1"/>
  <c r="AF423" i="1" s="1"/>
  <c r="L426" i="1"/>
  <c r="AN426" i="1" s="1"/>
  <c r="F421" i="1"/>
  <c r="AH421" i="1" s="1"/>
  <c r="H425" i="1"/>
  <c r="AJ425" i="1" s="1"/>
  <c r="J422" i="1"/>
  <c r="AL422" i="1" s="1"/>
  <c r="M424" i="1"/>
  <c r="AO424" i="1" s="1"/>
  <c r="H427" i="1"/>
  <c r="AJ427" i="1" s="1"/>
  <c r="I428" i="1"/>
  <c r="AK428" i="1" s="1"/>
  <c r="I429" i="1"/>
  <c r="AK429" i="1" s="1"/>
  <c r="G423" i="1"/>
  <c r="AI423" i="1" s="1"/>
  <c r="K425" i="1"/>
  <c r="AM425" i="1" s="1"/>
  <c r="J424" i="1"/>
  <c r="AL424" i="1" s="1"/>
  <c r="G420" i="1"/>
  <c r="AI420" i="1" s="1"/>
  <c r="D429" i="1"/>
  <c r="AF429" i="1" s="1"/>
  <c r="I426" i="1"/>
  <c r="AK426" i="1" s="1"/>
  <c r="I423" i="1"/>
  <c r="AK423" i="1" s="1"/>
  <c r="I425" i="1"/>
  <c r="AK425" i="1" s="1"/>
  <c r="I427" i="1"/>
  <c r="AK427" i="1" s="1"/>
  <c r="J429" i="1"/>
  <c r="AL429" i="1" s="1"/>
  <c r="K428" i="1"/>
  <c r="AM428" i="1" s="1"/>
  <c r="G429" i="1"/>
  <c r="AI429" i="1" s="1"/>
  <c r="E425" i="1"/>
  <c r="AG425" i="1" s="1"/>
  <c r="E429" i="1"/>
  <c r="AG429" i="1" s="1"/>
  <c r="F425" i="1"/>
  <c r="AH425" i="1" s="1"/>
  <c r="L422" i="1"/>
  <c r="AN422" i="1" s="1"/>
  <c r="K429" i="1"/>
  <c r="AM429" i="1" s="1"/>
  <c r="H420" i="1"/>
  <c r="AJ420" i="1" s="1"/>
  <c r="G426" i="1"/>
  <c r="AI426" i="1" s="1"/>
  <c r="L421" i="1"/>
  <c r="AN421" i="1" s="1"/>
  <c r="D427" i="1"/>
  <c r="AF427" i="1" s="1"/>
  <c r="F427" i="1"/>
  <c r="AH427" i="1" s="1"/>
  <c r="E422" i="1"/>
  <c r="AG422" i="1" s="1"/>
  <c r="E428" i="1"/>
  <c r="AG428" i="1" s="1"/>
  <c r="K423" i="1"/>
  <c r="AM423" i="1" s="1"/>
  <c r="I422" i="1"/>
  <c r="M428" i="1"/>
  <c r="AO428" i="1" s="1"/>
  <c r="K427" i="1"/>
  <c r="AM427" i="1" s="1"/>
  <c r="L425" i="1"/>
  <c r="AN425" i="1" s="1"/>
  <c r="J427" i="1"/>
  <c r="AL427" i="1" s="1"/>
  <c r="G425" i="1"/>
  <c r="AI425" i="1" s="1"/>
  <c r="E424" i="1"/>
  <c r="AG424" i="1" s="1"/>
  <c r="L420" i="1"/>
  <c r="AN420" i="1" s="1"/>
  <c r="F422" i="1"/>
  <c r="AH422" i="1" s="1"/>
  <c r="H423" i="1"/>
  <c r="AJ423" i="1" s="1"/>
  <c r="M420" i="1"/>
  <c r="AO420" i="1" s="1"/>
  <c r="G428" i="1"/>
  <c r="AI428" i="1" s="1"/>
  <c r="K424" i="1"/>
  <c r="AM424" i="1" s="1"/>
  <c r="M425" i="1"/>
  <c r="AO425" i="1" s="1"/>
  <c r="H426" i="1"/>
  <c r="AJ426" i="1" s="1"/>
  <c r="E427" i="1"/>
  <c r="AG427" i="1" s="1"/>
  <c r="E426" i="1"/>
  <c r="AG426" i="1" s="1"/>
  <c r="I421" i="1"/>
  <c r="AK421" i="1" s="1"/>
  <c r="I424" i="1"/>
  <c r="AK424" i="1" s="1"/>
  <c r="K421" i="1"/>
  <c r="AM421" i="1" s="1"/>
  <c r="D428" i="1"/>
  <c r="AF428" i="1" s="1"/>
  <c r="G421" i="1"/>
  <c r="AI421" i="1" s="1"/>
  <c r="E423" i="1"/>
  <c r="AG423" i="1" s="1"/>
  <c r="E420" i="1"/>
  <c r="AG420" i="1" s="1"/>
  <c r="D421" i="1"/>
  <c r="AF421" i="1" s="1"/>
  <c r="M427" i="1"/>
  <c r="AO427" i="1" s="1"/>
  <c r="I420" i="1"/>
  <c r="AK420" i="1" s="1"/>
  <c r="G427" i="1"/>
  <c r="AI427" i="1" s="1"/>
  <c r="H422" i="1"/>
  <c r="AJ422" i="1" s="1"/>
  <c r="J426" i="1"/>
  <c r="AL426" i="1" s="1"/>
  <c r="E421" i="1"/>
  <c r="AG421" i="1" s="1"/>
  <c r="L427" i="1"/>
  <c r="AN427" i="1" s="1"/>
  <c r="G422" i="1"/>
  <c r="AI422" i="1" s="1"/>
  <c r="K426" i="1"/>
  <c r="AM426" i="1" s="1"/>
  <c r="J421" i="1"/>
  <c r="AL421" i="1" s="1"/>
  <c r="F429" i="1"/>
  <c r="AH429" i="1" s="1"/>
  <c r="D422" i="1"/>
  <c r="AF422" i="1" s="1"/>
  <c r="F426" i="1"/>
  <c r="AH426" i="1" s="1"/>
  <c r="K420" i="1"/>
  <c r="AM420" i="1" s="1"/>
  <c r="M421" i="1"/>
  <c r="AO421" i="1" s="1"/>
  <c r="L429" i="1"/>
  <c r="AN429" i="1" s="1"/>
  <c r="J428" i="1"/>
  <c r="AL428" i="1" s="1"/>
  <c r="L428" i="1"/>
  <c r="AN428" i="1" s="1"/>
  <c r="F428" i="1"/>
  <c r="AH428" i="1" s="1"/>
  <c r="K422" i="1"/>
  <c r="AM422" i="1" s="1"/>
  <c r="H428" i="1"/>
  <c r="AJ428" i="1" s="1"/>
  <c r="H429" i="1"/>
  <c r="AJ429" i="1" s="1"/>
  <c r="M423" i="1"/>
  <c r="AO423" i="1" s="1"/>
  <c r="M429" i="1"/>
  <c r="AO429" i="1" s="1"/>
  <c r="L424" i="1"/>
  <c r="AN424" i="1" s="1"/>
  <c r="G424" i="1"/>
  <c r="AI424" i="1" s="1"/>
  <c r="F423" i="1"/>
  <c r="AH423" i="1" s="1"/>
  <c r="M422" i="1"/>
  <c r="AO422" i="1" s="1"/>
  <c r="F420" i="1"/>
  <c r="AH420" i="1" s="1"/>
  <c r="H424" i="1"/>
  <c r="AJ424" i="1" s="1"/>
  <c r="L423" i="1"/>
  <c r="AN423" i="1" s="1"/>
  <c r="H421" i="1"/>
  <c r="AJ421" i="1" s="1"/>
  <c r="J425" i="1"/>
  <c r="AL425" i="1" s="1"/>
  <c r="J423" i="1"/>
  <c r="AL423" i="1" s="1"/>
  <c r="AF420" i="1"/>
  <c r="AK422" i="1"/>
  <c r="AF426" i="1"/>
  <c r="D254" i="1"/>
  <c r="D261" i="1" s="1"/>
  <c r="D255" i="1"/>
  <c r="D258" i="1"/>
  <c r="D265" i="1" s="1"/>
  <c r="D256" i="1"/>
  <c r="D262" i="1" s="1"/>
  <c r="D260" i="1"/>
  <c r="D263" i="1"/>
  <c r="N473" i="1" l="1" a="1"/>
  <c r="N473" i="1" s="1"/>
  <c r="N505" i="1" a="1"/>
  <c r="N469" i="1" a="1"/>
  <c r="N469" i="1" s="1"/>
  <c r="R549" i="1" a="1"/>
  <c r="R549" i="1" s="1"/>
  <c r="P469" i="1" a="1"/>
  <c r="P469" i="1" s="1"/>
  <c r="C497" i="1" a="1"/>
  <c r="D264" i="1"/>
  <c r="L505" i="1" a="1"/>
  <c r="L473" i="1" a="1"/>
  <c r="L469" i="1" a="1"/>
  <c r="L469" i="1" s="1"/>
  <c r="C444" i="1" a="1"/>
  <c r="N475" i="1" l="1"/>
  <c r="N478" i="1"/>
  <c r="N482" i="1"/>
  <c r="N479" i="1"/>
  <c r="N480" i="1"/>
  <c r="N477" i="1"/>
  <c r="N476" i="1"/>
  <c r="N481" i="1"/>
  <c r="N474" i="1"/>
  <c r="N505" i="1"/>
  <c r="N512" i="1"/>
  <c r="N514" i="1"/>
  <c r="N509" i="1"/>
  <c r="N507" i="1"/>
  <c r="N508" i="1"/>
  <c r="N510" i="1"/>
  <c r="N513" i="1"/>
  <c r="N511" i="1"/>
  <c r="N506" i="1"/>
  <c r="C469" i="1"/>
  <c r="D497" i="1"/>
  <c r="I502" i="1"/>
  <c r="C501" i="1"/>
  <c r="G499" i="1"/>
  <c r="K497" i="1"/>
  <c r="H502" i="1"/>
  <c r="L500" i="1"/>
  <c r="F499" i="1"/>
  <c r="J497" i="1"/>
  <c r="C502" i="1"/>
  <c r="G500" i="1"/>
  <c r="K498" i="1"/>
  <c r="E497" i="1"/>
  <c r="H501" i="1"/>
  <c r="L499" i="1"/>
  <c r="F498" i="1"/>
  <c r="K501" i="1"/>
  <c r="C497" i="1"/>
  <c r="D500" i="1"/>
  <c r="K502" i="1"/>
  <c r="I499" i="1"/>
  <c r="F502" i="1"/>
  <c r="D499" i="1"/>
  <c r="G501" i="1"/>
  <c r="L502" i="1"/>
  <c r="J499" i="1"/>
  <c r="G502" i="1"/>
  <c r="E499" i="1"/>
  <c r="I497" i="1"/>
  <c r="F500" i="1"/>
  <c r="E502" i="1"/>
  <c r="I500" i="1"/>
  <c r="C499" i="1"/>
  <c r="G497" i="1"/>
  <c r="D502" i="1"/>
  <c r="H500" i="1"/>
  <c r="L498" i="1"/>
  <c r="F497" i="1"/>
  <c r="I501" i="1"/>
  <c r="C500" i="1"/>
  <c r="G498" i="1"/>
  <c r="J502" i="1"/>
  <c r="D501" i="1"/>
  <c r="H499" i="1"/>
  <c r="L497" i="1"/>
  <c r="E500" i="1"/>
  <c r="I498" i="1"/>
  <c r="J501" i="1"/>
  <c r="H498" i="1"/>
  <c r="E501" i="1"/>
  <c r="C498" i="1"/>
  <c r="J500" i="1"/>
  <c r="H497" i="1"/>
  <c r="K499" i="1"/>
  <c r="E498" i="1"/>
  <c r="F501" i="1"/>
  <c r="D498" i="1"/>
  <c r="K500" i="1"/>
  <c r="L501" i="1"/>
  <c r="J498" i="1"/>
  <c r="L473" i="1"/>
  <c r="C473" i="1" s="1"/>
  <c r="L475" i="1"/>
  <c r="L481" i="1"/>
  <c r="L480" i="1"/>
  <c r="L482" i="1"/>
  <c r="L477" i="1"/>
  <c r="C477" i="1" s="1"/>
  <c r="L476" i="1"/>
  <c r="L474" i="1"/>
  <c r="L478" i="1"/>
  <c r="L479" i="1"/>
  <c r="L505" i="1"/>
  <c r="L507" i="1"/>
  <c r="L513" i="1"/>
  <c r="L508" i="1"/>
  <c r="L510" i="1"/>
  <c r="L506" i="1"/>
  <c r="L512" i="1"/>
  <c r="L514" i="1"/>
  <c r="L509" i="1"/>
  <c r="L511" i="1"/>
  <c r="H445" i="1"/>
  <c r="H449" i="1"/>
  <c r="G444" i="1"/>
  <c r="F445" i="1"/>
  <c r="G446" i="1"/>
  <c r="F447" i="1"/>
  <c r="G448" i="1"/>
  <c r="F449" i="1"/>
  <c r="E446" i="1"/>
  <c r="C447" i="1"/>
  <c r="D445" i="1"/>
  <c r="F444" i="1"/>
  <c r="F448" i="1"/>
  <c r="D449" i="1"/>
  <c r="H444" i="1"/>
  <c r="C446" i="1"/>
  <c r="H446" i="1"/>
  <c r="C448" i="1"/>
  <c r="H448" i="1"/>
  <c r="C445" i="1"/>
  <c r="G445" i="1"/>
  <c r="C449" i="1"/>
  <c r="G449" i="1"/>
  <c r="D447" i="1"/>
  <c r="H447" i="1"/>
  <c r="D444" i="1"/>
  <c r="E445" i="1"/>
  <c r="C444" i="1"/>
  <c r="D446" i="1"/>
  <c r="E447" i="1"/>
  <c r="E449" i="1"/>
  <c r="E444" i="1"/>
  <c r="G447" i="1"/>
  <c r="E448" i="1"/>
  <c r="D448" i="1"/>
  <c r="F446" i="1"/>
  <c r="C475" i="1" l="1"/>
  <c r="C474" i="1"/>
  <c r="C478" i="1"/>
  <c r="C480" i="1"/>
  <c r="C479" i="1"/>
  <c r="C481" i="1"/>
  <c r="C476" i="1"/>
  <c r="C482" i="1"/>
  <c r="K444" i="1" a="1"/>
  <c r="K444" i="1" l="1"/>
  <c r="N446" i="1"/>
  <c r="N444" i="1"/>
  <c r="P445" i="1"/>
  <c r="L445" i="1"/>
  <c r="P449" i="1"/>
  <c r="M448" i="1"/>
  <c r="P448" i="1"/>
  <c r="L446" i="1"/>
  <c r="L449" i="1"/>
  <c r="K447" i="1"/>
  <c r="O448" i="1"/>
  <c r="K446" i="1"/>
  <c r="P446" i="1"/>
  <c r="N448" i="1"/>
  <c r="M446" i="1"/>
  <c r="L448" i="1"/>
  <c r="N445" i="1"/>
  <c r="P447" i="1"/>
  <c r="O445" i="1"/>
  <c r="K448" i="1"/>
  <c r="M445" i="1"/>
  <c r="N449" i="1"/>
  <c r="L444" i="1"/>
  <c r="M449" i="1"/>
  <c r="L447" i="1"/>
  <c r="M444" i="1"/>
  <c r="N447" i="1"/>
  <c r="P444" i="1"/>
  <c r="K449" i="1"/>
  <c r="K445" i="1"/>
  <c r="M447" i="1"/>
  <c r="O444" i="1"/>
  <c r="O449" i="1"/>
  <c r="O447" i="1"/>
  <c r="O446" i="1"/>
  <c r="C454" i="1" l="1" a="1"/>
  <c r="K463" i="1" l="1"/>
  <c r="J454" i="1"/>
  <c r="L457" i="1"/>
  <c r="J460" i="1"/>
  <c r="H463" i="1"/>
  <c r="C456" i="1"/>
  <c r="G458" i="1"/>
  <c r="C460" i="1"/>
  <c r="I461" i="1"/>
  <c r="E463" i="1"/>
  <c r="J456" i="1"/>
  <c r="L459" i="1"/>
  <c r="C454" i="1"/>
  <c r="C458" i="1"/>
  <c r="L454" i="1"/>
  <c r="H456" i="1"/>
  <c r="D458" i="1"/>
  <c r="J459" i="1"/>
  <c r="F461" i="1"/>
  <c r="L462" i="1"/>
  <c r="I454" i="1"/>
  <c r="E456" i="1"/>
  <c r="K457" i="1"/>
  <c r="G459" i="1"/>
  <c r="C461" i="1"/>
  <c r="I462" i="1"/>
  <c r="H459" i="1"/>
  <c r="F462" i="1"/>
  <c r="E457" i="1"/>
  <c r="K460" i="1"/>
  <c r="D455" i="1"/>
  <c r="L461" i="1"/>
  <c r="D454" i="1"/>
  <c r="F457" i="1"/>
  <c r="H460" i="1"/>
  <c r="J463" i="1"/>
  <c r="C457" i="1"/>
  <c r="E460" i="1"/>
  <c r="G463" i="1"/>
  <c r="D457" i="1"/>
  <c r="E455" i="1"/>
  <c r="I459" i="1"/>
  <c r="K462" i="1"/>
  <c r="D459" i="1"/>
  <c r="G456" i="1"/>
  <c r="D456" i="1"/>
  <c r="F459" i="1"/>
  <c r="H462" i="1"/>
  <c r="K455" i="1"/>
  <c r="C459" i="1"/>
  <c r="E462" i="1"/>
  <c r="H455" i="1"/>
  <c r="J458" i="1"/>
  <c r="H461" i="1"/>
  <c r="L463" i="1"/>
  <c r="K456" i="1"/>
  <c r="K458" i="1"/>
  <c r="G460" i="1"/>
  <c r="C462" i="1"/>
  <c r="F454" i="1"/>
  <c r="H457" i="1"/>
  <c r="D461" i="1"/>
  <c r="K454" i="1"/>
  <c r="I463" i="1"/>
  <c r="F455" i="1"/>
  <c r="L456" i="1"/>
  <c r="H458" i="1"/>
  <c r="D460" i="1"/>
  <c r="J461" i="1"/>
  <c r="F463" i="1"/>
  <c r="C455" i="1"/>
  <c r="I456" i="1"/>
  <c r="E458" i="1"/>
  <c r="K459" i="1"/>
  <c r="G461" i="1"/>
  <c r="C463" i="1"/>
  <c r="F456" i="1"/>
  <c r="G454" i="1"/>
  <c r="E459" i="1"/>
  <c r="G462" i="1"/>
  <c r="F458" i="1"/>
  <c r="I455" i="1"/>
  <c r="J455" i="1"/>
  <c r="L458" i="1"/>
  <c r="D462" i="1"/>
  <c r="G455" i="1"/>
  <c r="I458" i="1"/>
  <c r="K461" i="1"/>
  <c r="F460" i="1"/>
  <c r="D463" i="1"/>
  <c r="I457" i="1"/>
  <c r="E461" i="1"/>
  <c r="L455" i="1"/>
  <c r="J462" i="1"/>
  <c r="H454" i="1"/>
  <c r="J457" i="1"/>
  <c r="L460" i="1"/>
  <c r="E454" i="1"/>
  <c r="G457" i="1"/>
  <c r="I460" i="1"/>
  <c r="M487" i="1" l="1" a="1"/>
  <c r="M487" i="1" s="1"/>
  <c r="P487" i="1" a="1"/>
  <c r="P487" i="1" s="1"/>
  <c r="U487" i="1" l="1" a="1"/>
  <c r="U487" i="1" s="1"/>
  <c r="R487" i="1" a="1"/>
  <c r="R487" i="1" s="1"/>
  <c r="C487" i="1" l="1"/>
  <c r="C490" i="1" s="1"/>
  <c r="P505" i="1" l="1" a="1"/>
  <c r="P505" i="1" s="1"/>
  <c r="C505" i="1" a="1"/>
  <c r="C506" i="1" s="1"/>
  <c r="C510" i="1" l="1"/>
  <c r="C514" i="1"/>
  <c r="C511" i="1"/>
  <c r="C509" i="1"/>
  <c r="C505" i="1"/>
  <c r="C507" i="1"/>
  <c r="C513" i="1"/>
  <c r="C508" i="1"/>
  <c r="C512" i="1"/>
  <c r="C519" i="1" l="1" a="1"/>
  <c r="C519" i="1" s="1"/>
  <c r="E532" i="1" l="1" a="1"/>
  <c r="E535" i="1" s="1"/>
  <c r="C524" i="1"/>
  <c r="C520" i="1"/>
  <c r="C521" i="1"/>
  <c r="C523" i="1"/>
  <c r="C522" i="1"/>
  <c r="E536" i="1" l="1"/>
  <c r="E537" i="1"/>
  <c r="E541" i="1"/>
  <c r="E566" i="1" s="1"/>
  <c r="E534" i="1"/>
  <c r="E532" i="1"/>
  <c r="E533" i="1"/>
  <c r="C566" i="1" s="1"/>
  <c r="E538" i="1"/>
  <c r="E540" i="1"/>
  <c r="H566" i="1" s="1"/>
  <c r="E539" i="1"/>
  <c r="F566" i="1"/>
  <c r="D566" i="1"/>
  <c r="C552" i="1" a="1"/>
  <c r="O549" i="1" a="1"/>
  <c r="O549" i="1" s="1"/>
  <c r="J549" i="1" a="1"/>
  <c r="J549" i="1" s="1"/>
  <c r="C560" i="1" l="1" a="1"/>
  <c r="C560" i="1" s="1"/>
  <c r="C570" i="1"/>
  <c r="D573" i="1" s="1"/>
  <c r="D580" i="1" s="1"/>
  <c r="G566" i="1"/>
  <c r="D575" i="1"/>
  <c r="D584" i="1" s="1"/>
  <c r="D574" i="1"/>
  <c r="D581" i="1" s="1"/>
  <c r="C549" i="1"/>
  <c r="C556" i="1"/>
  <c r="C557" i="1"/>
  <c r="C555" i="1"/>
  <c r="C554" i="1"/>
  <c r="C552" i="1"/>
  <c r="C553" i="1"/>
  <c r="D570" i="1" l="1"/>
  <c r="D577" i="1" s="1"/>
  <c r="D583" i="1" s="1"/>
  <c r="D578" i="1" l="1"/>
  <c r="D585" i="1" s="1"/>
  <c r="D576" i="1"/>
  <c r="D582" i="1" s="1"/>
</calcChain>
</file>

<file path=xl/sharedStrings.xml><?xml version="1.0" encoding="utf-8"?>
<sst xmlns="http://schemas.openxmlformats.org/spreadsheetml/2006/main" count="453" uniqueCount="78">
  <si>
    <t>Inputs in grey</t>
  </si>
  <si>
    <t>Genetic level of all contributors</t>
  </si>
  <si>
    <t xml:space="preserve">where </t>
  </si>
  <si>
    <t>ebv</t>
  </si>
  <si>
    <t>sex</t>
  </si>
  <si>
    <t>OPTIMAL GENETIC CONTRIBUTIONS EXAMPLE</t>
  </si>
  <si>
    <r>
      <t>CALCULATE LAGRANGE MULTIPLIER (λ</t>
    </r>
    <r>
      <rPr>
        <b/>
        <vertAlign val="subscript"/>
        <sz val="11"/>
        <rFont val="Calibri"/>
        <family val="2"/>
        <scheme val="minor"/>
      </rPr>
      <t>0</t>
    </r>
    <r>
      <rPr>
        <b/>
        <sz val="11"/>
        <rFont val="Calibri"/>
        <family val="2"/>
        <scheme val="minor"/>
      </rPr>
      <t>)</t>
    </r>
  </si>
  <si>
    <t>CALCULATE VECTOR OF LAGRANGE MULTIPLIERS (λ)</t>
  </si>
  <si>
    <t>CALCULATE SUMMARY PARAMETERS FOR TIME t+1</t>
  </si>
  <si>
    <t>Average relationship</t>
  </si>
  <si>
    <t>id</t>
  </si>
  <si>
    <t>female</t>
  </si>
  <si>
    <t>male</t>
  </si>
  <si>
    <t>sire</t>
  </si>
  <si>
    <t>dam</t>
  </si>
  <si>
    <t>A candidate and a parent</t>
  </si>
  <si>
    <t>Difference between methods of computation</t>
  </si>
  <si>
    <t>CALCULATE M MATRICES</t>
  </si>
  <si>
    <t>Contributions</t>
  </si>
  <si>
    <t>Available candidates</t>
  </si>
  <si>
    <t>selection round</t>
  </si>
  <si>
    <t>Pedigree</t>
  </si>
  <si>
    <t>Scalar inputs</t>
  </si>
  <si>
    <t>fams_n</t>
  </si>
  <si>
    <t>Group contributions</t>
  </si>
  <si>
    <t>sex_age</t>
  </si>
  <si>
    <t>Computed values in orange</t>
  </si>
  <si>
    <t>Externally computed values in green</t>
  </si>
  <si>
    <t>Family pedigree</t>
  </si>
  <si>
    <t>family_id</t>
  </si>
  <si>
    <t>CALCULATE r VECTORS</t>
  </si>
  <si>
    <t>CALCUALTE Q</t>
  </si>
  <si>
    <r>
      <t>CALCULATE A_bar</t>
    </r>
    <r>
      <rPr>
        <b/>
        <vertAlign val="subscript"/>
        <sz val="11"/>
        <color theme="1"/>
        <rFont val="Calibri"/>
        <family val="2"/>
        <scheme val="minor"/>
      </rPr>
      <t>bb</t>
    </r>
  </si>
  <si>
    <t>Hinrichs, D., Wetten, M., and Meuwissen, T.H.E. (2006). An algorithm to compute optimal genetic contributions in selection programs with large numbers of candidates. Journal of Animal Science 84, 3212-3218. doi: DOI 10.2527/jas.2006-145</t>
  </si>
  <si>
    <t>Tang, G.Q., Li, X.W., Zhu, L., Shuai, S.R., and Bai, L. (2008). Maximizing the Selection Response by Optimal Quantitative Trait Loci Selection and Control of Inbreeding in a Population with Different Lifetimes between Sires and Dams. Asian-Australasian Journal of Animal Sciences 21, 1559-1571</t>
  </si>
  <si>
    <t>Meuwissen, T.H.E., and Sonesson, A.K. (1998). Maximizing the response of selection with a predefined rate of inbreeding: Overlapping generations. Journal of Animal Science 76, 2575-2583</t>
  </si>
  <si>
    <t>fixed contributions (families)</t>
  </si>
  <si>
    <t>fixed contributions (proportion)</t>
  </si>
  <si>
    <r>
      <t>A</t>
    </r>
    <r>
      <rPr>
        <b/>
        <vertAlign val="subscript"/>
        <sz val="11"/>
        <color theme="1"/>
        <rFont val="Calibri"/>
        <family val="2"/>
        <scheme val="minor"/>
      </rPr>
      <t>f</t>
    </r>
  </si>
  <si>
    <r>
      <t>CALCULATE c</t>
    </r>
    <r>
      <rPr>
        <b/>
        <vertAlign val="subscript"/>
        <sz val="11"/>
        <rFont val="Calibri"/>
        <family val="2"/>
        <scheme val="minor"/>
      </rPr>
      <t>t</t>
    </r>
  </si>
  <si>
    <t>Candidate and parent</t>
  </si>
  <si>
    <t>Candidate but not a parent</t>
  </si>
  <si>
    <t>Candidate but not a parent - not required for computation of A_bar_bb using the Hamilton (2020) method</t>
  </si>
  <si>
    <r>
      <t>Inputs to generate A_bar</t>
    </r>
    <r>
      <rPr>
        <b/>
        <vertAlign val="subscript"/>
        <sz val="11"/>
        <color theme="1"/>
        <rFont val="Calibri"/>
        <family val="2"/>
        <scheme val="minor"/>
      </rPr>
      <t xml:space="preserve">bb </t>
    </r>
    <r>
      <rPr>
        <b/>
        <sz val="11"/>
        <color theme="1"/>
        <rFont val="Calibri"/>
        <family val="2"/>
        <scheme val="minor"/>
      </rPr>
      <t>using method of Meuwissen and Sonesson (1998)</t>
    </r>
  </si>
  <si>
    <t>Note: In circumstances where there are many individuals per family this pedigree file will be much larger than the corresponding file required using the method of Hamilton (2020)</t>
  </si>
  <si>
    <t>Neither a candidate nor a parent</t>
  </si>
  <si>
    <t>Parent</t>
  </si>
  <si>
    <t>Note: only the parent of families in the 'Family pedigree' and their ancestors are required to compute A_bar_bb using the method of Hamilton (2020)</t>
  </si>
  <si>
    <r>
      <t>Inputs to generate A_bar</t>
    </r>
    <r>
      <rPr>
        <b/>
        <vertAlign val="subscript"/>
        <sz val="11"/>
        <color theme="1"/>
        <rFont val="Calibri"/>
        <family val="2"/>
        <scheme val="minor"/>
      </rPr>
      <t xml:space="preserve">bb </t>
    </r>
    <r>
      <rPr>
        <b/>
        <sz val="11"/>
        <color theme="1"/>
        <rFont val="Calibri"/>
        <family val="2"/>
        <scheme val="minor"/>
      </rPr>
      <t>using method of Hamilton (2020)</t>
    </r>
  </si>
  <si>
    <t>CALCULATE s VECTORS</t>
  </si>
  <si>
    <t xml:space="preserve">INPUTS </t>
  </si>
  <si>
    <t>Method</t>
  </si>
  <si>
    <t>Hamilton</t>
  </si>
  <si>
    <t>Meuwissen_Sonesson</t>
  </si>
  <si>
    <t>REFERENCES</t>
  </si>
  <si>
    <t>Constraint relationship (C max)</t>
  </si>
  <si>
    <t>Selection rounds to death (q)</t>
  </si>
  <si>
    <t>Number of families (t + 1)</t>
  </si>
  <si>
    <r>
      <t>A_bar</t>
    </r>
    <r>
      <rPr>
        <b/>
        <vertAlign val="subscript"/>
        <sz val="11"/>
        <color theme="1"/>
        <rFont val="Calibri"/>
        <family val="2"/>
        <scheme val="minor"/>
      </rPr>
      <t>bb</t>
    </r>
    <r>
      <rPr>
        <b/>
        <sz val="11"/>
        <color theme="1"/>
        <rFont val="Calibri"/>
        <family val="2"/>
        <scheme val="minor"/>
      </rPr>
      <t xml:space="preserve"> AND M MATRICES USED IN OPTIMAL CONTRIBUTIONS COMPUTATIONS BELOW</t>
    </r>
  </si>
  <si>
    <t>Average generation intervals</t>
  </si>
  <si>
    <t>age (t)</t>
  </si>
  <si>
    <t>Hill, W.G. (1974). Prediction and evaluation of response to selection with overlapping generations. Animal Production 18, 117-139</t>
  </si>
  <si>
    <t>Gene flow vector (Hill 1974)</t>
  </si>
  <si>
    <t>CALCULATE INVERTED MATRIX OF ADDTIVE GENETIC RELATIONSHIPS BETWEEN CANDIDATES</t>
  </si>
  <si>
    <t>Computed using recusive method from pedigree</t>
  </si>
  <si>
    <t>Method of Hinrichs et al. (2006)</t>
  </si>
  <si>
    <t xml:space="preserve">Computed with direct inversion </t>
  </si>
  <si>
    <t>A negative value implies that the constraint on average relationship cannot be met</t>
  </si>
  <si>
    <t>Average EBV</t>
  </si>
  <si>
    <r>
      <t>Select to change method of computing A_bar</t>
    </r>
    <r>
      <rPr>
        <b/>
        <vertAlign val="subscript"/>
        <sz val="11"/>
        <color rgb="FFFF0000"/>
        <rFont val="Calibri"/>
        <family val="2"/>
        <scheme val="minor"/>
      </rPr>
      <t>bb</t>
    </r>
    <r>
      <rPr>
        <b/>
        <sz val="11"/>
        <color rgb="FFFF0000"/>
        <rFont val="Calibri"/>
        <family val="2"/>
        <scheme val="minor"/>
      </rPr>
      <t xml:space="preserve"> and M matrices</t>
    </r>
  </si>
  <si>
    <t>Parents of Class 1 candidates</t>
  </si>
  <si>
    <t>CALCULATE r_new VECTORS</t>
  </si>
  <si>
    <t>Realised gene flow vector (Hill 1974)</t>
  </si>
  <si>
    <t>Realised average generation intervals</t>
  </si>
  <si>
    <t>Meuwissen and Sonesson (1998)</t>
  </si>
  <si>
    <t>Note that some values are negative.  See Appendix of Meuwissen (1997) for iterative method to ensure all values are positive.</t>
  </si>
  <si>
    <t>Meuwissen, T.H.E. (1997). Maximizing the response of selection with a predefined rate of inbreeding. Journal of Animal Science 75, 934-940</t>
  </si>
  <si>
    <t>Note: The notation of Tang et al (2008) has been adopted in this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</si>
</sst>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vertAlign val="subscript"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Lucida Console"/>
      <family val="3"/>
    </font>
    <font>
      <sz val="11"/>
      <color theme="0"/>
      <name val="Calibri"/>
      <family val="2"/>
      <scheme val="minor"/>
    </font>
    <font>
      <b/>
      <vertAlign val="subscript"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33CC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3" fillId="0" borderId="0" xfId="0" applyFont="1"/>
    <xf numFmtId="0" fontId="0" fillId="0" borderId="0" xfId="0" applyFont="1"/>
    <xf numFmtId="0" fontId="0" fillId="0" borderId="0" xfId="0" applyFont="1" applyFill="1"/>
    <xf numFmtId="0" fontId="2" fillId="0" borderId="0" xfId="0" applyFont="1" applyFill="1"/>
    <xf numFmtId="0" fontId="0" fillId="2" borderId="0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5" fillId="0" borderId="0" xfId="0" applyFont="1"/>
    <xf numFmtId="0" fontId="0" fillId="3" borderId="10" xfId="0" applyFill="1" applyBorder="1"/>
    <xf numFmtId="0" fontId="0" fillId="3" borderId="9" xfId="0" applyFill="1" applyBorder="1"/>
    <xf numFmtId="0" fontId="0" fillId="0" borderId="0" xfId="0" applyFill="1"/>
    <xf numFmtId="0" fontId="0" fillId="0" borderId="0" xfId="0" applyFill="1" applyBorder="1"/>
    <xf numFmtId="0" fontId="2" fillId="0" borderId="0" xfId="0" applyFont="1" applyAlignment="1">
      <alignment wrapText="1"/>
    </xf>
    <xf numFmtId="0" fontId="2" fillId="0" borderId="0" xfId="0" applyFont="1" applyFill="1" applyBorder="1"/>
    <xf numFmtId="0" fontId="0" fillId="0" borderId="0" xfId="0" applyFont="1" applyFill="1" applyBorder="1"/>
    <xf numFmtId="0" fontId="0" fillId="0" borderId="0" xfId="0" applyAlignment="1">
      <alignment wrapText="1"/>
    </xf>
    <xf numFmtId="0" fontId="0" fillId="3" borderId="11" xfId="0" applyFill="1" applyBorder="1"/>
    <xf numFmtId="0" fontId="0" fillId="4" borderId="0" xfId="0" applyFill="1"/>
    <xf numFmtId="0" fontId="5" fillId="4" borderId="0" xfId="0" applyFont="1" applyFill="1"/>
    <xf numFmtId="0" fontId="0" fillId="0" borderId="0" xfId="0" applyBorder="1"/>
    <xf numFmtId="0" fontId="2" fillId="0" borderId="0" xfId="0" applyFont="1" applyBorder="1"/>
    <xf numFmtId="0" fontId="0" fillId="0" borderId="11" xfId="0" applyFill="1" applyBorder="1"/>
    <xf numFmtId="0" fontId="0" fillId="3" borderId="15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5" borderId="0" xfId="0" applyFill="1"/>
    <xf numFmtId="0" fontId="8" fillId="0" borderId="0" xfId="0" applyFont="1" applyAlignment="1">
      <alignment vertical="center"/>
    </xf>
    <xf numFmtId="0" fontId="0" fillId="3" borderId="0" xfId="0" applyFont="1" applyFill="1"/>
    <xf numFmtId="0" fontId="8" fillId="6" borderId="0" xfId="0" applyFont="1" applyFill="1" applyAlignment="1">
      <alignment vertical="center"/>
    </xf>
    <xf numFmtId="0" fontId="0" fillId="5" borderId="0" xfId="0" applyFont="1" applyFill="1"/>
    <xf numFmtId="0" fontId="7" fillId="0" borderId="0" xfId="0" applyFont="1"/>
    <xf numFmtId="0" fontId="7" fillId="3" borderId="0" xfId="0" applyFont="1" applyFill="1"/>
    <xf numFmtId="0" fontId="0" fillId="7" borderId="0" xfId="0" applyFill="1"/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0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7" fillId="8" borderId="0" xfId="0" applyFont="1" applyFill="1"/>
    <xf numFmtId="0" fontId="1" fillId="0" borderId="0" xfId="0" applyFont="1"/>
    <xf numFmtId="0" fontId="1" fillId="3" borderId="0" xfId="0" applyFont="1" applyFill="1"/>
    <xf numFmtId="0" fontId="0" fillId="7" borderId="0" xfId="0" applyFont="1" applyFill="1"/>
    <xf numFmtId="0" fontId="2" fillId="4" borderId="0" xfId="0" applyFont="1" applyFill="1"/>
    <xf numFmtId="0" fontId="0" fillId="8" borderId="2" xfId="0" applyFill="1" applyBorder="1"/>
    <xf numFmtId="0" fontId="0" fillId="8" borderId="4" xfId="0" applyFill="1" applyBorder="1"/>
    <xf numFmtId="0" fontId="0" fillId="8" borderId="0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3" xfId="0" applyFill="1" applyBorder="1"/>
    <xf numFmtId="0" fontId="0" fillId="8" borderId="5" xfId="0" applyFill="1" applyBorder="1"/>
    <xf numFmtId="0" fontId="8" fillId="7" borderId="0" xfId="0" applyFont="1" applyFill="1" applyBorder="1" applyAlignment="1">
      <alignment vertical="center"/>
    </xf>
    <xf numFmtId="0" fontId="2" fillId="0" borderId="0" xfId="0" applyFont="1" applyAlignment="1">
      <alignment horizontal="right"/>
    </xf>
    <xf numFmtId="0" fontId="0" fillId="8" borderId="0" xfId="0" applyFill="1"/>
    <xf numFmtId="0" fontId="0" fillId="9" borderId="0" xfId="0" applyFill="1"/>
    <xf numFmtId="0" fontId="2" fillId="9" borderId="0" xfId="0" applyFont="1" applyFill="1"/>
    <xf numFmtId="0" fontId="0" fillId="9" borderId="0" xfId="0" applyFill="1" applyBorder="1"/>
    <xf numFmtId="0" fontId="0" fillId="4" borderId="16" xfId="0" applyFill="1" applyBorder="1"/>
    <xf numFmtId="0" fontId="0" fillId="0" borderId="16" xfId="0" applyBorder="1"/>
    <xf numFmtId="0" fontId="0" fillId="0" borderId="16" xfId="0" applyBorder="1" applyAlignment="1">
      <alignment wrapText="1"/>
    </xf>
    <xf numFmtId="0" fontId="0" fillId="0" borderId="16" xfId="0" applyFill="1" applyBorder="1"/>
    <xf numFmtId="0" fontId="2" fillId="0" borderId="16" xfId="0" applyFont="1" applyBorder="1"/>
    <xf numFmtId="0" fontId="0" fillId="0" borderId="0" xfId="0" applyFill="1" applyAlignment="1">
      <alignment wrapText="1"/>
    </xf>
    <xf numFmtId="0" fontId="0" fillId="4" borderId="0" xfId="0" applyFill="1" applyBorder="1"/>
    <xf numFmtId="0" fontId="5" fillId="0" borderId="16" xfId="0" applyFont="1" applyBorder="1"/>
    <xf numFmtId="0" fontId="1" fillId="5" borderId="0" xfId="0" applyFont="1" applyFill="1"/>
    <xf numFmtId="0" fontId="3" fillId="0" borderId="0" xfId="0" applyFont="1" applyBorder="1"/>
    <xf numFmtId="0" fontId="5" fillId="0" borderId="0" xfId="0" applyFont="1" applyBorder="1"/>
    <xf numFmtId="0" fontId="0" fillId="0" borderId="0" xfId="0" applyBorder="1" applyAlignment="1">
      <alignment wrapText="1"/>
    </xf>
    <xf numFmtId="0" fontId="2" fillId="0" borderId="0" xfId="0" applyFont="1" applyAlignment="1"/>
    <xf numFmtId="0" fontId="3" fillId="0" borderId="0" xfId="0" applyFont="1" applyFill="1"/>
    <xf numFmtId="0" fontId="0" fillId="8" borderId="0" xfId="0" applyFont="1" applyFill="1"/>
    <xf numFmtId="0" fontId="0" fillId="8" borderId="8" xfId="0" applyFill="1" applyBorder="1"/>
    <xf numFmtId="0" fontId="7" fillId="3" borderId="1" xfId="0" applyFont="1" applyFill="1" applyBorder="1"/>
    <xf numFmtId="0" fontId="7" fillId="3" borderId="2" xfId="0" applyFont="1" applyFill="1" applyBorder="1"/>
    <xf numFmtId="0" fontId="7" fillId="3" borderId="3" xfId="0" applyFont="1" applyFill="1" applyBorder="1"/>
    <xf numFmtId="0" fontId="9" fillId="0" borderId="0" xfId="0" applyFont="1"/>
    <xf numFmtId="0" fontId="3" fillId="4" borderId="0" xfId="0" applyFont="1" applyFill="1"/>
    <xf numFmtId="0" fontId="7" fillId="3" borderId="4" xfId="0" applyFont="1" applyFill="1" applyBorder="1"/>
    <xf numFmtId="0" fontId="7" fillId="3" borderId="0" xfId="0" applyFont="1" applyFill="1" applyBorder="1"/>
    <xf numFmtId="0" fontId="7" fillId="3" borderId="5" xfId="0" applyFont="1" applyFill="1" applyBorder="1"/>
    <xf numFmtId="0" fontId="0" fillId="0" borderId="9" xfId="0" applyBorder="1"/>
    <xf numFmtId="0" fontId="0" fillId="0" borderId="10" xfId="0" applyBorder="1"/>
    <xf numFmtId="0" fontId="0" fillId="0" borderId="15" xfId="0" applyBorder="1"/>
    <xf numFmtId="0" fontId="5" fillId="0" borderId="0" xfId="0" applyFont="1" applyFill="1"/>
    <xf numFmtId="0" fontId="0" fillId="5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76" Type="http://schemas.openxmlformats.org/officeDocument/2006/relationships/image" Target="../media/image76.png"/><Relationship Id="rId84" Type="http://schemas.openxmlformats.org/officeDocument/2006/relationships/image" Target="../media/image84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6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87" Type="http://schemas.openxmlformats.org/officeDocument/2006/relationships/image" Target="../media/image87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77" Type="http://schemas.openxmlformats.org/officeDocument/2006/relationships/image" Target="../media/image77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83" Type="http://schemas.openxmlformats.org/officeDocument/2006/relationships/image" Target="../media/image83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154</xdr:row>
      <xdr:rowOff>7620</xdr:rowOff>
    </xdr:from>
    <xdr:to>
      <xdr:col>1</xdr:col>
      <xdr:colOff>1485900</xdr:colOff>
      <xdr:row>156</xdr:row>
      <xdr:rowOff>7620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9240" y="29359860"/>
          <a:ext cx="14478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83820</xdr:colOff>
      <xdr:row>121</xdr:row>
      <xdr:rowOff>0</xdr:rowOff>
    </xdr:from>
    <xdr:to>
      <xdr:col>0</xdr:col>
      <xdr:colOff>586740</xdr:colOff>
      <xdr:row>122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" y="23286720"/>
          <a:ext cx="5029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53340</xdr:colOff>
      <xdr:row>138</xdr:row>
      <xdr:rowOff>0</xdr:rowOff>
    </xdr:from>
    <xdr:to>
      <xdr:col>0</xdr:col>
      <xdr:colOff>144780</xdr:colOff>
      <xdr:row>138</xdr:row>
      <xdr:rowOff>175260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" y="26410920"/>
          <a:ext cx="914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38100</xdr:colOff>
      <xdr:row>138</xdr:row>
      <xdr:rowOff>167640</xdr:rowOff>
    </xdr:from>
    <xdr:to>
      <xdr:col>19</xdr:col>
      <xdr:colOff>38100</xdr:colOff>
      <xdr:row>141</xdr:row>
      <xdr:rowOff>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04620" y="26578560"/>
          <a:ext cx="66294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53340</xdr:colOff>
      <xdr:row>4</xdr:row>
      <xdr:rowOff>0</xdr:rowOff>
    </xdr:from>
    <xdr:to>
      <xdr:col>3</xdr:col>
      <xdr:colOff>312420</xdr:colOff>
      <xdr:row>4</xdr:row>
      <xdr:rowOff>175260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75760" y="746760"/>
          <a:ext cx="2590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99060</xdr:colOff>
      <xdr:row>154</xdr:row>
      <xdr:rowOff>0</xdr:rowOff>
    </xdr:from>
    <xdr:to>
      <xdr:col>20</xdr:col>
      <xdr:colOff>373380</xdr:colOff>
      <xdr:row>156</xdr:row>
      <xdr:rowOff>60960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65580" y="29337000"/>
          <a:ext cx="1600200" cy="426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53340</xdr:colOff>
      <xdr:row>167</xdr:row>
      <xdr:rowOff>0</xdr:rowOff>
    </xdr:from>
    <xdr:to>
      <xdr:col>15</xdr:col>
      <xdr:colOff>556260</xdr:colOff>
      <xdr:row>168</xdr:row>
      <xdr:rowOff>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31040" y="31714440"/>
          <a:ext cx="5029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0</xdr:colOff>
      <xdr:row>164</xdr:row>
      <xdr:rowOff>0</xdr:rowOff>
    </xdr:from>
    <xdr:to>
      <xdr:col>18</xdr:col>
      <xdr:colOff>335280</xdr:colOff>
      <xdr:row>165</xdr:row>
      <xdr:rowOff>22860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66520" y="31165800"/>
          <a:ext cx="335280" cy="220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68580</xdr:colOff>
      <xdr:row>164</xdr:row>
      <xdr:rowOff>0</xdr:rowOff>
    </xdr:from>
    <xdr:to>
      <xdr:col>0</xdr:col>
      <xdr:colOff>342900</xdr:colOff>
      <xdr:row>164</xdr:row>
      <xdr:rowOff>175260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31165800"/>
          <a:ext cx="2743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60960</xdr:colOff>
      <xdr:row>176</xdr:row>
      <xdr:rowOff>160020</xdr:rowOff>
    </xdr:from>
    <xdr:to>
      <xdr:col>30</xdr:col>
      <xdr:colOff>0</xdr:colOff>
      <xdr:row>179</xdr:row>
      <xdr:rowOff>22860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19820" y="33535620"/>
          <a:ext cx="601980" cy="411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60960</xdr:colOff>
      <xdr:row>167</xdr:row>
      <xdr:rowOff>0</xdr:rowOff>
    </xdr:from>
    <xdr:to>
      <xdr:col>29</xdr:col>
      <xdr:colOff>624840</xdr:colOff>
      <xdr:row>168</xdr:row>
      <xdr:rowOff>60960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19820" y="31714440"/>
          <a:ext cx="563880" cy="243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60960</xdr:colOff>
      <xdr:row>177</xdr:row>
      <xdr:rowOff>0</xdr:rowOff>
    </xdr:from>
    <xdr:to>
      <xdr:col>15</xdr:col>
      <xdr:colOff>563880</xdr:colOff>
      <xdr:row>178</xdr:row>
      <xdr:rowOff>15240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38660" y="33543240"/>
          <a:ext cx="5029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60960</xdr:colOff>
      <xdr:row>183</xdr:row>
      <xdr:rowOff>0</xdr:rowOff>
    </xdr:from>
    <xdr:to>
      <xdr:col>7</xdr:col>
      <xdr:colOff>251460</xdr:colOff>
      <xdr:row>183</xdr:row>
      <xdr:rowOff>175260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5140" y="34640520"/>
          <a:ext cx="1905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60960</xdr:colOff>
      <xdr:row>193</xdr:row>
      <xdr:rowOff>0</xdr:rowOff>
    </xdr:from>
    <xdr:to>
      <xdr:col>7</xdr:col>
      <xdr:colOff>251460</xdr:colOff>
      <xdr:row>193</xdr:row>
      <xdr:rowOff>175260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5140" y="36469320"/>
          <a:ext cx="1905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60960</xdr:colOff>
      <xdr:row>180</xdr:row>
      <xdr:rowOff>0</xdr:rowOff>
    </xdr:from>
    <xdr:to>
      <xdr:col>0</xdr:col>
      <xdr:colOff>190500</xdr:colOff>
      <xdr:row>180</xdr:row>
      <xdr:rowOff>175260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34091880"/>
          <a:ext cx="1295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60960</xdr:colOff>
      <xdr:row>183</xdr:row>
      <xdr:rowOff>0</xdr:rowOff>
    </xdr:from>
    <xdr:to>
      <xdr:col>26</xdr:col>
      <xdr:colOff>457200</xdr:colOff>
      <xdr:row>184</xdr:row>
      <xdr:rowOff>60960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68060" y="34640520"/>
          <a:ext cx="1059180" cy="243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60960</xdr:colOff>
      <xdr:row>193</xdr:row>
      <xdr:rowOff>0</xdr:rowOff>
    </xdr:from>
    <xdr:to>
      <xdr:col>26</xdr:col>
      <xdr:colOff>457200</xdr:colOff>
      <xdr:row>194</xdr:row>
      <xdr:rowOff>60960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68060" y="36469320"/>
          <a:ext cx="1059180" cy="243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60960</xdr:colOff>
      <xdr:row>180</xdr:row>
      <xdr:rowOff>0</xdr:rowOff>
    </xdr:from>
    <xdr:to>
      <xdr:col>18</xdr:col>
      <xdr:colOff>190500</xdr:colOff>
      <xdr:row>180</xdr:row>
      <xdr:rowOff>175260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34091880"/>
          <a:ext cx="1295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60960</xdr:colOff>
      <xdr:row>209</xdr:row>
      <xdr:rowOff>0</xdr:rowOff>
    </xdr:from>
    <xdr:to>
      <xdr:col>7</xdr:col>
      <xdr:colOff>251460</xdr:colOff>
      <xdr:row>209</xdr:row>
      <xdr:rowOff>175260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5140" y="34640520"/>
          <a:ext cx="1905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60960</xdr:colOff>
      <xdr:row>219</xdr:row>
      <xdr:rowOff>0</xdr:rowOff>
    </xdr:from>
    <xdr:to>
      <xdr:col>7</xdr:col>
      <xdr:colOff>251460</xdr:colOff>
      <xdr:row>219</xdr:row>
      <xdr:rowOff>175260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5140" y="36469320"/>
          <a:ext cx="1905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60960</xdr:colOff>
      <xdr:row>206</xdr:row>
      <xdr:rowOff>0</xdr:rowOff>
    </xdr:from>
    <xdr:to>
      <xdr:col>0</xdr:col>
      <xdr:colOff>190500</xdr:colOff>
      <xdr:row>206</xdr:row>
      <xdr:rowOff>175260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34091880"/>
          <a:ext cx="1295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60960</xdr:colOff>
      <xdr:row>198</xdr:row>
      <xdr:rowOff>0</xdr:rowOff>
    </xdr:from>
    <xdr:to>
      <xdr:col>0</xdr:col>
      <xdr:colOff>601980</xdr:colOff>
      <xdr:row>200</xdr:row>
      <xdr:rowOff>15240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37398960"/>
          <a:ext cx="54102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68580</xdr:colOff>
      <xdr:row>223</xdr:row>
      <xdr:rowOff>160020</xdr:rowOff>
    </xdr:from>
    <xdr:to>
      <xdr:col>0</xdr:col>
      <xdr:colOff>182880</xdr:colOff>
      <xdr:row>225</xdr:row>
      <xdr:rowOff>152400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42130980"/>
          <a:ext cx="114300" cy="358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60960</xdr:colOff>
      <xdr:row>227</xdr:row>
      <xdr:rowOff>0</xdr:rowOff>
    </xdr:from>
    <xdr:to>
      <xdr:col>9</xdr:col>
      <xdr:colOff>228600</xdr:colOff>
      <xdr:row>227</xdr:row>
      <xdr:rowOff>175260</xdr:rowOff>
    </xdr:to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8080" y="42519600"/>
          <a:ext cx="1676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60960</xdr:colOff>
      <xdr:row>237</xdr:row>
      <xdr:rowOff>0</xdr:rowOff>
    </xdr:from>
    <xdr:to>
      <xdr:col>9</xdr:col>
      <xdr:colOff>228600</xdr:colOff>
      <xdr:row>237</xdr:row>
      <xdr:rowOff>175260</xdr:rowOff>
    </xdr:to>
    <xdr:pic>
      <xdr:nvPicPr>
        <xdr:cNvPr id="36" name="Picture 35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8080" y="44348400"/>
          <a:ext cx="1676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60960</xdr:colOff>
      <xdr:row>251</xdr:row>
      <xdr:rowOff>0</xdr:rowOff>
    </xdr:from>
    <xdr:to>
      <xdr:col>0</xdr:col>
      <xdr:colOff>137160</xdr:colOff>
      <xdr:row>251</xdr:row>
      <xdr:rowOff>175260</xdr:rowOff>
    </xdr:to>
    <xdr:pic>
      <xdr:nvPicPr>
        <xdr:cNvPr id="38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46542960"/>
          <a:ext cx="762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53340</xdr:colOff>
      <xdr:row>248</xdr:row>
      <xdr:rowOff>0</xdr:rowOff>
    </xdr:from>
    <xdr:to>
      <xdr:col>2</xdr:col>
      <xdr:colOff>388620</xdr:colOff>
      <xdr:row>249</xdr:row>
      <xdr:rowOff>0</xdr:rowOff>
    </xdr:to>
    <xdr:pic>
      <xdr:nvPicPr>
        <xdr:cNvPr id="41" name="Picture 40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2820" y="46725840"/>
          <a:ext cx="33528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53340</xdr:colOff>
      <xdr:row>248</xdr:row>
      <xdr:rowOff>7620</xdr:rowOff>
    </xdr:from>
    <xdr:to>
      <xdr:col>3</xdr:col>
      <xdr:colOff>495300</xdr:colOff>
      <xdr:row>249</xdr:row>
      <xdr:rowOff>22860</xdr:rowOff>
    </xdr:to>
    <xdr:pic>
      <xdr:nvPicPr>
        <xdr:cNvPr id="42" name="Picture 41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75760" y="46733460"/>
          <a:ext cx="44196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60960</xdr:colOff>
      <xdr:row>252</xdr:row>
      <xdr:rowOff>0</xdr:rowOff>
    </xdr:from>
    <xdr:to>
      <xdr:col>2</xdr:col>
      <xdr:colOff>205740</xdr:colOff>
      <xdr:row>252</xdr:row>
      <xdr:rowOff>175260</xdr:rowOff>
    </xdr:to>
    <xdr:pic>
      <xdr:nvPicPr>
        <xdr:cNvPr id="43" name="Picture 42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0440" y="47457360"/>
          <a:ext cx="1447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60960</xdr:colOff>
      <xdr:row>255</xdr:row>
      <xdr:rowOff>0</xdr:rowOff>
    </xdr:from>
    <xdr:to>
      <xdr:col>2</xdr:col>
      <xdr:colOff>205740</xdr:colOff>
      <xdr:row>255</xdr:row>
      <xdr:rowOff>175260</xdr:rowOff>
    </xdr:to>
    <xdr:pic>
      <xdr:nvPicPr>
        <xdr:cNvPr id="44" name="Picture 43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0440" y="48006000"/>
          <a:ext cx="1447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60960</xdr:colOff>
      <xdr:row>254</xdr:row>
      <xdr:rowOff>0</xdr:rowOff>
    </xdr:from>
    <xdr:to>
      <xdr:col>2</xdr:col>
      <xdr:colOff>175260</xdr:colOff>
      <xdr:row>254</xdr:row>
      <xdr:rowOff>175260</xdr:rowOff>
    </xdr:to>
    <xdr:pic>
      <xdr:nvPicPr>
        <xdr:cNvPr id="45" name="Picture 44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0440" y="47823120"/>
          <a:ext cx="1143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60960</xdr:colOff>
      <xdr:row>257</xdr:row>
      <xdr:rowOff>0</xdr:rowOff>
    </xdr:from>
    <xdr:to>
      <xdr:col>2</xdr:col>
      <xdr:colOff>175260</xdr:colOff>
      <xdr:row>257</xdr:row>
      <xdr:rowOff>175260</xdr:rowOff>
    </xdr:to>
    <xdr:pic>
      <xdr:nvPicPr>
        <xdr:cNvPr id="46" name="Picture 45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0440" y="48371760"/>
          <a:ext cx="1143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60960</xdr:colOff>
      <xdr:row>259</xdr:row>
      <xdr:rowOff>0</xdr:rowOff>
    </xdr:from>
    <xdr:to>
      <xdr:col>2</xdr:col>
      <xdr:colOff>205740</xdr:colOff>
      <xdr:row>259</xdr:row>
      <xdr:rowOff>175260</xdr:rowOff>
    </xdr:to>
    <xdr:pic>
      <xdr:nvPicPr>
        <xdr:cNvPr id="48" name="Picture 47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0440" y="48737520"/>
          <a:ext cx="1447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53340</xdr:colOff>
      <xdr:row>263</xdr:row>
      <xdr:rowOff>0</xdr:rowOff>
    </xdr:from>
    <xdr:to>
      <xdr:col>2</xdr:col>
      <xdr:colOff>198120</xdr:colOff>
      <xdr:row>263</xdr:row>
      <xdr:rowOff>175260</xdr:rowOff>
    </xdr:to>
    <xdr:pic>
      <xdr:nvPicPr>
        <xdr:cNvPr id="49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2820" y="49469040"/>
          <a:ext cx="1447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60960</xdr:colOff>
      <xdr:row>36</xdr:row>
      <xdr:rowOff>0</xdr:rowOff>
    </xdr:from>
    <xdr:to>
      <xdr:col>7</xdr:col>
      <xdr:colOff>198120</xdr:colOff>
      <xdr:row>36</xdr:row>
      <xdr:rowOff>175260</xdr:rowOff>
    </xdr:to>
    <xdr:pic>
      <xdr:nvPicPr>
        <xdr:cNvPr id="50" name="Picture 49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5140" y="7330440"/>
          <a:ext cx="1371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53340</xdr:colOff>
      <xdr:row>269</xdr:row>
      <xdr:rowOff>0</xdr:rowOff>
    </xdr:from>
    <xdr:to>
      <xdr:col>2</xdr:col>
      <xdr:colOff>190500</xdr:colOff>
      <xdr:row>269</xdr:row>
      <xdr:rowOff>175260</xdr:rowOff>
    </xdr:to>
    <xdr:pic>
      <xdr:nvPicPr>
        <xdr:cNvPr id="51" name="Picture 50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2820" y="50383440"/>
          <a:ext cx="1371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60960</xdr:colOff>
      <xdr:row>245</xdr:row>
      <xdr:rowOff>0</xdr:rowOff>
    </xdr:from>
    <xdr:to>
      <xdr:col>8</xdr:col>
      <xdr:colOff>205740</xdr:colOff>
      <xdr:row>245</xdr:row>
      <xdr:rowOff>175260</xdr:rowOff>
    </xdr:to>
    <xdr:pic>
      <xdr:nvPicPr>
        <xdr:cNvPr id="54" name="Picture 53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8080" y="45994320"/>
          <a:ext cx="1447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60960</xdr:colOff>
      <xdr:row>367</xdr:row>
      <xdr:rowOff>0</xdr:rowOff>
    </xdr:from>
    <xdr:to>
      <xdr:col>0</xdr:col>
      <xdr:colOff>198120</xdr:colOff>
      <xdr:row>367</xdr:row>
      <xdr:rowOff>175260</xdr:rowOff>
    </xdr:to>
    <xdr:pic>
      <xdr:nvPicPr>
        <xdr:cNvPr id="55" name="Picture 54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68252340"/>
          <a:ext cx="1371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60960</xdr:colOff>
      <xdr:row>367</xdr:row>
      <xdr:rowOff>0</xdr:rowOff>
    </xdr:from>
    <xdr:to>
      <xdr:col>14</xdr:col>
      <xdr:colOff>198120</xdr:colOff>
      <xdr:row>367</xdr:row>
      <xdr:rowOff>175260</xdr:rowOff>
    </xdr:to>
    <xdr:pic>
      <xdr:nvPicPr>
        <xdr:cNvPr id="56" name="Picture 55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68252340"/>
          <a:ext cx="1371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60960</xdr:colOff>
      <xdr:row>281</xdr:row>
      <xdr:rowOff>0</xdr:rowOff>
    </xdr:from>
    <xdr:to>
      <xdr:col>0</xdr:col>
      <xdr:colOff>762000</xdr:colOff>
      <xdr:row>282</xdr:row>
      <xdr:rowOff>15240</xdr:rowOff>
    </xdr:to>
    <xdr:pic>
      <xdr:nvPicPr>
        <xdr:cNvPr id="58" name="Picture 57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52623720"/>
          <a:ext cx="70104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60960</xdr:colOff>
      <xdr:row>300</xdr:row>
      <xdr:rowOff>0</xdr:rowOff>
    </xdr:from>
    <xdr:to>
      <xdr:col>0</xdr:col>
      <xdr:colOff>762000</xdr:colOff>
      <xdr:row>301</xdr:row>
      <xdr:rowOff>30480</xdr:rowOff>
    </xdr:to>
    <xdr:pic>
      <xdr:nvPicPr>
        <xdr:cNvPr id="5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56106060"/>
          <a:ext cx="70104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60960</xdr:colOff>
      <xdr:row>319</xdr:row>
      <xdr:rowOff>15240</xdr:rowOff>
    </xdr:from>
    <xdr:to>
      <xdr:col>0</xdr:col>
      <xdr:colOff>609600</xdr:colOff>
      <xdr:row>319</xdr:row>
      <xdr:rowOff>190500</xdr:rowOff>
    </xdr:to>
    <xdr:pic>
      <xdr:nvPicPr>
        <xdr:cNvPr id="60" name="Picture 59"/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59596020"/>
          <a:ext cx="5486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60960</xdr:colOff>
      <xdr:row>323</xdr:row>
      <xdr:rowOff>0</xdr:rowOff>
    </xdr:from>
    <xdr:to>
      <xdr:col>7</xdr:col>
      <xdr:colOff>289560</xdr:colOff>
      <xdr:row>324</xdr:row>
      <xdr:rowOff>0</xdr:rowOff>
    </xdr:to>
    <xdr:pic>
      <xdr:nvPicPr>
        <xdr:cNvPr id="65" name="Picture 64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5140" y="60525660"/>
          <a:ext cx="22860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60960</xdr:colOff>
      <xdr:row>323</xdr:row>
      <xdr:rowOff>0</xdr:rowOff>
    </xdr:from>
    <xdr:to>
      <xdr:col>6</xdr:col>
      <xdr:colOff>152400</xdr:colOff>
      <xdr:row>323</xdr:row>
      <xdr:rowOff>175260</xdr:rowOff>
    </xdr:to>
    <xdr:pic>
      <xdr:nvPicPr>
        <xdr:cNvPr id="67" name="Picture 66"/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60342780"/>
          <a:ext cx="914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60960</xdr:colOff>
      <xdr:row>323</xdr:row>
      <xdr:rowOff>0</xdr:rowOff>
    </xdr:from>
    <xdr:to>
      <xdr:col>4</xdr:col>
      <xdr:colOff>358140</xdr:colOff>
      <xdr:row>323</xdr:row>
      <xdr:rowOff>175260</xdr:rowOff>
    </xdr:to>
    <xdr:pic>
      <xdr:nvPicPr>
        <xdr:cNvPr id="68" name="Picture 67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6320" y="60342780"/>
          <a:ext cx="2971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53340</xdr:colOff>
      <xdr:row>323</xdr:row>
      <xdr:rowOff>0</xdr:rowOff>
    </xdr:from>
    <xdr:to>
      <xdr:col>3</xdr:col>
      <xdr:colOff>327660</xdr:colOff>
      <xdr:row>323</xdr:row>
      <xdr:rowOff>175260</xdr:rowOff>
    </xdr:to>
    <xdr:pic>
      <xdr:nvPicPr>
        <xdr:cNvPr id="69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75760" y="60342780"/>
          <a:ext cx="2743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60960</xdr:colOff>
      <xdr:row>323</xdr:row>
      <xdr:rowOff>0</xdr:rowOff>
    </xdr:from>
    <xdr:to>
      <xdr:col>5</xdr:col>
      <xdr:colOff>152400</xdr:colOff>
      <xdr:row>324</xdr:row>
      <xdr:rowOff>0</xdr:rowOff>
    </xdr:to>
    <xdr:pic>
      <xdr:nvPicPr>
        <xdr:cNvPr id="70" name="Picture 69"/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9260" y="60342780"/>
          <a:ext cx="9144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60960</xdr:colOff>
      <xdr:row>337</xdr:row>
      <xdr:rowOff>0</xdr:rowOff>
    </xdr:from>
    <xdr:to>
      <xdr:col>0</xdr:col>
      <xdr:colOff>152400</xdr:colOff>
      <xdr:row>337</xdr:row>
      <xdr:rowOff>175260</xdr:rowOff>
    </xdr:to>
    <xdr:pic>
      <xdr:nvPicPr>
        <xdr:cNvPr id="71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62903100"/>
          <a:ext cx="914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60960</xdr:colOff>
      <xdr:row>352</xdr:row>
      <xdr:rowOff>0</xdr:rowOff>
    </xdr:from>
    <xdr:to>
      <xdr:col>0</xdr:col>
      <xdr:colOff>167640</xdr:colOff>
      <xdr:row>352</xdr:row>
      <xdr:rowOff>175260</xdr:rowOff>
    </xdr:to>
    <xdr:pic>
      <xdr:nvPicPr>
        <xdr:cNvPr id="72" name="Picture 71"/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65646300"/>
          <a:ext cx="1066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60960</xdr:colOff>
      <xdr:row>382</xdr:row>
      <xdr:rowOff>0</xdr:rowOff>
    </xdr:from>
    <xdr:to>
      <xdr:col>0</xdr:col>
      <xdr:colOff>304800</xdr:colOff>
      <xdr:row>383</xdr:row>
      <xdr:rowOff>0</xdr:rowOff>
    </xdr:to>
    <xdr:pic>
      <xdr:nvPicPr>
        <xdr:cNvPr id="74" name="Picture 73"/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71132700"/>
          <a:ext cx="24384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60960</xdr:colOff>
      <xdr:row>397</xdr:row>
      <xdr:rowOff>0</xdr:rowOff>
    </xdr:from>
    <xdr:to>
      <xdr:col>0</xdr:col>
      <xdr:colOff>1112520</xdr:colOff>
      <xdr:row>398</xdr:row>
      <xdr:rowOff>22860</xdr:rowOff>
    </xdr:to>
    <xdr:pic>
      <xdr:nvPicPr>
        <xdr:cNvPr id="75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73875900"/>
          <a:ext cx="105156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60960</xdr:colOff>
      <xdr:row>416</xdr:row>
      <xdr:rowOff>0</xdr:rowOff>
    </xdr:from>
    <xdr:to>
      <xdr:col>16</xdr:col>
      <xdr:colOff>297180</xdr:colOff>
      <xdr:row>417</xdr:row>
      <xdr:rowOff>7620</xdr:rowOff>
    </xdr:to>
    <xdr:pic>
      <xdr:nvPicPr>
        <xdr:cNvPr id="77" name="Picture 76"/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77350620"/>
          <a:ext cx="23622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60960</xdr:colOff>
      <xdr:row>416</xdr:row>
      <xdr:rowOff>0</xdr:rowOff>
    </xdr:from>
    <xdr:to>
      <xdr:col>1</xdr:col>
      <xdr:colOff>1203960</xdr:colOff>
      <xdr:row>417</xdr:row>
      <xdr:rowOff>22860</xdr:rowOff>
    </xdr:to>
    <xdr:pic>
      <xdr:nvPicPr>
        <xdr:cNvPr id="78" name="Picture 77"/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77350620"/>
          <a:ext cx="26441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60960</xdr:colOff>
      <xdr:row>434</xdr:row>
      <xdr:rowOff>0</xdr:rowOff>
    </xdr:from>
    <xdr:to>
      <xdr:col>5</xdr:col>
      <xdr:colOff>556260</xdr:colOff>
      <xdr:row>435</xdr:row>
      <xdr:rowOff>15240</xdr:rowOff>
    </xdr:to>
    <xdr:pic>
      <xdr:nvPicPr>
        <xdr:cNvPr id="80" name="Picture 79"/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80657700"/>
          <a:ext cx="594360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60960</xdr:colOff>
      <xdr:row>435</xdr:row>
      <xdr:rowOff>175260</xdr:rowOff>
    </xdr:from>
    <xdr:to>
      <xdr:col>3</xdr:col>
      <xdr:colOff>220980</xdr:colOff>
      <xdr:row>437</xdr:row>
      <xdr:rowOff>175260</xdr:rowOff>
    </xdr:to>
    <xdr:pic>
      <xdr:nvPicPr>
        <xdr:cNvPr id="81" name="Picture 80"/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81015840"/>
          <a:ext cx="428244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60960</xdr:colOff>
      <xdr:row>436</xdr:row>
      <xdr:rowOff>167640</xdr:rowOff>
    </xdr:from>
    <xdr:to>
      <xdr:col>1</xdr:col>
      <xdr:colOff>1859280</xdr:colOff>
      <xdr:row>438</xdr:row>
      <xdr:rowOff>167640</xdr:rowOff>
    </xdr:to>
    <xdr:pic>
      <xdr:nvPicPr>
        <xdr:cNvPr id="82" name="Picture 81"/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81191100"/>
          <a:ext cx="329946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60960</xdr:colOff>
      <xdr:row>438</xdr:row>
      <xdr:rowOff>0</xdr:rowOff>
    </xdr:from>
    <xdr:to>
      <xdr:col>1</xdr:col>
      <xdr:colOff>952500</xdr:colOff>
      <xdr:row>439</xdr:row>
      <xdr:rowOff>175260</xdr:rowOff>
    </xdr:to>
    <xdr:pic>
      <xdr:nvPicPr>
        <xdr:cNvPr id="83" name="Picture 82"/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81389220"/>
          <a:ext cx="2392680" cy="358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53340</xdr:colOff>
      <xdr:row>441</xdr:row>
      <xdr:rowOff>0</xdr:rowOff>
    </xdr:from>
    <xdr:to>
      <xdr:col>10</xdr:col>
      <xdr:colOff>213360</xdr:colOff>
      <xdr:row>441</xdr:row>
      <xdr:rowOff>182880</xdr:rowOff>
    </xdr:to>
    <xdr:pic>
      <xdr:nvPicPr>
        <xdr:cNvPr id="84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3400" y="81937860"/>
          <a:ext cx="82296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60960</xdr:colOff>
      <xdr:row>441</xdr:row>
      <xdr:rowOff>0</xdr:rowOff>
    </xdr:from>
    <xdr:to>
      <xdr:col>1</xdr:col>
      <xdr:colOff>624840</xdr:colOff>
      <xdr:row>442</xdr:row>
      <xdr:rowOff>0</xdr:rowOff>
    </xdr:to>
    <xdr:pic>
      <xdr:nvPicPr>
        <xdr:cNvPr id="85" name="Picture 84"/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2100" y="81937860"/>
          <a:ext cx="56388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60960</xdr:colOff>
      <xdr:row>450</xdr:row>
      <xdr:rowOff>0</xdr:rowOff>
    </xdr:from>
    <xdr:to>
      <xdr:col>0</xdr:col>
      <xdr:colOff>160020</xdr:colOff>
      <xdr:row>450</xdr:row>
      <xdr:rowOff>175260</xdr:rowOff>
    </xdr:to>
    <xdr:pic>
      <xdr:nvPicPr>
        <xdr:cNvPr id="86" name="Picture 85"/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83583780"/>
          <a:ext cx="990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60960</xdr:colOff>
      <xdr:row>467</xdr:row>
      <xdr:rowOff>0</xdr:rowOff>
    </xdr:from>
    <xdr:to>
      <xdr:col>8</xdr:col>
      <xdr:colOff>365760</xdr:colOff>
      <xdr:row>468</xdr:row>
      <xdr:rowOff>152400</xdr:rowOff>
    </xdr:to>
    <xdr:pic>
      <xdr:nvPicPr>
        <xdr:cNvPr id="87" name="Picture 86"/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0440" y="86692740"/>
          <a:ext cx="428244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60960</xdr:colOff>
      <xdr:row>466</xdr:row>
      <xdr:rowOff>0</xdr:rowOff>
    </xdr:from>
    <xdr:to>
      <xdr:col>0</xdr:col>
      <xdr:colOff>160020</xdr:colOff>
      <xdr:row>466</xdr:row>
      <xdr:rowOff>175260</xdr:rowOff>
    </xdr:to>
    <xdr:pic>
      <xdr:nvPicPr>
        <xdr:cNvPr id="88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86509860"/>
          <a:ext cx="990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60960</xdr:colOff>
      <xdr:row>467</xdr:row>
      <xdr:rowOff>0</xdr:rowOff>
    </xdr:from>
    <xdr:to>
      <xdr:col>12</xdr:col>
      <xdr:colOff>457200</xdr:colOff>
      <xdr:row>467</xdr:row>
      <xdr:rowOff>182880</xdr:rowOff>
    </xdr:to>
    <xdr:pic>
      <xdr:nvPicPr>
        <xdr:cNvPr id="89" name="Picture 88"/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6900" y="86692740"/>
          <a:ext cx="105918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60960</xdr:colOff>
      <xdr:row>467</xdr:row>
      <xdr:rowOff>0</xdr:rowOff>
    </xdr:from>
    <xdr:to>
      <xdr:col>14</xdr:col>
      <xdr:colOff>457200</xdr:colOff>
      <xdr:row>467</xdr:row>
      <xdr:rowOff>175260</xdr:rowOff>
    </xdr:to>
    <xdr:pic>
      <xdr:nvPicPr>
        <xdr:cNvPr id="90" name="Picture 89"/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12780" y="86692740"/>
          <a:ext cx="10591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53340</xdr:colOff>
      <xdr:row>466</xdr:row>
      <xdr:rowOff>167640</xdr:rowOff>
    </xdr:from>
    <xdr:to>
      <xdr:col>16</xdr:col>
      <xdr:colOff>243840</xdr:colOff>
      <xdr:row>469</xdr:row>
      <xdr:rowOff>0</xdr:rowOff>
    </xdr:to>
    <xdr:pic>
      <xdr:nvPicPr>
        <xdr:cNvPr id="91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31040" y="86677500"/>
          <a:ext cx="85344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60960</xdr:colOff>
      <xdr:row>471</xdr:row>
      <xdr:rowOff>0</xdr:rowOff>
    </xdr:from>
    <xdr:to>
      <xdr:col>5</xdr:col>
      <xdr:colOff>464820</xdr:colOff>
      <xdr:row>472</xdr:row>
      <xdr:rowOff>144780</xdr:rowOff>
    </xdr:to>
    <xdr:pic>
      <xdr:nvPicPr>
        <xdr:cNvPr id="92" name="Picture 91"/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0440" y="87424260"/>
          <a:ext cx="2392680" cy="358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60960</xdr:colOff>
      <xdr:row>470</xdr:row>
      <xdr:rowOff>0</xdr:rowOff>
    </xdr:from>
    <xdr:to>
      <xdr:col>0</xdr:col>
      <xdr:colOff>160020</xdr:colOff>
      <xdr:row>470</xdr:row>
      <xdr:rowOff>175260</xdr:rowOff>
    </xdr:to>
    <xdr:pic>
      <xdr:nvPicPr>
        <xdr:cNvPr id="93" name="Picture 92"/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87241380"/>
          <a:ext cx="990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60960</xdr:colOff>
      <xdr:row>471</xdr:row>
      <xdr:rowOff>0</xdr:rowOff>
    </xdr:from>
    <xdr:to>
      <xdr:col>12</xdr:col>
      <xdr:colOff>320040</xdr:colOff>
      <xdr:row>471</xdr:row>
      <xdr:rowOff>182880</xdr:rowOff>
    </xdr:to>
    <xdr:pic>
      <xdr:nvPicPr>
        <xdr:cNvPr id="94" name="Picture 93"/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6900" y="87424260"/>
          <a:ext cx="92202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60960</xdr:colOff>
      <xdr:row>471</xdr:row>
      <xdr:rowOff>0</xdr:rowOff>
    </xdr:from>
    <xdr:to>
      <xdr:col>14</xdr:col>
      <xdr:colOff>243840</xdr:colOff>
      <xdr:row>471</xdr:row>
      <xdr:rowOff>175260</xdr:rowOff>
    </xdr:to>
    <xdr:pic>
      <xdr:nvPicPr>
        <xdr:cNvPr id="95" name="Picture 94"/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12780" y="87424260"/>
          <a:ext cx="8458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53340</xdr:colOff>
      <xdr:row>485</xdr:row>
      <xdr:rowOff>0</xdr:rowOff>
    </xdr:from>
    <xdr:to>
      <xdr:col>11</xdr:col>
      <xdr:colOff>30480</xdr:colOff>
      <xdr:row>486</xdr:row>
      <xdr:rowOff>0</xdr:rowOff>
    </xdr:to>
    <xdr:pic>
      <xdr:nvPicPr>
        <xdr:cNvPr id="96" name="Picture 95"/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2820" y="89984580"/>
          <a:ext cx="594360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60960</xdr:colOff>
      <xdr:row>485</xdr:row>
      <xdr:rowOff>0</xdr:rowOff>
    </xdr:from>
    <xdr:to>
      <xdr:col>15</xdr:col>
      <xdr:colOff>388620</xdr:colOff>
      <xdr:row>485</xdr:row>
      <xdr:rowOff>175260</xdr:rowOff>
    </xdr:to>
    <xdr:pic>
      <xdr:nvPicPr>
        <xdr:cNvPr id="97" name="Picture 96"/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49840" y="89984580"/>
          <a:ext cx="3276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53340</xdr:colOff>
      <xdr:row>485</xdr:row>
      <xdr:rowOff>0</xdr:rowOff>
    </xdr:from>
    <xdr:to>
      <xdr:col>14</xdr:col>
      <xdr:colOff>152400</xdr:colOff>
      <xdr:row>486</xdr:row>
      <xdr:rowOff>144780</xdr:rowOff>
    </xdr:to>
    <xdr:pic>
      <xdr:nvPicPr>
        <xdr:cNvPr id="98" name="Picture 97"/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68100" y="89984580"/>
          <a:ext cx="1424940" cy="358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53340</xdr:colOff>
      <xdr:row>485</xdr:row>
      <xdr:rowOff>0</xdr:rowOff>
    </xdr:from>
    <xdr:to>
      <xdr:col>19</xdr:col>
      <xdr:colOff>426720</xdr:colOff>
      <xdr:row>485</xdr:row>
      <xdr:rowOff>198120</xdr:rowOff>
    </xdr:to>
    <xdr:pic>
      <xdr:nvPicPr>
        <xdr:cNvPr id="99" name="Picture 98"/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56920" y="89984580"/>
          <a:ext cx="169926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60960</xdr:colOff>
      <xdr:row>485</xdr:row>
      <xdr:rowOff>0</xdr:rowOff>
    </xdr:from>
    <xdr:to>
      <xdr:col>22</xdr:col>
      <xdr:colOff>259080</xdr:colOff>
      <xdr:row>485</xdr:row>
      <xdr:rowOff>182880</xdr:rowOff>
    </xdr:to>
    <xdr:pic>
      <xdr:nvPicPr>
        <xdr:cNvPr id="100" name="Picture 99"/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53360" y="89984580"/>
          <a:ext cx="152400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60960</xdr:colOff>
      <xdr:row>485</xdr:row>
      <xdr:rowOff>0</xdr:rowOff>
    </xdr:from>
    <xdr:to>
      <xdr:col>0</xdr:col>
      <xdr:colOff>198120</xdr:colOff>
      <xdr:row>486</xdr:row>
      <xdr:rowOff>0</xdr:rowOff>
    </xdr:to>
    <xdr:pic>
      <xdr:nvPicPr>
        <xdr:cNvPr id="101" name="Picture 100"/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89984580"/>
          <a:ext cx="13716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60960</xdr:colOff>
      <xdr:row>488</xdr:row>
      <xdr:rowOff>0</xdr:rowOff>
    </xdr:from>
    <xdr:to>
      <xdr:col>0</xdr:col>
      <xdr:colOff>228600</xdr:colOff>
      <xdr:row>489</xdr:row>
      <xdr:rowOff>15240</xdr:rowOff>
    </xdr:to>
    <xdr:pic>
      <xdr:nvPicPr>
        <xdr:cNvPr id="102" name="Picture 101"/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90533220"/>
          <a:ext cx="16764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60960</xdr:colOff>
      <xdr:row>493</xdr:row>
      <xdr:rowOff>0</xdr:rowOff>
    </xdr:from>
    <xdr:to>
      <xdr:col>5</xdr:col>
      <xdr:colOff>274320</xdr:colOff>
      <xdr:row>494</xdr:row>
      <xdr:rowOff>0</xdr:rowOff>
    </xdr:to>
    <xdr:pic>
      <xdr:nvPicPr>
        <xdr:cNvPr id="104" name="Picture 103"/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91447620"/>
          <a:ext cx="566166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60960</xdr:colOff>
      <xdr:row>495</xdr:row>
      <xdr:rowOff>0</xdr:rowOff>
    </xdr:from>
    <xdr:to>
      <xdr:col>0</xdr:col>
      <xdr:colOff>457200</xdr:colOff>
      <xdr:row>496</xdr:row>
      <xdr:rowOff>0</xdr:rowOff>
    </xdr:to>
    <xdr:pic>
      <xdr:nvPicPr>
        <xdr:cNvPr id="105" name="Picture 104"/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91813380"/>
          <a:ext cx="39624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60960</xdr:colOff>
      <xdr:row>503</xdr:row>
      <xdr:rowOff>0</xdr:rowOff>
    </xdr:from>
    <xdr:to>
      <xdr:col>6</xdr:col>
      <xdr:colOff>259080</xdr:colOff>
      <xdr:row>503</xdr:row>
      <xdr:rowOff>182880</xdr:rowOff>
    </xdr:to>
    <xdr:pic>
      <xdr:nvPicPr>
        <xdr:cNvPr id="106" name="Picture 105"/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0440" y="93276420"/>
          <a:ext cx="284988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60960</xdr:colOff>
      <xdr:row>503</xdr:row>
      <xdr:rowOff>0</xdr:rowOff>
    </xdr:from>
    <xdr:to>
      <xdr:col>12</xdr:col>
      <xdr:colOff>396240</xdr:colOff>
      <xdr:row>503</xdr:row>
      <xdr:rowOff>182880</xdr:rowOff>
    </xdr:to>
    <xdr:pic>
      <xdr:nvPicPr>
        <xdr:cNvPr id="107" name="Picture 106"/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6900" y="93276420"/>
          <a:ext cx="99822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60960</xdr:colOff>
      <xdr:row>503</xdr:row>
      <xdr:rowOff>0</xdr:rowOff>
    </xdr:from>
    <xdr:to>
      <xdr:col>14</xdr:col>
      <xdr:colOff>457200</xdr:colOff>
      <xdr:row>504</xdr:row>
      <xdr:rowOff>144780</xdr:rowOff>
    </xdr:to>
    <xdr:pic>
      <xdr:nvPicPr>
        <xdr:cNvPr id="108" name="Picture 107"/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12780" y="93276420"/>
          <a:ext cx="1059180" cy="358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60960</xdr:colOff>
      <xdr:row>503</xdr:row>
      <xdr:rowOff>0</xdr:rowOff>
    </xdr:from>
    <xdr:to>
      <xdr:col>16</xdr:col>
      <xdr:colOff>190500</xdr:colOff>
      <xdr:row>504</xdr:row>
      <xdr:rowOff>0</xdr:rowOff>
    </xdr:to>
    <xdr:pic>
      <xdr:nvPicPr>
        <xdr:cNvPr id="110" name="Picture 109"/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38660" y="93276420"/>
          <a:ext cx="79248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60960</xdr:colOff>
      <xdr:row>517</xdr:row>
      <xdr:rowOff>0</xdr:rowOff>
    </xdr:from>
    <xdr:to>
      <xdr:col>0</xdr:col>
      <xdr:colOff>137160</xdr:colOff>
      <xdr:row>517</xdr:row>
      <xdr:rowOff>175260</xdr:rowOff>
    </xdr:to>
    <xdr:pic>
      <xdr:nvPicPr>
        <xdr:cNvPr id="111" name="Picture 110"/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95836740"/>
          <a:ext cx="762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60960</xdr:colOff>
      <xdr:row>527</xdr:row>
      <xdr:rowOff>0</xdr:rowOff>
    </xdr:from>
    <xdr:to>
      <xdr:col>4</xdr:col>
      <xdr:colOff>160020</xdr:colOff>
      <xdr:row>528</xdr:row>
      <xdr:rowOff>0</xdr:rowOff>
    </xdr:to>
    <xdr:pic>
      <xdr:nvPicPr>
        <xdr:cNvPr id="112" name="Picture 111"/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97680780"/>
          <a:ext cx="488442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60960</xdr:colOff>
      <xdr:row>529</xdr:row>
      <xdr:rowOff>0</xdr:rowOff>
    </xdr:from>
    <xdr:to>
      <xdr:col>0</xdr:col>
      <xdr:colOff>182880</xdr:colOff>
      <xdr:row>529</xdr:row>
      <xdr:rowOff>175260</xdr:rowOff>
    </xdr:to>
    <xdr:pic>
      <xdr:nvPicPr>
        <xdr:cNvPr id="113" name="Picture 112"/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98046540"/>
          <a:ext cx="1219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60960</xdr:colOff>
      <xdr:row>531</xdr:row>
      <xdr:rowOff>0</xdr:rowOff>
    </xdr:from>
    <xdr:to>
      <xdr:col>5</xdr:col>
      <xdr:colOff>198120</xdr:colOff>
      <xdr:row>531</xdr:row>
      <xdr:rowOff>175260</xdr:rowOff>
    </xdr:to>
    <xdr:pic>
      <xdr:nvPicPr>
        <xdr:cNvPr id="114" name="Picture 113"/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3380" y="98412300"/>
          <a:ext cx="1371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60960</xdr:colOff>
      <xdr:row>541</xdr:row>
      <xdr:rowOff>0</xdr:rowOff>
    </xdr:from>
    <xdr:to>
      <xdr:col>5</xdr:col>
      <xdr:colOff>198120</xdr:colOff>
      <xdr:row>541</xdr:row>
      <xdr:rowOff>175260</xdr:rowOff>
    </xdr:to>
    <xdr:pic>
      <xdr:nvPicPr>
        <xdr:cNvPr id="115" name="Picture 114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3380" y="100241100"/>
          <a:ext cx="1371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60960</xdr:colOff>
      <xdr:row>547</xdr:row>
      <xdr:rowOff>0</xdr:rowOff>
    </xdr:from>
    <xdr:to>
      <xdr:col>8</xdr:col>
      <xdr:colOff>83820</xdr:colOff>
      <xdr:row>548</xdr:row>
      <xdr:rowOff>0</xdr:rowOff>
    </xdr:to>
    <xdr:pic>
      <xdr:nvPicPr>
        <xdr:cNvPr id="117" name="Picture 116"/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0440" y="101155500"/>
          <a:ext cx="400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60960</xdr:colOff>
      <xdr:row>547</xdr:row>
      <xdr:rowOff>0</xdr:rowOff>
    </xdr:from>
    <xdr:to>
      <xdr:col>18</xdr:col>
      <xdr:colOff>198120</xdr:colOff>
      <xdr:row>547</xdr:row>
      <xdr:rowOff>198120</xdr:rowOff>
    </xdr:to>
    <xdr:pic>
      <xdr:nvPicPr>
        <xdr:cNvPr id="118" name="Picture 117"/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75720" y="101155500"/>
          <a:ext cx="80010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60960</xdr:colOff>
      <xdr:row>547</xdr:row>
      <xdr:rowOff>15240</xdr:rowOff>
    </xdr:from>
    <xdr:to>
      <xdr:col>16</xdr:col>
      <xdr:colOff>426720</xdr:colOff>
      <xdr:row>547</xdr:row>
      <xdr:rowOff>190500</xdr:rowOff>
    </xdr:to>
    <xdr:pic>
      <xdr:nvPicPr>
        <xdr:cNvPr id="119" name="Picture 118"/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6900" y="101170740"/>
          <a:ext cx="16916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60960</xdr:colOff>
      <xdr:row>547</xdr:row>
      <xdr:rowOff>0</xdr:rowOff>
    </xdr:from>
    <xdr:to>
      <xdr:col>12</xdr:col>
      <xdr:colOff>647700</xdr:colOff>
      <xdr:row>548</xdr:row>
      <xdr:rowOff>0</xdr:rowOff>
    </xdr:to>
    <xdr:pic>
      <xdr:nvPicPr>
        <xdr:cNvPr id="121" name="Picture 120"/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61020" y="101155500"/>
          <a:ext cx="257556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60960</xdr:colOff>
      <xdr:row>550</xdr:row>
      <xdr:rowOff>0</xdr:rowOff>
    </xdr:from>
    <xdr:to>
      <xdr:col>2</xdr:col>
      <xdr:colOff>320040</xdr:colOff>
      <xdr:row>550</xdr:row>
      <xdr:rowOff>175260</xdr:rowOff>
    </xdr:to>
    <xdr:pic>
      <xdr:nvPicPr>
        <xdr:cNvPr id="122" name="Picture 121"/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0440" y="101704140"/>
          <a:ext cx="2590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60960</xdr:colOff>
      <xdr:row>558</xdr:row>
      <xdr:rowOff>0</xdr:rowOff>
    </xdr:from>
    <xdr:to>
      <xdr:col>2</xdr:col>
      <xdr:colOff>510540</xdr:colOff>
      <xdr:row>558</xdr:row>
      <xdr:rowOff>175260</xdr:rowOff>
    </xdr:to>
    <xdr:pic>
      <xdr:nvPicPr>
        <xdr:cNvPr id="123" name="Picture 122"/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0440" y="103167180"/>
          <a:ext cx="4495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60960</xdr:colOff>
      <xdr:row>268</xdr:row>
      <xdr:rowOff>7620</xdr:rowOff>
    </xdr:from>
    <xdr:to>
      <xdr:col>0</xdr:col>
      <xdr:colOff>1463040</xdr:colOff>
      <xdr:row>269</xdr:row>
      <xdr:rowOff>0</xdr:rowOff>
    </xdr:to>
    <xdr:pic>
      <xdr:nvPicPr>
        <xdr:cNvPr id="109" name="Picture 108"/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50208180"/>
          <a:ext cx="14020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53340</xdr:colOff>
      <xdr:row>568</xdr:row>
      <xdr:rowOff>0</xdr:rowOff>
    </xdr:from>
    <xdr:to>
      <xdr:col>2</xdr:col>
      <xdr:colOff>388620</xdr:colOff>
      <xdr:row>569</xdr:row>
      <xdr:rowOff>0</xdr:rowOff>
    </xdr:to>
    <xdr:pic>
      <xdr:nvPicPr>
        <xdr:cNvPr id="120" name="Picture 119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2820" y="46542960"/>
          <a:ext cx="33528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53340</xdr:colOff>
      <xdr:row>568</xdr:row>
      <xdr:rowOff>7620</xdr:rowOff>
    </xdr:from>
    <xdr:to>
      <xdr:col>3</xdr:col>
      <xdr:colOff>495300</xdr:colOff>
      <xdr:row>569</xdr:row>
      <xdr:rowOff>22860</xdr:rowOff>
    </xdr:to>
    <xdr:pic>
      <xdr:nvPicPr>
        <xdr:cNvPr id="124" name="Picture 123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75760" y="46550580"/>
          <a:ext cx="44196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60960</xdr:colOff>
      <xdr:row>572</xdr:row>
      <xdr:rowOff>0</xdr:rowOff>
    </xdr:from>
    <xdr:to>
      <xdr:col>2</xdr:col>
      <xdr:colOff>205740</xdr:colOff>
      <xdr:row>572</xdr:row>
      <xdr:rowOff>175260</xdr:rowOff>
    </xdr:to>
    <xdr:pic>
      <xdr:nvPicPr>
        <xdr:cNvPr id="125" name="Picture 124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0440" y="47274480"/>
          <a:ext cx="1447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60960</xdr:colOff>
      <xdr:row>575</xdr:row>
      <xdr:rowOff>0</xdr:rowOff>
    </xdr:from>
    <xdr:to>
      <xdr:col>2</xdr:col>
      <xdr:colOff>205740</xdr:colOff>
      <xdr:row>575</xdr:row>
      <xdr:rowOff>175260</xdr:rowOff>
    </xdr:to>
    <xdr:pic>
      <xdr:nvPicPr>
        <xdr:cNvPr id="126" name="Picture 125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0440" y="47823120"/>
          <a:ext cx="1447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60960</xdr:colOff>
      <xdr:row>574</xdr:row>
      <xdr:rowOff>0</xdr:rowOff>
    </xdr:from>
    <xdr:to>
      <xdr:col>2</xdr:col>
      <xdr:colOff>175260</xdr:colOff>
      <xdr:row>574</xdr:row>
      <xdr:rowOff>175260</xdr:rowOff>
    </xdr:to>
    <xdr:pic>
      <xdr:nvPicPr>
        <xdr:cNvPr id="127" name="Picture 126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0440" y="47640240"/>
          <a:ext cx="1143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60960</xdr:colOff>
      <xdr:row>577</xdr:row>
      <xdr:rowOff>0</xdr:rowOff>
    </xdr:from>
    <xdr:to>
      <xdr:col>2</xdr:col>
      <xdr:colOff>175260</xdr:colOff>
      <xdr:row>577</xdr:row>
      <xdr:rowOff>175260</xdr:rowOff>
    </xdr:to>
    <xdr:pic>
      <xdr:nvPicPr>
        <xdr:cNvPr id="128" name="Picture 127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0440" y="48188880"/>
          <a:ext cx="1143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60960</xdr:colOff>
      <xdr:row>579</xdr:row>
      <xdr:rowOff>0</xdr:rowOff>
    </xdr:from>
    <xdr:to>
      <xdr:col>2</xdr:col>
      <xdr:colOff>205740</xdr:colOff>
      <xdr:row>579</xdr:row>
      <xdr:rowOff>175260</xdr:rowOff>
    </xdr:to>
    <xdr:pic>
      <xdr:nvPicPr>
        <xdr:cNvPr id="129" name="Picture 128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0440" y="48554640"/>
          <a:ext cx="1447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53340</xdr:colOff>
      <xdr:row>583</xdr:row>
      <xdr:rowOff>0</xdr:rowOff>
    </xdr:from>
    <xdr:to>
      <xdr:col>2</xdr:col>
      <xdr:colOff>198120</xdr:colOff>
      <xdr:row>583</xdr:row>
      <xdr:rowOff>175260</xdr:rowOff>
    </xdr:to>
    <xdr:pic>
      <xdr:nvPicPr>
        <xdr:cNvPr id="130" name="Picture 129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2820" y="49286160"/>
          <a:ext cx="1447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60960</xdr:colOff>
      <xdr:row>565</xdr:row>
      <xdr:rowOff>0</xdr:rowOff>
    </xdr:from>
    <xdr:to>
      <xdr:col>8</xdr:col>
      <xdr:colOff>205740</xdr:colOff>
      <xdr:row>565</xdr:row>
      <xdr:rowOff>175260</xdr:rowOff>
    </xdr:to>
    <xdr:pic>
      <xdr:nvPicPr>
        <xdr:cNvPr id="131" name="Picture 130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8080" y="45994320"/>
          <a:ext cx="1447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60960</xdr:colOff>
      <xdr:row>571</xdr:row>
      <xdr:rowOff>0</xdr:rowOff>
    </xdr:from>
    <xdr:to>
      <xdr:col>0</xdr:col>
      <xdr:colOff>342900</xdr:colOff>
      <xdr:row>571</xdr:row>
      <xdr:rowOff>175260</xdr:rowOff>
    </xdr:to>
    <xdr:pic>
      <xdr:nvPicPr>
        <xdr:cNvPr id="133" name="Picture 132"/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105712260"/>
          <a:ext cx="2819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60960</xdr:colOff>
      <xdr:row>269</xdr:row>
      <xdr:rowOff>0</xdr:rowOff>
    </xdr:from>
    <xdr:to>
      <xdr:col>4</xdr:col>
      <xdr:colOff>198120</xdr:colOff>
      <xdr:row>269</xdr:row>
      <xdr:rowOff>175260</xdr:rowOff>
    </xdr:to>
    <xdr:pic>
      <xdr:nvPicPr>
        <xdr:cNvPr id="134" name="Picture 133"/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6320" y="50383440"/>
          <a:ext cx="1371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593"/>
  <sheetViews>
    <sheetView tabSelected="1" zoomScale="75" zoomScaleNormal="75" workbookViewId="0">
      <pane ySplit="5" topLeftCell="A6" activePane="bottomLeft" state="frozen"/>
      <selection pane="bottomLeft" activeCell="DV312" sqref="DV312"/>
    </sheetView>
  </sheetViews>
  <sheetFormatPr defaultRowHeight="15" x14ac:dyDescent="0.25"/>
  <cols>
    <col min="1" max="1" width="21.85546875" customWidth="1"/>
    <col min="2" max="2" width="28.5703125" customWidth="1"/>
    <col min="3" max="32" width="9.7109375" customWidth="1"/>
    <col min="33" max="35" width="9" bestFit="1" customWidth="1"/>
  </cols>
  <sheetData>
    <row r="1" spans="1:19" s="28" customFormat="1" x14ac:dyDescent="0.25">
      <c r="A1" s="29" t="s">
        <v>5</v>
      </c>
      <c r="Q1" s="78"/>
      <c r="R1" s="78"/>
      <c r="S1" s="78"/>
    </row>
    <row r="2" spans="1:19" s="21" customFormat="1" x14ac:dyDescent="0.25">
      <c r="A2" s="85"/>
      <c r="R2"/>
      <c r="S2" s="22"/>
    </row>
    <row r="3" spans="1:19" ht="18" x14ac:dyDescent="0.35">
      <c r="A3" s="18" t="s">
        <v>51</v>
      </c>
      <c r="B3" s="100" t="s">
        <v>53</v>
      </c>
      <c r="C3" s="85" t="s">
        <v>69</v>
      </c>
      <c r="D3" s="21"/>
      <c r="E3" s="21"/>
      <c r="F3" s="21"/>
      <c r="G3" s="21"/>
      <c r="H3" s="21"/>
      <c r="I3" s="91" t="s">
        <v>52</v>
      </c>
      <c r="J3" s="2" t="s">
        <v>0</v>
      </c>
      <c r="K3" s="2"/>
      <c r="L3" s="2"/>
      <c r="M3" s="2"/>
    </row>
    <row r="4" spans="1:19" x14ac:dyDescent="0.25">
      <c r="I4" s="91" t="s">
        <v>53</v>
      </c>
      <c r="J4" s="3" t="s">
        <v>26</v>
      </c>
      <c r="K4" s="3"/>
      <c r="L4" s="3"/>
      <c r="M4" s="3"/>
      <c r="Q4" s="30"/>
      <c r="R4" s="30"/>
      <c r="S4" s="30"/>
    </row>
    <row r="5" spans="1:19" x14ac:dyDescent="0.25">
      <c r="B5" s="7" t="s">
        <v>55</v>
      </c>
      <c r="C5" s="2">
        <v>0.45</v>
      </c>
      <c r="I5" s="91"/>
      <c r="J5" s="44" t="s">
        <v>27</v>
      </c>
      <c r="K5" s="44"/>
      <c r="L5" s="44"/>
      <c r="M5" s="44"/>
      <c r="Q5" s="30"/>
      <c r="R5" s="30"/>
      <c r="S5" s="30"/>
    </row>
    <row r="6" spans="1:19" x14ac:dyDescent="0.25">
      <c r="B6" s="7"/>
      <c r="I6" s="91"/>
      <c r="Q6" s="30"/>
      <c r="R6" s="30"/>
      <c r="S6" s="30"/>
    </row>
    <row r="7" spans="1:19" s="21" customFormat="1" x14ac:dyDescent="0.25">
      <c r="A7" s="85" t="s">
        <v>77</v>
      </c>
      <c r="R7"/>
      <c r="S7" s="22"/>
    </row>
    <row r="8" spans="1:19" s="28" customFormat="1" x14ac:dyDescent="0.25">
      <c r="A8" s="92"/>
      <c r="Q8" s="78"/>
      <c r="R8" s="78"/>
      <c r="S8" s="78"/>
    </row>
    <row r="9" spans="1:19" s="28" customFormat="1" x14ac:dyDescent="0.25">
      <c r="A9" s="58" t="s">
        <v>50</v>
      </c>
      <c r="Q9" s="78"/>
      <c r="R9" s="78"/>
      <c r="S9" s="78"/>
    </row>
    <row r="10" spans="1:19" x14ac:dyDescent="0.25">
      <c r="A10" s="4"/>
      <c r="P10" s="81"/>
    </row>
    <row r="11" spans="1:19" x14ac:dyDescent="0.25">
      <c r="A11" s="18" t="s">
        <v>22</v>
      </c>
    </row>
    <row r="12" spans="1:19" x14ac:dyDescent="0.25">
      <c r="B12" s="7" t="s">
        <v>56</v>
      </c>
      <c r="C12" s="2">
        <v>3</v>
      </c>
    </row>
    <row r="13" spans="1:19" x14ac:dyDescent="0.25">
      <c r="B13" s="7" t="s">
        <v>57</v>
      </c>
      <c r="C13" s="2">
        <v>6</v>
      </c>
    </row>
    <row r="14" spans="1:19" x14ac:dyDescent="0.25">
      <c r="A14" s="4"/>
    </row>
    <row r="15" spans="1:19" x14ac:dyDescent="0.25">
      <c r="B15" s="7"/>
    </row>
    <row r="16" spans="1:19" x14ac:dyDescent="0.25">
      <c r="A16" s="1" t="s">
        <v>24</v>
      </c>
      <c r="B16" s="21"/>
    </row>
    <row r="17" spans="1:11" x14ac:dyDescent="0.25">
      <c r="B17" s="1" t="s">
        <v>4</v>
      </c>
      <c r="C17" s="1" t="s">
        <v>60</v>
      </c>
      <c r="D17" s="1" t="s">
        <v>23</v>
      </c>
      <c r="E17" s="1" t="s">
        <v>25</v>
      </c>
    </row>
    <row r="18" spans="1:11" x14ac:dyDescent="0.25">
      <c r="B18" s="37" t="s">
        <v>12</v>
      </c>
      <c r="C18" s="37">
        <v>3</v>
      </c>
      <c r="D18" s="37">
        <v>1</v>
      </c>
      <c r="E18" s="3" t="str">
        <f t="shared" ref="E18:E23" si="0">B18&amp;"_"&amp;C18</f>
        <v>male_3</v>
      </c>
    </row>
    <row r="19" spans="1:11" x14ac:dyDescent="0.25">
      <c r="B19" s="37" t="s">
        <v>12</v>
      </c>
      <c r="C19" s="37">
        <v>2</v>
      </c>
      <c r="D19" s="37">
        <v>2</v>
      </c>
      <c r="E19" s="3" t="str">
        <f t="shared" si="0"/>
        <v>male_2</v>
      </c>
    </row>
    <row r="20" spans="1:11" x14ac:dyDescent="0.25">
      <c r="B20" s="37" t="s">
        <v>12</v>
      </c>
      <c r="C20" s="37">
        <v>1</v>
      </c>
      <c r="D20" s="37">
        <v>3</v>
      </c>
      <c r="E20" s="3" t="str">
        <f t="shared" si="0"/>
        <v>male_1</v>
      </c>
    </row>
    <row r="21" spans="1:11" x14ac:dyDescent="0.25">
      <c r="B21" s="37" t="s">
        <v>11</v>
      </c>
      <c r="C21" s="37">
        <v>3</v>
      </c>
      <c r="D21" s="37">
        <v>1</v>
      </c>
      <c r="E21" s="3" t="str">
        <f t="shared" si="0"/>
        <v>female_3</v>
      </c>
    </row>
    <row r="22" spans="1:11" x14ac:dyDescent="0.25">
      <c r="B22" s="37" t="s">
        <v>11</v>
      </c>
      <c r="C22" s="37">
        <v>2</v>
      </c>
      <c r="D22" s="37">
        <v>2</v>
      </c>
      <c r="E22" s="3" t="str">
        <f t="shared" si="0"/>
        <v>female_2</v>
      </c>
    </row>
    <row r="23" spans="1:11" x14ac:dyDescent="0.25">
      <c r="B23" s="37" t="s">
        <v>11</v>
      </c>
      <c r="C23" s="37">
        <v>1</v>
      </c>
      <c r="D23" s="37">
        <v>3</v>
      </c>
      <c r="E23" s="3" t="str">
        <f t="shared" si="0"/>
        <v>female_1</v>
      </c>
    </row>
    <row r="25" spans="1:11" x14ac:dyDescent="0.25">
      <c r="A25" s="18" t="s">
        <v>19</v>
      </c>
    </row>
    <row r="26" spans="1:11" ht="75" x14ac:dyDescent="0.25">
      <c r="B26" s="1" t="s">
        <v>10</v>
      </c>
      <c r="C26" s="1" t="s">
        <v>3</v>
      </c>
      <c r="D26" s="23" t="s">
        <v>60</v>
      </c>
      <c r="E26" s="1" t="s">
        <v>4</v>
      </c>
      <c r="F26" s="23" t="s">
        <v>36</v>
      </c>
      <c r="G26" s="23" t="s">
        <v>37</v>
      </c>
      <c r="K26" s="1"/>
    </row>
    <row r="27" spans="1:11" x14ac:dyDescent="0.25">
      <c r="B27" s="37">
        <v>48</v>
      </c>
      <c r="C27" s="37">
        <v>11.1</v>
      </c>
      <c r="D27" s="37">
        <v>3</v>
      </c>
      <c r="E27" s="37" t="s">
        <v>11</v>
      </c>
      <c r="F27" s="37">
        <v>0</v>
      </c>
      <c r="G27" s="3">
        <f t="shared" ref="G27:G38" si="1">F27/($C$13*2)</f>
        <v>0</v>
      </c>
    </row>
    <row r="28" spans="1:11" x14ac:dyDescent="0.25">
      <c r="B28" s="37">
        <v>49</v>
      </c>
      <c r="C28" s="37">
        <v>13.5</v>
      </c>
      <c r="D28" s="37">
        <v>3</v>
      </c>
      <c r="E28" s="37" t="s">
        <v>12</v>
      </c>
      <c r="F28" s="37">
        <v>0</v>
      </c>
      <c r="G28" s="3">
        <f t="shared" si="1"/>
        <v>0</v>
      </c>
    </row>
    <row r="29" spans="1:11" x14ac:dyDescent="0.25">
      <c r="B29" s="37">
        <v>50</v>
      </c>
      <c r="C29" s="37">
        <v>11.4</v>
      </c>
      <c r="D29" s="37">
        <v>3</v>
      </c>
      <c r="E29" s="37" t="s">
        <v>11</v>
      </c>
      <c r="F29" s="37">
        <v>0</v>
      </c>
      <c r="G29" s="3">
        <f t="shared" si="1"/>
        <v>0</v>
      </c>
    </row>
    <row r="30" spans="1:11" x14ac:dyDescent="0.25">
      <c r="B30" s="37">
        <v>51</v>
      </c>
      <c r="C30" s="37">
        <v>12.7</v>
      </c>
      <c r="D30" s="37">
        <v>3</v>
      </c>
      <c r="E30" s="37" t="s">
        <v>12</v>
      </c>
      <c r="F30" s="37">
        <v>0</v>
      </c>
      <c r="G30" s="3">
        <f t="shared" si="1"/>
        <v>0</v>
      </c>
    </row>
    <row r="31" spans="1:11" x14ac:dyDescent="0.25">
      <c r="B31" s="37">
        <v>54</v>
      </c>
      <c r="C31" s="37">
        <v>11.6</v>
      </c>
      <c r="D31" s="37">
        <v>2</v>
      </c>
      <c r="E31" s="37" t="s">
        <v>11</v>
      </c>
      <c r="F31" s="37">
        <v>0</v>
      </c>
      <c r="G31" s="3">
        <f t="shared" si="1"/>
        <v>0</v>
      </c>
    </row>
    <row r="32" spans="1:11" x14ac:dyDescent="0.25">
      <c r="B32" s="37">
        <v>55</v>
      </c>
      <c r="C32" s="37">
        <v>11.6</v>
      </c>
      <c r="D32" s="37">
        <v>2</v>
      </c>
      <c r="E32" s="37" t="s">
        <v>12</v>
      </c>
      <c r="F32" s="37">
        <v>0</v>
      </c>
      <c r="G32" s="3">
        <f t="shared" si="1"/>
        <v>0</v>
      </c>
    </row>
    <row r="33" spans="1:25" x14ac:dyDescent="0.25">
      <c r="B33" s="37">
        <v>56</v>
      </c>
      <c r="C33" s="37">
        <v>12</v>
      </c>
      <c r="D33" s="37">
        <v>2</v>
      </c>
      <c r="E33" s="37" t="s">
        <v>11</v>
      </c>
      <c r="F33" s="37">
        <v>0</v>
      </c>
      <c r="G33" s="3">
        <f t="shared" si="1"/>
        <v>0</v>
      </c>
    </row>
    <row r="34" spans="1:25" x14ac:dyDescent="0.25">
      <c r="B34" s="37">
        <v>57</v>
      </c>
      <c r="C34" s="37">
        <v>12.7</v>
      </c>
      <c r="D34" s="37">
        <v>2</v>
      </c>
      <c r="E34" s="37" t="s">
        <v>12</v>
      </c>
      <c r="F34" s="37">
        <v>0</v>
      </c>
      <c r="G34" s="3">
        <f t="shared" si="1"/>
        <v>0</v>
      </c>
    </row>
    <row r="35" spans="1:25" x14ac:dyDescent="0.25">
      <c r="B35" s="37">
        <v>58</v>
      </c>
      <c r="C35" s="37">
        <v>12.1</v>
      </c>
      <c r="D35" s="37">
        <v>1</v>
      </c>
      <c r="E35" s="37" t="s">
        <v>11</v>
      </c>
      <c r="F35" s="37">
        <v>0</v>
      </c>
      <c r="G35" s="3">
        <f t="shared" si="1"/>
        <v>0</v>
      </c>
    </row>
    <row r="36" spans="1:25" x14ac:dyDescent="0.25">
      <c r="B36" s="37">
        <v>59</v>
      </c>
      <c r="C36" s="37">
        <v>12.9</v>
      </c>
      <c r="D36" s="37">
        <v>1</v>
      </c>
      <c r="E36" s="37" t="s">
        <v>12</v>
      </c>
      <c r="F36" s="37">
        <v>0</v>
      </c>
      <c r="G36" s="3">
        <f t="shared" si="1"/>
        <v>0</v>
      </c>
    </row>
    <row r="37" spans="1:25" x14ac:dyDescent="0.25">
      <c r="B37" s="37">
        <v>60</v>
      </c>
      <c r="C37" s="37">
        <v>12.2</v>
      </c>
      <c r="D37" s="37">
        <v>1</v>
      </c>
      <c r="E37" s="37" t="s">
        <v>11</v>
      </c>
      <c r="F37" s="37">
        <v>1</v>
      </c>
      <c r="G37" s="3">
        <f>F37/($C$13*2)</f>
        <v>8.3333333333333329E-2</v>
      </c>
    </row>
    <row r="38" spans="1:25" x14ac:dyDescent="0.25">
      <c r="B38" s="37">
        <v>61</v>
      </c>
      <c r="C38" s="37">
        <v>13</v>
      </c>
      <c r="D38" s="37">
        <v>1</v>
      </c>
      <c r="E38" s="37" t="s">
        <v>12</v>
      </c>
      <c r="F38" s="37">
        <v>1</v>
      </c>
      <c r="G38" s="3">
        <f t="shared" si="1"/>
        <v>8.3333333333333329E-2</v>
      </c>
    </row>
    <row r="40" spans="1:25" s="28" customFormat="1" ht="18" x14ac:dyDescent="0.35">
      <c r="A40" s="58" t="s">
        <v>43</v>
      </c>
      <c r="S40" s="58" t="s">
        <v>48</v>
      </c>
    </row>
    <row r="41" spans="1:25" x14ac:dyDescent="0.25">
      <c r="R41" s="73"/>
      <c r="S41" s="30"/>
    </row>
    <row r="42" spans="1:25" x14ac:dyDescent="0.25">
      <c r="A42" s="18" t="s">
        <v>21</v>
      </c>
      <c r="B42" s="85" t="s">
        <v>44</v>
      </c>
      <c r="R42" s="79"/>
      <c r="S42" s="82" t="s">
        <v>21</v>
      </c>
      <c r="T42" s="4" t="s">
        <v>47</v>
      </c>
    </row>
    <row r="43" spans="1:25" s="26" customFormat="1" ht="45" customHeight="1" x14ac:dyDescent="0.25">
      <c r="B43" s="23" t="s">
        <v>10</v>
      </c>
      <c r="C43" s="23" t="s">
        <v>13</v>
      </c>
      <c r="D43" s="23" t="s">
        <v>14</v>
      </c>
      <c r="E43" s="23" t="s">
        <v>20</v>
      </c>
      <c r="F43" s="23" t="s">
        <v>4</v>
      </c>
      <c r="G43" s="77"/>
      <c r="H43" s="77"/>
      <c r="I43"/>
      <c r="R43" s="74"/>
      <c r="S43" s="83"/>
      <c r="T43" s="23" t="s">
        <v>10</v>
      </c>
      <c r="U43" s="23" t="s">
        <v>13</v>
      </c>
      <c r="V43" s="23" t="s">
        <v>14</v>
      </c>
      <c r="W43" s="23" t="s">
        <v>20</v>
      </c>
      <c r="X43" s="23" t="s">
        <v>4</v>
      </c>
    </row>
    <row r="44" spans="1:25" x14ac:dyDescent="0.25">
      <c r="B44" s="41">
        <v>1</v>
      </c>
      <c r="C44" s="41">
        <v>0</v>
      </c>
      <c r="D44" s="41">
        <v>0</v>
      </c>
      <c r="E44" s="41">
        <v>0</v>
      </c>
      <c r="F44" s="41" t="s">
        <v>12</v>
      </c>
      <c r="G44" s="55" t="s">
        <v>46</v>
      </c>
      <c r="H44" s="7" t="e">
        <f>VLOOKUP(B44,B$27:C$38,2,FALSE)</f>
        <v>#N/A</v>
      </c>
      <c r="R44" s="73"/>
      <c r="S44" s="30"/>
      <c r="T44" s="41">
        <v>1</v>
      </c>
      <c r="U44" s="41">
        <v>0</v>
      </c>
      <c r="V44" s="41">
        <v>0</v>
      </c>
      <c r="W44" s="41">
        <v>0</v>
      </c>
      <c r="X44" s="41" t="s">
        <v>12</v>
      </c>
      <c r="Y44" s="55" t="s">
        <v>46</v>
      </c>
    </row>
    <row r="45" spans="1:25" x14ac:dyDescent="0.25">
      <c r="B45" s="41">
        <v>2</v>
      </c>
      <c r="C45" s="41">
        <v>0</v>
      </c>
      <c r="D45" s="41">
        <v>0</v>
      </c>
      <c r="E45" s="41">
        <v>0</v>
      </c>
      <c r="F45" s="41" t="s">
        <v>12</v>
      </c>
      <c r="G45" s="55" t="s">
        <v>46</v>
      </c>
      <c r="H45" s="7" t="e">
        <f t="shared" ref="H45:H108" si="2">VLOOKUP(B45,B$27:C$38,2,FALSE)</f>
        <v>#N/A</v>
      </c>
      <c r="R45" s="73"/>
      <c r="S45" s="30"/>
      <c r="T45" s="41">
        <v>2</v>
      </c>
      <c r="U45" s="41">
        <v>0</v>
      </c>
      <c r="V45" s="41">
        <v>0</v>
      </c>
      <c r="W45" s="41">
        <v>0</v>
      </c>
      <c r="X45" s="41" t="s">
        <v>12</v>
      </c>
      <c r="Y45" s="55" t="s">
        <v>46</v>
      </c>
    </row>
    <row r="46" spans="1:25" x14ac:dyDescent="0.25">
      <c r="B46" s="41">
        <v>3</v>
      </c>
      <c r="C46" s="41">
        <v>0</v>
      </c>
      <c r="D46" s="41">
        <v>0</v>
      </c>
      <c r="E46" s="41">
        <v>0</v>
      </c>
      <c r="F46" s="41" t="s">
        <v>11</v>
      </c>
      <c r="G46" s="55" t="s">
        <v>46</v>
      </c>
      <c r="H46" s="7" t="e">
        <f t="shared" si="2"/>
        <v>#N/A</v>
      </c>
      <c r="R46" s="73"/>
      <c r="S46" s="30"/>
      <c r="T46" s="41">
        <v>3</v>
      </c>
      <c r="U46" s="41">
        <v>0</v>
      </c>
      <c r="V46" s="41">
        <v>0</v>
      </c>
      <c r="W46" s="41">
        <v>0</v>
      </c>
      <c r="X46" s="41" t="s">
        <v>11</v>
      </c>
      <c r="Y46" s="55" t="s">
        <v>46</v>
      </c>
    </row>
    <row r="47" spans="1:25" x14ac:dyDescent="0.25">
      <c r="B47" s="41">
        <v>4</v>
      </c>
      <c r="C47" s="41">
        <v>0</v>
      </c>
      <c r="D47" s="41">
        <v>0</v>
      </c>
      <c r="E47" s="41">
        <v>0</v>
      </c>
      <c r="F47" s="41" t="s">
        <v>12</v>
      </c>
      <c r="G47" s="55" t="s">
        <v>46</v>
      </c>
      <c r="H47" s="7" t="e">
        <f t="shared" si="2"/>
        <v>#N/A</v>
      </c>
      <c r="R47" s="73"/>
      <c r="S47" s="30"/>
      <c r="T47" s="41">
        <v>4</v>
      </c>
      <c r="U47" s="41">
        <v>0</v>
      </c>
      <c r="V47" s="41">
        <v>0</v>
      </c>
      <c r="W47" s="41">
        <v>0</v>
      </c>
      <c r="X47" s="41" t="s">
        <v>12</v>
      </c>
      <c r="Y47" s="55" t="s">
        <v>46</v>
      </c>
    </row>
    <row r="48" spans="1:25" x14ac:dyDescent="0.25">
      <c r="B48" s="41">
        <v>5</v>
      </c>
      <c r="C48" s="41">
        <v>0</v>
      </c>
      <c r="D48" s="41">
        <v>0</v>
      </c>
      <c r="E48" s="41">
        <v>0</v>
      </c>
      <c r="F48" s="41" t="s">
        <v>11</v>
      </c>
      <c r="G48" s="55" t="s">
        <v>46</v>
      </c>
      <c r="H48" s="7" t="e">
        <f t="shared" si="2"/>
        <v>#N/A</v>
      </c>
      <c r="R48" s="73"/>
      <c r="S48" s="30"/>
      <c r="T48" s="41">
        <v>5</v>
      </c>
      <c r="U48" s="41">
        <v>0</v>
      </c>
      <c r="V48" s="41">
        <v>0</v>
      </c>
      <c r="W48" s="41">
        <v>0</v>
      </c>
      <c r="X48" s="41" t="s">
        <v>11</v>
      </c>
      <c r="Y48" s="55" t="s">
        <v>46</v>
      </c>
    </row>
    <row r="49" spans="2:25" x14ac:dyDescent="0.25">
      <c r="B49" s="41">
        <v>6</v>
      </c>
      <c r="C49" s="41">
        <v>0</v>
      </c>
      <c r="D49" s="41">
        <v>0</v>
      </c>
      <c r="E49" s="41">
        <v>0</v>
      </c>
      <c r="F49" s="41" t="s">
        <v>11</v>
      </c>
      <c r="G49" s="55" t="s">
        <v>46</v>
      </c>
      <c r="H49" s="7" t="e">
        <f t="shared" si="2"/>
        <v>#N/A</v>
      </c>
      <c r="R49" s="73"/>
      <c r="S49" s="30"/>
      <c r="T49" s="41">
        <v>6</v>
      </c>
      <c r="U49" s="41">
        <v>0</v>
      </c>
      <c r="V49" s="41">
        <v>0</v>
      </c>
      <c r="W49" s="41">
        <v>0</v>
      </c>
      <c r="X49" s="41" t="s">
        <v>11</v>
      </c>
      <c r="Y49" s="55" t="s">
        <v>46</v>
      </c>
    </row>
    <row r="50" spans="2:25" x14ac:dyDescent="0.25">
      <c r="B50" s="41">
        <v>7</v>
      </c>
      <c r="C50" s="41">
        <v>0</v>
      </c>
      <c r="D50" s="41">
        <v>0</v>
      </c>
      <c r="E50" s="41">
        <v>0</v>
      </c>
      <c r="F50" s="41" t="s">
        <v>11</v>
      </c>
      <c r="G50" s="55" t="s">
        <v>46</v>
      </c>
      <c r="H50" s="7" t="e">
        <f t="shared" si="2"/>
        <v>#N/A</v>
      </c>
      <c r="R50" s="73"/>
      <c r="S50" s="30"/>
      <c r="T50" s="41">
        <v>7</v>
      </c>
      <c r="U50" s="41">
        <v>0</v>
      </c>
      <c r="V50" s="41">
        <v>0</v>
      </c>
      <c r="W50" s="41">
        <v>0</v>
      </c>
      <c r="X50" s="41" t="s">
        <v>11</v>
      </c>
      <c r="Y50" s="55" t="s">
        <v>46</v>
      </c>
    </row>
    <row r="51" spans="2:25" x14ac:dyDescent="0.25">
      <c r="B51" s="41">
        <v>8</v>
      </c>
      <c r="C51" s="41">
        <v>0</v>
      </c>
      <c r="D51" s="41">
        <v>0</v>
      </c>
      <c r="E51" s="41">
        <v>0</v>
      </c>
      <c r="F51" s="41" t="s">
        <v>12</v>
      </c>
      <c r="G51" s="55" t="s">
        <v>46</v>
      </c>
      <c r="H51" s="7" t="e">
        <f t="shared" si="2"/>
        <v>#N/A</v>
      </c>
      <c r="R51" s="73"/>
      <c r="S51" s="30"/>
      <c r="T51" s="41">
        <v>8</v>
      </c>
      <c r="U51" s="41">
        <v>0</v>
      </c>
      <c r="V51" s="41">
        <v>0</v>
      </c>
      <c r="W51" s="41">
        <v>0</v>
      </c>
      <c r="X51" s="41" t="s">
        <v>12</v>
      </c>
      <c r="Y51" s="55" t="s">
        <v>46</v>
      </c>
    </row>
    <row r="52" spans="2:25" x14ac:dyDescent="0.25">
      <c r="B52" s="41">
        <v>9</v>
      </c>
      <c r="C52" s="41">
        <v>0</v>
      </c>
      <c r="D52" s="41">
        <v>0</v>
      </c>
      <c r="E52" s="41">
        <v>0</v>
      </c>
      <c r="F52" s="41" t="s">
        <v>11</v>
      </c>
      <c r="G52" s="55" t="s">
        <v>46</v>
      </c>
      <c r="H52" s="7" t="e">
        <f t="shared" si="2"/>
        <v>#N/A</v>
      </c>
      <c r="R52" s="73"/>
      <c r="S52" s="30"/>
      <c r="T52" s="41">
        <v>9</v>
      </c>
      <c r="U52" s="41">
        <v>0</v>
      </c>
      <c r="V52" s="41">
        <v>0</v>
      </c>
      <c r="W52" s="41">
        <v>0</v>
      </c>
      <c r="X52" s="41" t="s">
        <v>11</v>
      </c>
      <c r="Y52" s="55" t="s">
        <v>46</v>
      </c>
    </row>
    <row r="53" spans="2:25" x14ac:dyDescent="0.25">
      <c r="B53" s="41">
        <v>10</v>
      </c>
      <c r="C53" s="41">
        <v>0</v>
      </c>
      <c r="D53" s="41">
        <v>0</v>
      </c>
      <c r="E53" s="41">
        <v>0</v>
      </c>
      <c r="F53" s="41" t="s">
        <v>12</v>
      </c>
      <c r="G53" s="55" t="s">
        <v>46</v>
      </c>
      <c r="H53" s="7" t="e">
        <f t="shared" si="2"/>
        <v>#N/A</v>
      </c>
      <c r="R53" s="73"/>
      <c r="S53" s="30"/>
      <c r="T53" s="41">
        <v>10</v>
      </c>
      <c r="U53" s="41">
        <v>0</v>
      </c>
      <c r="V53" s="41">
        <v>0</v>
      </c>
      <c r="W53" s="41">
        <v>0</v>
      </c>
      <c r="X53" s="41" t="s">
        <v>12</v>
      </c>
      <c r="Y53" s="55" t="s">
        <v>46</v>
      </c>
    </row>
    <row r="54" spans="2:25" x14ac:dyDescent="0.25">
      <c r="B54" s="41">
        <v>11</v>
      </c>
      <c r="C54" s="41">
        <v>0</v>
      </c>
      <c r="D54" s="41">
        <v>0</v>
      </c>
      <c r="E54" s="41">
        <v>0</v>
      </c>
      <c r="F54" s="41" t="s">
        <v>11</v>
      </c>
      <c r="G54" s="55" t="s">
        <v>46</v>
      </c>
      <c r="H54" s="7" t="e">
        <f t="shared" si="2"/>
        <v>#N/A</v>
      </c>
      <c r="R54" s="73"/>
      <c r="S54" s="30"/>
      <c r="T54" s="41">
        <v>11</v>
      </c>
      <c r="U54" s="41">
        <v>0</v>
      </c>
      <c r="V54" s="41">
        <v>0</v>
      </c>
      <c r="W54" s="41">
        <v>0</v>
      </c>
      <c r="X54" s="41" t="s">
        <v>11</v>
      </c>
      <c r="Y54" s="55" t="s">
        <v>46</v>
      </c>
    </row>
    <row r="55" spans="2:25" x14ac:dyDescent="0.25">
      <c r="B55" s="41">
        <v>12</v>
      </c>
      <c r="C55" s="41">
        <v>0</v>
      </c>
      <c r="D55" s="41">
        <v>0</v>
      </c>
      <c r="E55" s="41">
        <v>0</v>
      </c>
      <c r="F55" s="41" t="s">
        <v>11</v>
      </c>
      <c r="G55" s="55" t="s">
        <v>46</v>
      </c>
      <c r="H55" s="7" t="e">
        <f t="shared" si="2"/>
        <v>#N/A</v>
      </c>
      <c r="R55" s="73"/>
      <c r="S55" s="30"/>
      <c r="T55" s="41">
        <v>12</v>
      </c>
      <c r="U55" s="41">
        <v>0</v>
      </c>
      <c r="V55" s="41">
        <v>0</v>
      </c>
      <c r="W55" s="41">
        <v>0</v>
      </c>
      <c r="X55" s="41" t="s">
        <v>11</v>
      </c>
      <c r="Y55" s="55" t="s">
        <v>46</v>
      </c>
    </row>
    <row r="56" spans="2:25" x14ac:dyDescent="0.25">
      <c r="B56" s="41">
        <v>13</v>
      </c>
      <c r="C56" s="41">
        <v>0</v>
      </c>
      <c r="D56" s="41">
        <v>0</v>
      </c>
      <c r="E56" s="41">
        <v>0</v>
      </c>
      <c r="F56" s="41" t="s">
        <v>11</v>
      </c>
      <c r="G56" s="55" t="s">
        <v>46</v>
      </c>
      <c r="H56" s="7" t="e">
        <f t="shared" si="2"/>
        <v>#N/A</v>
      </c>
      <c r="R56" s="73"/>
      <c r="S56" s="30"/>
      <c r="T56" s="41">
        <v>13</v>
      </c>
      <c r="U56" s="41">
        <v>0</v>
      </c>
      <c r="V56" s="41">
        <v>0</v>
      </c>
      <c r="W56" s="41">
        <v>0</v>
      </c>
      <c r="X56" s="41" t="s">
        <v>11</v>
      </c>
      <c r="Y56" s="55" t="s">
        <v>46</v>
      </c>
    </row>
    <row r="57" spans="2:25" x14ac:dyDescent="0.25">
      <c r="B57" s="41">
        <v>14</v>
      </c>
      <c r="C57" s="41">
        <v>0</v>
      </c>
      <c r="D57" s="41">
        <v>0</v>
      </c>
      <c r="E57" s="41">
        <v>0</v>
      </c>
      <c r="F57" s="41" t="s">
        <v>11</v>
      </c>
      <c r="G57" s="55" t="s">
        <v>46</v>
      </c>
      <c r="H57" s="7" t="e">
        <f t="shared" si="2"/>
        <v>#N/A</v>
      </c>
      <c r="R57" s="73"/>
      <c r="S57" s="30"/>
      <c r="T57" s="41">
        <v>14</v>
      </c>
      <c r="U57" s="41">
        <v>0</v>
      </c>
      <c r="V57" s="41">
        <v>0</v>
      </c>
      <c r="W57" s="41">
        <v>0</v>
      </c>
      <c r="X57" s="41" t="s">
        <v>11</v>
      </c>
      <c r="Y57" s="55" t="s">
        <v>46</v>
      </c>
    </row>
    <row r="58" spans="2:25" x14ac:dyDescent="0.25">
      <c r="B58" s="41">
        <v>15</v>
      </c>
      <c r="C58" s="41">
        <v>0</v>
      </c>
      <c r="D58" s="41">
        <v>0</v>
      </c>
      <c r="E58" s="41">
        <v>0</v>
      </c>
      <c r="F58" s="41" t="s">
        <v>11</v>
      </c>
      <c r="G58" s="55" t="s">
        <v>46</v>
      </c>
      <c r="H58" s="7" t="e">
        <f t="shared" si="2"/>
        <v>#N/A</v>
      </c>
      <c r="R58" s="73"/>
      <c r="S58" s="30"/>
      <c r="T58" s="41">
        <v>15</v>
      </c>
      <c r="U58" s="41">
        <v>0</v>
      </c>
      <c r="V58" s="41">
        <v>0</v>
      </c>
      <c r="W58" s="41">
        <v>0</v>
      </c>
      <c r="X58" s="41" t="s">
        <v>11</v>
      </c>
      <c r="Y58" s="55" t="s">
        <v>46</v>
      </c>
    </row>
    <row r="59" spans="2:25" x14ac:dyDescent="0.25">
      <c r="B59" s="41">
        <v>16</v>
      </c>
      <c r="C59" s="41">
        <v>0</v>
      </c>
      <c r="D59" s="41">
        <v>0</v>
      </c>
      <c r="E59" s="41">
        <v>0</v>
      </c>
      <c r="F59" s="41" t="s">
        <v>11</v>
      </c>
      <c r="G59" s="55" t="s">
        <v>46</v>
      </c>
      <c r="H59" s="7" t="e">
        <f t="shared" si="2"/>
        <v>#N/A</v>
      </c>
      <c r="R59" s="73"/>
      <c r="S59" s="30"/>
      <c r="T59" s="41">
        <v>16</v>
      </c>
      <c r="U59" s="41">
        <v>0</v>
      </c>
      <c r="V59" s="41">
        <v>0</v>
      </c>
      <c r="W59" s="41">
        <v>0</v>
      </c>
      <c r="X59" s="41" t="s">
        <v>11</v>
      </c>
      <c r="Y59" s="55" t="s">
        <v>46</v>
      </c>
    </row>
    <row r="60" spans="2:25" x14ac:dyDescent="0.25">
      <c r="B60" s="41">
        <v>17</v>
      </c>
      <c r="C60" s="41">
        <v>0</v>
      </c>
      <c r="D60" s="41">
        <v>0</v>
      </c>
      <c r="E60" s="41">
        <v>0</v>
      </c>
      <c r="F60" s="41" t="s">
        <v>11</v>
      </c>
      <c r="G60" s="55" t="s">
        <v>46</v>
      </c>
      <c r="H60" s="7" t="e">
        <f t="shared" si="2"/>
        <v>#N/A</v>
      </c>
      <c r="R60" s="73"/>
      <c r="S60" s="30"/>
      <c r="T60" s="41">
        <v>17</v>
      </c>
      <c r="U60" s="41">
        <v>0</v>
      </c>
      <c r="V60" s="41">
        <v>0</v>
      </c>
      <c r="W60" s="41">
        <v>0</v>
      </c>
      <c r="X60" s="41" t="s">
        <v>11</v>
      </c>
      <c r="Y60" s="55" t="s">
        <v>46</v>
      </c>
    </row>
    <row r="61" spans="2:25" x14ac:dyDescent="0.25">
      <c r="B61" s="41">
        <v>18</v>
      </c>
      <c r="C61" s="41">
        <v>0</v>
      </c>
      <c r="D61" s="41">
        <v>0</v>
      </c>
      <c r="E61" s="41">
        <v>0</v>
      </c>
      <c r="F61" s="41" t="s">
        <v>11</v>
      </c>
      <c r="G61" s="55" t="s">
        <v>46</v>
      </c>
      <c r="H61" s="7" t="e">
        <f t="shared" si="2"/>
        <v>#N/A</v>
      </c>
      <c r="R61" s="73"/>
      <c r="S61" s="30"/>
      <c r="T61" s="41">
        <v>18</v>
      </c>
      <c r="U61" s="41">
        <v>0</v>
      </c>
      <c r="V61" s="41">
        <v>0</v>
      </c>
      <c r="W61" s="41">
        <v>0</v>
      </c>
      <c r="X61" s="41" t="s">
        <v>11</v>
      </c>
      <c r="Y61" s="55" t="s">
        <v>46</v>
      </c>
    </row>
    <row r="62" spans="2:25" x14ac:dyDescent="0.25">
      <c r="B62" s="41">
        <v>19</v>
      </c>
      <c r="C62" s="41">
        <v>4</v>
      </c>
      <c r="D62" s="41">
        <v>3</v>
      </c>
      <c r="E62" s="41">
        <v>1</v>
      </c>
      <c r="F62" s="41" t="s">
        <v>12</v>
      </c>
      <c r="G62" s="55" t="s">
        <v>46</v>
      </c>
      <c r="H62" s="7" t="e">
        <f t="shared" si="2"/>
        <v>#N/A</v>
      </c>
      <c r="R62" s="73"/>
      <c r="S62" s="30"/>
      <c r="T62" s="41">
        <v>19</v>
      </c>
      <c r="U62" s="41">
        <v>4</v>
      </c>
      <c r="V62" s="41">
        <v>3</v>
      </c>
      <c r="W62" s="41">
        <v>1</v>
      </c>
      <c r="X62" s="41" t="s">
        <v>12</v>
      </c>
      <c r="Y62" s="55" t="s">
        <v>46</v>
      </c>
    </row>
    <row r="63" spans="2:25" x14ac:dyDescent="0.25">
      <c r="B63" s="41">
        <v>20</v>
      </c>
      <c r="C63" s="41">
        <v>8</v>
      </c>
      <c r="D63" s="41">
        <v>7</v>
      </c>
      <c r="E63" s="41">
        <v>2</v>
      </c>
      <c r="F63" s="41" t="s">
        <v>12</v>
      </c>
      <c r="G63" s="55" t="s">
        <v>46</v>
      </c>
      <c r="H63" s="7" t="e">
        <f t="shared" si="2"/>
        <v>#N/A</v>
      </c>
      <c r="R63" s="73"/>
      <c r="S63" s="30"/>
      <c r="T63" s="41">
        <v>20</v>
      </c>
      <c r="U63" s="41">
        <v>8</v>
      </c>
      <c r="V63" s="41">
        <v>7</v>
      </c>
      <c r="W63" s="41">
        <v>2</v>
      </c>
      <c r="X63" s="41" t="s">
        <v>12</v>
      </c>
      <c r="Y63" s="55" t="s">
        <v>46</v>
      </c>
    </row>
    <row r="64" spans="2:25" x14ac:dyDescent="0.25">
      <c r="B64" s="41">
        <v>21</v>
      </c>
      <c r="C64" s="41">
        <v>19</v>
      </c>
      <c r="D64" s="41">
        <v>5</v>
      </c>
      <c r="E64" s="41">
        <v>2</v>
      </c>
      <c r="F64" s="41" t="s">
        <v>11</v>
      </c>
      <c r="G64" s="55" t="s">
        <v>46</v>
      </c>
      <c r="H64" s="7" t="e">
        <f t="shared" si="2"/>
        <v>#N/A</v>
      </c>
      <c r="R64" s="73"/>
      <c r="S64" s="30"/>
      <c r="T64" s="41">
        <v>21</v>
      </c>
      <c r="U64" s="41">
        <v>19</v>
      </c>
      <c r="V64" s="41">
        <v>5</v>
      </c>
      <c r="W64" s="41">
        <v>2</v>
      </c>
      <c r="X64" s="41" t="s">
        <v>11</v>
      </c>
      <c r="Y64" s="55" t="s">
        <v>46</v>
      </c>
    </row>
    <row r="65" spans="2:25" x14ac:dyDescent="0.25">
      <c r="B65" s="41">
        <v>22</v>
      </c>
      <c r="C65" s="41">
        <v>19</v>
      </c>
      <c r="D65" s="41">
        <v>6</v>
      </c>
      <c r="E65" s="41">
        <v>2</v>
      </c>
      <c r="F65" s="41" t="s">
        <v>12</v>
      </c>
      <c r="G65" s="55" t="s">
        <v>46</v>
      </c>
      <c r="H65" s="7" t="e">
        <f t="shared" si="2"/>
        <v>#N/A</v>
      </c>
      <c r="R65" s="73"/>
      <c r="S65" s="30"/>
      <c r="T65" s="41">
        <v>22</v>
      </c>
      <c r="U65" s="41">
        <v>19</v>
      </c>
      <c r="V65" s="41">
        <v>6</v>
      </c>
      <c r="W65" s="41">
        <v>2</v>
      </c>
      <c r="X65" s="41" t="s">
        <v>12</v>
      </c>
      <c r="Y65" s="55" t="s">
        <v>46</v>
      </c>
    </row>
    <row r="66" spans="2:25" x14ac:dyDescent="0.25">
      <c r="B66" s="41">
        <v>23</v>
      </c>
      <c r="C66" s="41">
        <v>10</v>
      </c>
      <c r="D66" s="41">
        <v>9</v>
      </c>
      <c r="E66" s="41">
        <v>3</v>
      </c>
      <c r="F66" s="41" t="s">
        <v>11</v>
      </c>
      <c r="G66" s="55" t="s">
        <v>46</v>
      </c>
      <c r="H66" s="7" t="e">
        <f t="shared" si="2"/>
        <v>#N/A</v>
      </c>
      <c r="R66" s="73"/>
      <c r="S66" s="30"/>
      <c r="T66" s="41">
        <v>23</v>
      </c>
      <c r="U66" s="41">
        <v>10</v>
      </c>
      <c r="V66" s="41">
        <v>9</v>
      </c>
      <c r="W66" s="41">
        <v>3</v>
      </c>
      <c r="X66" s="41" t="s">
        <v>11</v>
      </c>
      <c r="Y66" s="55" t="s">
        <v>46</v>
      </c>
    </row>
    <row r="67" spans="2:25" x14ac:dyDescent="0.25">
      <c r="B67" s="41">
        <v>24</v>
      </c>
      <c r="C67" s="41">
        <v>20</v>
      </c>
      <c r="D67" s="41">
        <v>21</v>
      </c>
      <c r="E67" s="41">
        <v>3</v>
      </c>
      <c r="F67" s="41" t="s">
        <v>12</v>
      </c>
      <c r="G67" s="55" t="s">
        <v>46</v>
      </c>
      <c r="H67" s="7" t="e">
        <f t="shared" si="2"/>
        <v>#N/A</v>
      </c>
      <c r="R67" s="73"/>
      <c r="S67" s="30"/>
      <c r="T67" s="41">
        <v>24</v>
      </c>
      <c r="U67" s="41">
        <v>20</v>
      </c>
      <c r="V67" s="41">
        <v>21</v>
      </c>
      <c r="W67" s="41">
        <v>3</v>
      </c>
      <c r="X67" s="41" t="s">
        <v>12</v>
      </c>
      <c r="Y67" s="55" t="s">
        <v>46</v>
      </c>
    </row>
    <row r="68" spans="2:25" x14ac:dyDescent="0.25">
      <c r="B68" s="41">
        <v>25</v>
      </c>
      <c r="C68" s="41">
        <v>22</v>
      </c>
      <c r="D68" s="41">
        <v>11</v>
      </c>
      <c r="E68" s="41">
        <v>4</v>
      </c>
      <c r="F68" s="41" t="s">
        <v>12</v>
      </c>
      <c r="G68" s="55" t="s">
        <v>46</v>
      </c>
      <c r="H68" s="7" t="e">
        <f t="shared" si="2"/>
        <v>#N/A</v>
      </c>
      <c r="R68" s="73"/>
      <c r="S68" s="30"/>
      <c r="T68" s="41">
        <v>25</v>
      </c>
      <c r="U68" s="41">
        <v>22</v>
      </c>
      <c r="V68" s="41">
        <v>11</v>
      </c>
      <c r="W68" s="41">
        <v>4</v>
      </c>
      <c r="X68" s="41" t="s">
        <v>12</v>
      </c>
      <c r="Y68" s="55" t="s">
        <v>46</v>
      </c>
    </row>
    <row r="69" spans="2:25" x14ac:dyDescent="0.25">
      <c r="B69" s="41">
        <v>26</v>
      </c>
      <c r="C69" s="41">
        <v>8</v>
      </c>
      <c r="D69" s="41">
        <v>12</v>
      </c>
      <c r="E69" s="41">
        <v>4</v>
      </c>
      <c r="F69" s="41" t="s">
        <v>11</v>
      </c>
      <c r="G69" s="55" t="s">
        <v>46</v>
      </c>
      <c r="H69" s="7" t="e">
        <f t="shared" si="2"/>
        <v>#N/A</v>
      </c>
      <c r="R69" s="73"/>
      <c r="S69" s="30"/>
      <c r="T69" s="41">
        <v>26</v>
      </c>
      <c r="U69" s="41">
        <v>8</v>
      </c>
      <c r="V69" s="41">
        <v>12</v>
      </c>
      <c r="W69" s="41">
        <v>4</v>
      </c>
      <c r="X69" s="41" t="s">
        <v>11</v>
      </c>
      <c r="Y69" s="55" t="s">
        <v>46</v>
      </c>
    </row>
    <row r="70" spans="2:25" x14ac:dyDescent="0.25">
      <c r="B70" s="41">
        <v>27</v>
      </c>
      <c r="C70" s="41">
        <v>8</v>
      </c>
      <c r="D70" s="41">
        <v>23</v>
      </c>
      <c r="E70" s="41">
        <v>4</v>
      </c>
      <c r="F70" s="41" t="s">
        <v>11</v>
      </c>
      <c r="G70" s="55" t="s">
        <v>46</v>
      </c>
      <c r="H70" s="7" t="e">
        <f t="shared" si="2"/>
        <v>#N/A</v>
      </c>
      <c r="R70" s="73"/>
      <c r="S70" s="30"/>
      <c r="T70" s="41">
        <v>27</v>
      </c>
      <c r="U70" s="41">
        <v>8</v>
      </c>
      <c r="V70" s="41">
        <v>23</v>
      </c>
      <c r="W70" s="41">
        <v>4</v>
      </c>
      <c r="X70" s="41" t="s">
        <v>11</v>
      </c>
      <c r="Y70" s="55" t="s">
        <v>46</v>
      </c>
    </row>
    <row r="71" spans="2:25" x14ac:dyDescent="0.25">
      <c r="B71" s="41">
        <v>28</v>
      </c>
      <c r="C71" s="41">
        <v>10</v>
      </c>
      <c r="D71" s="41">
        <v>14</v>
      </c>
      <c r="E71" s="41">
        <v>4</v>
      </c>
      <c r="F71" s="41" t="s">
        <v>11</v>
      </c>
      <c r="G71" s="55" t="s">
        <v>46</v>
      </c>
      <c r="H71" s="7" t="e">
        <f t="shared" si="2"/>
        <v>#N/A</v>
      </c>
      <c r="J71" s="1"/>
      <c r="K71" s="1"/>
      <c r="N71" s="1"/>
      <c r="O71" s="1"/>
      <c r="R71" s="73"/>
      <c r="S71" s="30"/>
      <c r="T71" s="41">
        <v>28</v>
      </c>
      <c r="U71" s="41">
        <v>10</v>
      </c>
      <c r="V71" s="41">
        <v>14</v>
      </c>
      <c r="W71" s="41">
        <v>4</v>
      </c>
      <c r="X71" s="41" t="s">
        <v>11</v>
      </c>
      <c r="Y71" s="55" t="s">
        <v>46</v>
      </c>
    </row>
    <row r="72" spans="2:25" x14ac:dyDescent="0.25">
      <c r="B72" s="41">
        <v>29</v>
      </c>
      <c r="C72" s="41">
        <v>4</v>
      </c>
      <c r="D72" s="41">
        <v>13</v>
      </c>
      <c r="E72" s="41">
        <v>5</v>
      </c>
      <c r="F72" s="41" t="s">
        <v>11</v>
      </c>
      <c r="G72" s="55" t="s">
        <v>46</v>
      </c>
      <c r="H72" s="7" t="e">
        <f t="shared" si="2"/>
        <v>#N/A</v>
      </c>
      <c r="J72" s="1"/>
      <c r="K72" s="1"/>
      <c r="N72" s="1"/>
      <c r="O72" s="1"/>
      <c r="R72" s="73"/>
      <c r="S72" s="30"/>
      <c r="T72" s="41">
        <v>29</v>
      </c>
      <c r="U72" s="41">
        <v>4</v>
      </c>
      <c r="V72" s="41">
        <v>13</v>
      </c>
      <c r="W72" s="41">
        <v>5</v>
      </c>
      <c r="X72" s="41" t="s">
        <v>11</v>
      </c>
      <c r="Y72" s="55" t="s">
        <v>46</v>
      </c>
    </row>
    <row r="73" spans="2:25" x14ac:dyDescent="0.25">
      <c r="B73" s="41">
        <v>30</v>
      </c>
      <c r="C73" s="41">
        <v>1</v>
      </c>
      <c r="D73" s="41">
        <v>15</v>
      </c>
      <c r="E73" s="41">
        <v>5</v>
      </c>
      <c r="F73" s="41" t="s">
        <v>11</v>
      </c>
      <c r="G73" s="55" t="s">
        <v>46</v>
      </c>
      <c r="H73" s="7" t="e">
        <f t="shared" si="2"/>
        <v>#N/A</v>
      </c>
      <c r="J73" s="1"/>
      <c r="K73" s="1"/>
      <c r="N73" s="1"/>
      <c r="O73" s="1"/>
      <c r="R73" s="73"/>
      <c r="S73" s="30"/>
      <c r="T73" s="41">
        <v>30</v>
      </c>
      <c r="U73" s="41">
        <v>1</v>
      </c>
      <c r="V73" s="41">
        <v>15</v>
      </c>
      <c r="W73" s="41">
        <v>5</v>
      </c>
      <c r="X73" s="41" t="s">
        <v>11</v>
      </c>
      <c r="Y73" s="55" t="s">
        <v>46</v>
      </c>
    </row>
    <row r="74" spans="2:25" x14ac:dyDescent="0.25">
      <c r="B74" s="41">
        <v>31</v>
      </c>
      <c r="C74" s="41">
        <v>24</v>
      </c>
      <c r="D74" s="41">
        <v>26</v>
      </c>
      <c r="E74" s="41">
        <v>5</v>
      </c>
      <c r="F74" s="41" t="s">
        <v>12</v>
      </c>
      <c r="G74" s="55" t="s">
        <v>46</v>
      </c>
      <c r="H74" s="7" t="e">
        <f t="shared" si="2"/>
        <v>#N/A</v>
      </c>
      <c r="J74" s="1"/>
      <c r="K74" s="1"/>
      <c r="L74" s="1"/>
      <c r="M74" s="1"/>
      <c r="N74" s="1"/>
      <c r="O74" s="1"/>
      <c r="R74" s="73"/>
      <c r="S74" s="30"/>
      <c r="T74" s="41">
        <v>31</v>
      </c>
      <c r="U74" s="41">
        <v>24</v>
      </c>
      <c r="V74" s="41">
        <v>26</v>
      </c>
      <c r="W74" s="41">
        <v>5</v>
      </c>
      <c r="X74" s="41" t="s">
        <v>12</v>
      </c>
      <c r="Y74" s="55" t="s">
        <v>46</v>
      </c>
    </row>
    <row r="75" spans="2:25" x14ac:dyDescent="0.25">
      <c r="B75" s="41">
        <v>32</v>
      </c>
      <c r="C75" s="41">
        <v>20</v>
      </c>
      <c r="D75" s="41">
        <v>30</v>
      </c>
      <c r="E75" s="41">
        <v>5</v>
      </c>
      <c r="F75" s="41" t="s">
        <v>11</v>
      </c>
      <c r="G75" s="55" t="s">
        <v>46</v>
      </c>
      <c r="H75" s="7" t="e">
        <f t="shared" si="2"/>
        <v>#N/A</v>
      </c>
      <c r="J75" s="1"/>
      <c r="K75" s="1"/>
      <c r="L75" s="1"/>
      <c r="M75" s="1"/>
      <c r="N75" s="1"/>
      <c r="O75" s="1"/>
      <c r="R75" s="73"/>
      <c r="S75" s="30"/>
      <c r="T75" s="41">
        <v>32</v>
      </c>
      <c r="U75" s="41">
        <v>20</v>
      </c>
      <c r="V75" s="41">
        <v>30</v>
      </c>
      <c r="W75" s="41">
        <v>5</v>
      </c>
      <c r="X75" s="41" t="s">
        <v>11</v>
      </c>
      <c r="Y75" s="55" t="s">
        <v>46</v>
      </c>
    </row>
    <row r="76" spans="2:25" x14ac:dyDescent="0.25">
      <c r="B76" s="41">
        <v>33</v>
      </c>
      <c r="C76" s="41">
        <v>25</v>
      </c>
      <c r="D76" s="41">
        <v>27</v>
      </c>
      <c r="E76" s="41">
        <v>5</v>
      </c>
      <c r="F76" s="41" t="s">
        <v>12</v>
      </c>
      <c r="G76" s="55" t="s">
        <v>46</v>
      </c>
      <c r="H76" s="7" t="e">
        <f t="shared" si="2"/>
        <v>#N/A</v>
      </c>
      <c r="J76" s="1"/>
      <c r="K76" s="1"/>
      <c r="L76" s="1"/>
      <c r="M76" s="1"/>
      <c r="N76" s="1"/>
      <c r="O76" s="1"/>
      <c r="R76" s="73"/>
      <c r="S76" s="30"/>
      <c r="T76" s="41">
        <v>33</v>
      </c>
      <c r="U76" s="41">
        <v>25</v>
      </c>
      <c r="V76" s="41">
        <v>27</v>
      </c>
      <c r="W76" s="41">
        <v>5</v>
      </c>
      <c r="X76" s="41" t="s">
        <v>12</v>
      </c>
      <c r="Y76" s="55" t="s">
        <v>46</v>
      </c>
    </row>
    <row r="77" spans="2:25" x14ac:dyDescent="0.25">
      <c r="B77" s="41">
        <v>34</v>
      </c>
      <c r="C77" s="41">
        <v>20</v>
      </c>
      <c r="D77" s="41">
        <v>28</v>
      </c>
      <c r="E77" s="41">
        <v>6</v>
      </c>
      <c r="F77" s="41" t="s">
        <v>11</v>
      </c>
      <c r="G77" s="55" t="s">
        <v>46</v>
      </c>
      <c r="H77" s="7" t="e">
        <f t="shared" si="2"/>
        <v>#N/A</v>
      </c>
      <c r="J77" s="1"/>
      <c r="K77" s="1"/>
      <c r="L77" s="1"/>
      <c r="M77" s="1"/>
      <c r="N77" s="1"/>
      <c r="O77" s="1"/>
      <c r="R77" s="73"/>
      <c r="S77" s="30"/>
      <c r="T77" s="41">
        <v>34</v>
      </c>
      <c r="U77" s="41">
        <v>20</v>
      </c>
      <c r="V77" s="41">
        <v>28</v>
      </c>
      <c r="W77" s="41">
        <v>6</v>
      </c>
      <c r="X77" s="41" t="s">
        <v>11</v>
      </c>
      <c r="Y77" s="55" t="s">
        <v>46</v>
      </c>
    </row>
    <row r="78" spans="2:25" x14ac:dyDescent="0.25">
      <c r="B78" s="41">
        <v>35</v>
      </c>
      <c r="C78" s="41">
        <v>22</v>
      </c>
      <c r="D78" s="41">
        <v>29</v>
      </c>
      <c r="E78" s="41">
        <v>6</v>
      </c>
      <c r="F78" s="41" t="s">
        <v>11</v>
      </c>
      <c r="G78" s="55" t="s">
        <v>46</v>
      </c>
      <c r="H78" s="7" t="e">
        <f t="shared" si="2"/>
        <v>#N/A</v>
      </c>
      <c r="J78" s="1"/>
      <c r="K78" s="1"/>
      <c r="L78" s="1"/>
      <c r="M78" s="1"/>
      <c r="N78" s="1"/>
      <c r="O78" s="1"/>
      <c r="R78" s="73"/>
      <c r="S78" s="30"/>
      <c r="T78" s="41">
        <v>35</v>
      </c>
      <c r="U78" s="41">
        <v>22</v>
      </c>
      <c r="V78" s="41">
        <v>29</v>
      </c>
      <c r="W78" s="41">
        <v>6</v>
      </c>
      <c r="X78" s="41" t="s">
        <v>11</v>
      </c>
      <c r="Y78" s="55" t="s">
        <v>46</v>
      </c>
    </row>
    <row r="79" spans="2:25" x14ac:dyDescent="0.25">
      <c r="B79" s="41">
        <v>36</v>
      </c>
      <c r="C79" s="41">
        <v>22</v>
      </c>
      <c r="D79" s="41">
        <v>18</v>
      </c>
      <c r="E79" s="41">
        <v>6</v>
      </c>
      <c r="F79" s="41" t="s">
        <v>11</v>
      </c>
      <c r="G79" s="55" t="s">
        <v>46</v>
      </c>
      <c r="H79" s="7" t="e">
        <f t="shared" si="2"/>
        <v>#N/A</v>
      </c>
      <c r="J79" s="1"/>
      <c r="K79" s="1"/>
      <c r="L79" s="1"/>
      <c r="M79" s="1"/>
      <c r="N79" s="1"/>
      <c r="O79" s="1"/>
      <c r="R79" s="73"/>
      <c r="S79" s="30"/>
      <c r="T79" s="41">
        <v>36</v>
      </c>
      <c r="U79" s="41">
        <v>22</v>
      </c>
      <c r="V79" s="41">
        <v>18</v>
      </c>
      <c r="W79" s="41">
        <v>6</v>
      </c>
      <c r="X79" s="41" t="s">
        <v>11</v>
      </c>
      <c r="Y79" s="55" t="s">
        <v>46</v>
      </c>
    </row>
    <row r="80" spans="2:25" x14ac:dyDescent="0.25">
      <c r="B80" s="41">
        <v>37</v>
      </c>
      <c r="C80" s="41">
        <v>19</v>
      </c>
      <c r="D80" s="41">
        <v>17</v>
      </c>
      <c r="E80" s="41">
        <v>6</v>
      </c>
      <c r="F80" s="41" t="s">
        <v>11</v>
      </c>
      <c r="G80" s="55" t="s">
        <v>46</v>
      </c>
      <c r="H80" s="7" t="e">
        <f t="shared" si="2"/>
        <v>#N/A</v>
      </c>
      <c r="J80" s="1"/>
      <c r="K80" s="1"/>
      <c r="L80" s="1"/>
      <c r="M80" s="1"/>
      <c r="N80" s="1"/>
      <c r="O80" s="1"/>
      <c r="R80" s="73"/>
      <c r="S80" s="30"/>
      <c r="T80" s="41">
        <v>37</v>
      </c>
      <c r="U80" s="41">
        <v>19</v>
      </c>
      <c r="V80" s="41">
        <v>17</v>
      </c>
      <c r="W80" s="41">
        <v>6</v>
      </c>
      <c r="X80" s="41" t="s">
        <v>11</v>
      </c>
      <c r="Y80" s="55" t="s">
        <v>46</v>
      </c>
    </row>
    <row r="81" spans="2:25" x14ac:dyDescent="0.25">
      <c r="B81" s="41">
        <v>38</v>
      </c>
      <c r="C81" s="41">
        <v>19</v>
      </c>
      <c r="D81" s="41">
        <v>29</v>
      </c>
      <c r="E81" s="41">
        <v>6</v>
      </c>
      <c r="F81" s="41" t="s">
        <v>11</v>
      </c>
      <c r="G81" s="55" t="s">
        <v>46</v>
      </c>
      <c r="H81" s="7" t="e">
        <f t="shared" si="2"/>
        <v>#N/A</v>
      </c>
      <c r="J81" s="1"/>
      <c r="K81" s="1"/>
      <c r="L81" s="1"/>
      <c r="M81" s="1"/>
      <c r="N81" s="1"/>
      <c r="O81" s="1"/>
      <c r="R81" s="73"/>
      <c r="S81" s="30"/>
      <c r="T81" s="41">
        <v>38</v>
      </c>
      <c r="U81" s="41">
        <v>19</v>
      </c>
      <c r="V81" s="41">
        <v>29</v>
      </c>
      <c r="W81" s="41">
        <v>6</v>
      </c>
      <c r="X81" s="41" t="s">
        <v>11</v>
      </c>
      <c r="Y81" s="55" t="s">
        <v>46</v>
      </c>
    </row>
    <row r="82" spans="2:25" x14ac:dyDescent="0.25">
      <c r="B82" s="41">
        <v>39</v>
      </c>
      <c r="C82" s="41">
        <v>2</v>
      </c>
      <c r="D82" s="41">
        <v>16</v>
      </c>
      <c r="E82" s="41">
        <v>6</v>
      </c>
      <c r="F82" s="41" t="s">
        <v>11</v>
      </c>
      <c r="G82" s="55" t="s">
        <v>46</v>
      </c>
      <c r="H82" s="7" t="e">
        <f t="shared" si="2"/>
        <v>#N/A</v>
      </c>
      <c r="J82" s="1"/>
      <c r="K82" s="1"/>
      <c r="L82" s="1"/>
      <c r="M82" s="1"/>
      <c r="N82" s="1"/>
      <c r="O82" s="1"/>
      <c r="R82" s="73"/>
      <c r="S82" s="30"/>
      <c r="T82" s="41">
        <v>39</v>
      </c>
      <c r="U82" s="41">
        <v>2</v>
      </c>
      <c r="V82" s="41">
        <v>16</v>
      </c>
      <c r="W82" s="41">
        <v>6</v>
      </c>
      <c r="X82" s="41" t="s">
        <v>11</v>
      </c>
      <c r="Y82" s="55" t="s">
        <v>46</v>
      </c>
    </row>
    <row r="83" spans="2:25" x14ac:dyDescent="0.25">
      <c r="B83" s="41">
        <v>40</v>
      </c>
      <c r="C83" s="41">
        <v>31</v>
      </c>
      <c r="D83" s="41">
        <v>38</v>
      </c>
      <c r="E83" s="41">
        <v>7</v>
      </c>
      <c r="F83" s="41" t="s">
        <v>12</v>
      </c>
      <c r="G83" s="55" t="s">
        <v>46</v>
      </c>
      <c r="H83" s="7" t="e">
        <f t="shared" si="2"/>
        <v>#N/A</v>
      </c>
      <c r="J83" s="1"/>
      <c r="K83" s="1"/>
      <c r="L83" s="1"/>
      <c r="M83" s="1"/>
      <c r="N83" s="1"/>
      <c r="O83" s="1"/>
      <c r="R83" s="73"/>
      <c r="S83" s="30"/>
      <c r="T83" s="41">
        <v>40</v>
      </c>
      <c r="U83" s="41">
        <v>31</v>
      </c>
      <c r="V83" s="41">
        <v>38</v>
      </c>
      <c r="W83" s="41">
        <v>7</v>
      </c>
      <c r="X83" s="41" t="s">
        <v>12</v>
      </c>
      <c r="Y83" s="55" t="s">
        <v>46</v>
      </c>
    </row>
    <row r="84" spans="2:25" x14ac:dyDescent="0.25">
      <c r="B84" s="41">
        <v>41</v>
      </c>
      <c r="C84" s="41">
        <v>31</v>
      </c>
      <c r="D84" s="41">
        <v>35</v>
      </c>
      <c r="E84" s="41">
        <v>7</v>
      </c>
      <c r="F84" s="41" t="s">
        <v>12</v>
      </c>
      <c r="G84" s="55" t="s">
        <v>46</v>
      </c>
      <c r="H84" s="7" t="e">
        <f t="shared" si="2"/>
        <v>#N/A</v>
      </c>
      <c r="J84" s="1"/>
      <c r="K84" s="1"/>
      <c r="L84" s="1"/>
      <c r="M84" s="1"/>
      <c r="N84" s="1"/>
      <c r="O84" s="1"/>
      <c r="R84" s="73"/>
      <c r="S84" s="30"/>
      <c r="T84" s="41">
        <v>41</v>
      </c>
      <c r="U84" s="41">
        <v>31</v>
      </c>
      <c r="V84" s="41">
        <v>35</v>
      </c>
      <c r="W84" s="41">
        <v>7</v>
      </c>
      <c r="X84" s="41" t="s">
        <v>12</v>
      </c>
      <c r="Y84" s="55" t="s">
        <v>46</v>
      </c>
    </row>
    <row r="85" spans="2:25" x14ac:dyDescent="0.25">
      <c r="B85" s="41">
        <v>42</v>
      </c>
      <c r="C85" s="41">
        <v>31</v>
      </c>
      <c r="D85" s="41">
        <v>32</v>
      </c>
      <c r="E85" s="41">
        <v>7</v>
      </c>
      <c r="F85" s="41" t="s">
        <v>11</v>
      </c>
      <c r="G85" s="55" t="s">
        <v>46</v>
      </c>
      <c r="H85" s="7" t="e">
        <f t="shared" si="2"/>
        <v>#N/A</v>
      </c>
      <c r="J85" s="1"/>
      <c r="K85" s="1"/>
      <c r="N85" s="1"/>
      <c r="O85" s="1"/>
      <c r="R85" s="73"/>
      <c r="S85" s="30"/>
      <c r="T85" s="41">
        <v>42</v>
      </c>
      <c r="U85" s="41">
        <v>31</v>
      </c>
      <c r="V85" s="41">
        <v>32</v>
      </c>
      <c r="W85" s="41">
        <v>7</v>
      </c>
      <c r="X85" s="41" t="s">
        <v>11</v>
      </c>
      <c r="Y85" s="55" t="s">
        <v>46</v>
      </c>
    </row>
    <row r="86" spans="2:25" x14ac:dyDescent="0.25">
      <c r="B86" s="41">
        <v>43</v>
      </c>
      <c r="C86" s="41">
        <v>33</v>
      </c>
      <c r="D86" s="41">
        <v>36</v>
      </c>
      <c r="E86" s="41">
        <v>7</v>
      </c>
      <c r="F86" s="41" t="s">
        <v>11</v>
      </c>
      <c r="G86" s="55" t="s">
        <v>46</v>
      </c>
      <c r="H86" s="7" t="e">
        <f t="shared" si="2"/>
        <v>#N/A</v>
      </c>
      <c r="J86" s="1"/>
      <c r="K86" s="1"/>
      <c r="N86" s="1"/>
      <c r="O86" s="1"/>
      <c r="R86" s="73"/>
      <c r="S86" s="30"/>
      <c r="T86" s="41">
        <v>43</v>
      </c>
      <c r="U86" s="41">
        <v>33</v>
      </c>
      <c r="V86" s="41">
        <v>36</v>
      </c>
      <c r="W86" s="41">
        <v>7</v>
      </c>
      <c r="X86" s="41" t="s">
        <v>11</v>
      </c>
      <c r="Y86" s="55" t="s">
        <v>46</v>
      </c>
    </row>
    <row r="87" spans="2:25" x14ac:dyDescent="0.25">
      <c r="B87" s="41">
        <v>44</v>
      </c>
      <c r="C87" s="41">
        <v>24</v>
      </c>
      <c r="D87" s="41">
        <v>34</v>
      </c>
      <c r="E87" s="41">
        <v>7</v>
      </c>
      <c r="F87" s="41" t="s">
        <v>11</v>
      </c>
      <c r="G87" s="55" t="s">
        <v>46</v>
      </c>
      <c r="H87" s="7" t="e">
        <f t="shared" si="2"/>
        <v>#N/A</v>
      </c>
      <c r="J87" s="1"/>
      <c r="K87" s="1"/>
      <c r="N87" s="1"/>
      <c r="O87" s="1"/>
      <c r="R87" s="73"/>
      <c r="S87" s="30"/>
      <c r="T87" s="41">
        <v>44</v>
      </c>
      <c r="U87" s="41">
        <v>24</v>
      </c>
      <c r="V87" s="41">
        <v>34</v>
      </c>
      <c r="W87" s="41">
        <v>7</v>
      </c>
      <c r="X87" s="41" t="s">
        <v>11</v>
      </c>
      <c r="Y87" s="55" t="s">
        <v>46</v>
      </c>
    </row>
    <row r="88" spans="2:25" x14ac:dyDescent="0.25">
      <c r="B88" s="41">
        <v>45</v>
      </c>
      <c r="C88" s="41">
        <v>24</v>
      </c>
      <c r="D88" s="41">
        <v>37</v>
      </c>
      <c r="E88" s="41">
        <v>7</v>
      </c>
      <c r="F88" s="41" t="s">
        <v>11</v>
      </c>
      <c r="G88" s="55" t="s">
        <v>46</v>
      </c>
      <c r="H88" s="7" t="e">
        <f t="shared" si="2"/>
        <v>#N/A</v>
      </c>
      <c r="J88" s="1"/>
      <c r="K88" s="1"/>
      <c r="L88" s="1"/>
      <c r="M88" s="1"/>
      <c r="N88" s="1"/>
      <c r="O88" s="1"/>
      <c r="R88" s="73"/>
      <c r="S88" s="30"/>
      <c r="T88" s="41">
        <v>45</v>
      </c>
      <c r="U88" s="41">
        <v>24</v>
      </c>
      <c r="V88" s="41">
        <v>37</v>
      </c>
      <c r="W88" s="41">
        <v>7</v>
      </c>
      <c r="X88" s="41" t="s">
        <v>11</v>
      </c>
      <c r="Y88" s="55" t="s">
        <v>46</v>
      </c>
    </row>
    <row r="89" spans="2:25" x14ac:dyDescent="0.25">
      <c r="B89" s="41">
        <v>46</v>
      </c>
      <c r="C89" s="41">
        <v>24</v>
      </c>
      <c r="D89" s="41">
        <v>36</v>
      </c>
      <c r="E89" s="41">
        <v>8</v>
      </c>
      <c r="F89" s="41" t="s">
        <v>11</v>
      </c>
      <c r="G89" s="55" t="s">
        <v>46</v>
      </c>
      <c r="H89" s="7" t="e">
        <f t="shared" si="2"/>
        <v>#N/A</v>
      </c>
      <c r="J89" s="1"/>
      <c r="K89" s="1"/>
      <c r="L89" s="1"/>
      <c r="M89" s="1"/>
      <c r="N89" s="1"/>
      <c r="O89" s="1"/>
      <c r="R89" s="73"/>
      <c r="S89" s="30"/>
      <c r="T89" s="41">
        <v>46</v>
      </c>
      <c r="U89" s="41">
        <v>24</v>
      </c>
      <c r="V89" s="41">
        <v>36</v>
      </c>
      <c r="W89" s="41">
        <v>8</v>
      </c>
      <c r="X89" s="41" t="s">
        <v>11</v>
      </c>
      <c r="Y89" s="55" t="s">
        <v>46</v>
      </c>
    </row>
    <row r="90" spans="2:25" x14ac:dyDescent="0.25">
      <c r="B90" s="41">
        <v>47</v>
      </c>
      <c r="C90" s="41">
        <v>22</v>
      </c>
      <c r="D90" s="41">
        <v>23</v>
      </c>
      <c r="E90" s="41">
        <v>8</v>
      </c>
      <c r="F90" s="41" t="s">
        <v>11</v>
      </c>
      <c r="G90" s="55" t="s">
        <v>46</v>
      </c>
      <c r="H90" s="7" t="e">
        <f t="shared" si="2"/>
        <v>#N/A</v>
      </c>
      <c r="J90" s="1"/>
      <c r="K90" s="1"/>
      <c r="L90" s="1"/>
      <c r="M90" s="1"/>
      <c r="N90" s="1"/>
      <c r="O90" s="1"/>
      <c r="R90" s="73"/>
      <c r="S90" s="30"/>
      <c r="T90" s="41">
        <v>47</v>
      </c>
      <c r="U90" s="41">
        <v>22</v>
      </c>
      <c r="V90" s="41">
        <v>23</v>
      </c>
      <c r="W90" s="41">
        <v>8</v>
      </c>
      <c r="X90" s="41" t="s">
        <v>11</v>
      </c>
      <c r="Y90" s="55" t="s">
        <v>46</v>
      </c>
    </row>
    <row r="91" spans="2:25" x14ac:dyDescent="0.25">
      <c r="B91" s="41">
        <v>48</v>
      </c>
      <c r="C91" s="41">
        <v>19</v>
      </c>
      <c r="D91" s="41">
        <v>39</v>
      </c>
      <c r="E91" s="41">
        <v>8</v>
      </c>
      <c r="F91" s="41" t="s">
        <v>11</v>
      </c>
      <c r="G91" s="55" t="s">
        <v>40</v>
      </c>
      <c r="H91" s="7">
        <f t="shared" si="2"/>
        <v>11.1</v>
      </c>
      <c r="J91" s="1"/>
      <c r="K91" s="1"/>
      <c r="L91" s="1"/>
      <c r="M91" s="1"/>
      <c r="N91" s="1"/>
      <c r="O91" s="1"/>
      <c r="R91" s="73"/>
      <c r="S91" s="30"/>
      <c r="T91" s="41">
        <v>48</v>
      </c>
      <c r="U91" s="41">
        <v>19</v>
      </c>
      <c r="V91" s="41">
        <v>39</v>
      </c>
      <c r="W91" s="41">
        <v>8</v>
      </c>
      <c r="X91" s="41" t="s">
        <v>11</v>
      </c>
      <c r="Y91" s="55" t="s">
        <v>40</v>
      </c>
    </row>
    <row r="92" spans="2:25" x14ac:dyDescent="0.25">
      <c r="B92" s="41">
        <v>49</v>
      </c>
      <c r="C92" s="41">
        <v>40</v>
      </c>
      <c r="D92" s="41">
        <v>46</v>
      </c>
      <c r="E92" s="41">
        <v>8</v>
      </c>
      <c r="F92" s="41" t="s">
        <v>12</v>
      </c>
      <c r="G92" s="55" t="s">
        <v>40</v>
      </c>
      <c r="H92" s="7">
        <f t="shared" si="2"/>
        <v>13.5</v>
      </c>
      <c r="J92" s="1"/>
      <c r="K92" s="1"/>
      <c r="L92" s="1"/>
      <c r="M92" s="1"/>
      <c r="N92" s="1"/>
      <c r="O92" s="1"/>
      <c r="R92" s="73"/>
      <c r="S92" s="30"/>
      <c r="T92" s="41">
        <v>49</v>
      </c>
      <c r="U92" s="41">
        <v>40</v>
      </c>
      <c r="V92" s="41">
        <v>46</v>
      </c>
      <c r="W92" s="41">
        <v>8</v>
      </c>
      <c r="X92" s="41" t="s">
        <v>12</v>
      </c>
      <c r="Y92" s="55" t="s">
        <v>40</v>
      </c>
    </row>
    <row r="93" spans="2:25" x14ac:dyDescent="0.25">
      <c r="B93" s="41">
        <v>50</v>
      </c>
      <c r="C93" s="41">
        <v>41</v>
      </c>
      <c r="D93" s="41">
        <v>43</v>
      </c>
      <c r="E93" s="41">
        <v>8</v>
      </c>
      <c r="F93" s="41" t="s">
        <v>11</v>
      </c>
      <c r="G93" s="55" t="s">
        <v>41</v>
      </c>
      <c r="H93" s="7">
        <f t="shared" si="2"/>
        <v>11.4</v>
      </c>
      <c r="K93" s="1"/>
      <c r="L93" s="1"/>
      <c r="R93" s="73"/>
      <c r="S93" s="30"/>
      <c r="T93" s="80">
        <v>50</v>
      </c>
      <c r="U93" s="80">
        <v>41</v>
      </c>
      <c r="V93" s="80">
        <v>43</v>
      </c>
      <c r="W93" s="80">
        <v>8</v>
      </c>
      <c r="X93" s="80" t="s">
        <v>11</v>
      </c>
      <c r="Y93" s="55" t="s">
        <v>42</v>
      </c>
    </row>
    <row r="94" spans="2:25" x14ac:dyDescent="0.25">
      <c r="B94" s="41">
        <v>51</v>
      </c>
      <c r="C94" s="41">
        <v>40</v>
      </c>
      <c r="D94" s="41">
        <v>45</v>
      </c>
      <c r="E94" s="41">
        <v>8</v>
      </c>
      <c r="F94" s="41" t="s">
        <v>12</v>
      </c>
      <c r="G94" s="55" t="s">
        <v>40</v>
      </c>
      <c r="H94" s="7">
        <f t="shared" si="2"/>
        <v>12.7</v>
      </c>
      <c r="K94" s="1"/>
      <c r="L94" s="1"/>
      <c r="R94" s="73"/>
      <c r="S94" s="30"/>
      <c r="T94" s="41">
        <v>51</v>
      </c>
      <c r="U94" s="41">
        <v>40</v>
      </c>
      <c r="V94" s="41">
        <v>45</v>
      </c>
      <c r="W94" s="41">
        <v>8</v>
      </c>
      <c r="X94" s="41" t="s">
        <v>12</v>
      </c>
      <c r="Y94" s="55" t="s">
        <v>40</v>
      </c>
    </row>
    <row r="95" spans="2:25" x14ac:dyDescent="0.25">
      <c r="B95" s="41">
        <v>52</v>
      </c>
      <c r="C95" s="41">
        <v>41</v>
      </c>
      <c r="D95" s="41">
        <v>42</v>
      </c>
      <c r="E95" s="41">
        <v>8</v>
      </c>
      <c r="F95" s="41" t="s">
        <v>11</v>
      </c>
      <c r="G95" s="55" t="s">
        <v>46</v>
      </c>
      <c r="H95" s="7" t="e">
        <f t="shared" si="2"/>
        <v>#N/A</v>
      </c>
      <c r="K95" s="1"/>
      <c r="L95" s="1"/>
      <c r="R95" s="73"/>
      <c r="S95" s="30"/>
      <c r="T95" s="41">
        <v>52</v>
      </c>
      <c r="U95" s="41">
        <v>41</v>
      </c>
      <c r="V95" s="41">
        <v>42</v>
      </c>
      <c r="W95" s="41">
        <v>8</v>
      </c>
      <c r="X95" s="41" t="s">
        <v>11</v>
      </c>
      <c r="Y95" s="55" t="s">
        <v>46</v>
      </c>
    </row>
    <row r="96" spans="2:25" x14ac:dyDescent="0.25">
      <c r="B96" s="41">
        <v>53</v>
      </c>
      <c r="C96" s="41">
        <v>31</v>
      </c>
      <c r="D96" s="41">
        <v>44</v>
      </c>
      <c r="E96" s="41">
        <v>8</v>
      </c>
      <c r="F96" s="41" t="s">
        <v>11</v>
      </c>
      <c r="G96" s="55" t="s">
        <v>46</v>
      </c>
      <c r="H96" s="7" t="e">
        <f t="shared" si="2"/>
        <v>#N/A</v>
      </c>
      <c r="K96" s="1"/>
      <c r="L96" s="1"/>
      <c r="R96" s="73"/>
      <c r="S96" s="30"/>
      <c r="T96" s="41">
        <v>53</v>
      </c>
      <c r="U96" s="41">
        <v>31</v>
      </c>
      <c r="V96" s="41">
        <v>44</v>
      </c>
      <c r="W96" s="41">
        <v>8</v>
      </c>
      <c r="X96" s="41" t="s">
        <v>11</v>
      </c>
      <c r="Y96" s="55" t="s">
        <v>46</v>
      </c>
    </row>
    <row r="97" spans="1:25" x14ac:dyDescent="0.25">
      <c r="B97" s="41">
        <v>54</v>
      </c>
      <c r="C97" s="41">
        <v>31</v>
      </c>
      <c r="D97" s="41">
        <v>47</v>
      </c>
      <c r="E97" s="41">
        <v>9</v>
      </c>
      <c r="F97" s="41" t="s">
        <v>11</v>
      </c>
      <c r="G97" s="55" t="s">
        <v>40</v>
      </c>
      <c r="H97" s="7">
        <f t="shared" si="2"/>
        <v>11.6</v>
      </c>
      <c r="K97" s="1"/>
      <c r="L97" s="1"/>
      <c r="R97" s="73"/>
      <c r="S97" s="30"/>
      <c r="T97" s="80">
        <v>54</v>
      </c>
      <c r="U97" s="80">
        <v>31</v>
      </c>
      <c r="V97" s="80">
        <v>47</v>
      </c>
      <c r="W97" s="80">
        <v>9</v>
      </c>
      <c r="X97" s="80" t="s">
        <v>11</v>
      </c>
      <c r="Y97" s="55" t="s">
        <v>40</v>
      </c>
    </row>
    <row r="98" spans="1:25" x14ac:dyDescent="0.25">
      <c r="B98" s="41">
        <v>55</v>
      </c>
      <c r="C98" s="41">
        <v>33</v>
      </c>
      <c r="D98" s="41">
        <v>48</v>
      </c>
      <c r="E98" s="41">
        <v>9</v>
      </c>
      <c r="F98" s="41" t="s">
        <v>12</v>
      </c>
      <c r="G98" s="55" t="s">
        <v>41</v>
      </c>
      <c r="H98" s="7">
        <f t="shared" si="2"/>
        <v>11.6</v>
      </c>
      <c r="K98" s="1"/>
      <c r="L98" s="1"/>
      <c r="R98" s="73"/>
      <c r="S98" s="30"/>
      <c r="T98" s="80">
        <v>55</v>
      </c>
      <c r="U98" s="80">
        <v>33</v>
      </c>
      <c r="V98" s="80">
        <v>48</v>
      </c>
      <c r="W98" s="80">
        <v>9</v>
      </c>
      <c r="X98" s="80" t="s">
        <v>12</v>
      </c>
      <c r="Y98" s="55" t="s">
        <v>42</v>
      </c>
    </row>
    <row r="99" spans="1:25" x14ac:dyDescent="0.25">
      <c r="B99" s="41">
        <v>56</v>
      </c>
      <c r="C99" s="41">
        <v>49</v>
      </c>
      <c r="D99" s="41">
        <v>51</v>
      </c>
      <c r="E99" s="41">
        <v>9</v>
      </c>
      <c r="F99" s="41" t="s">
        <v>11</v>
      </c>
      <c r="G99" s="55" t="s">
        <v>41</v>
      </c>
      <c r="H99" s="7">
        <f t="shared" si="2"/>
        <v>12</v>
      </c>
      <c r="K99" s="1"/>
      <c r="L99" s="1"/>
      <c r="R99" s="73"/>
      <c r="S99" s="30"/>
      <c r="T99" s="80">
        <v>56</v>
      </c>
      <c r="U99" s="80">
        <v>49</v>
      </c>
      <c r="V99" s="80">
        <v>51</v>
      </c>
      <c r="W99" s="80">
        <v>9</v>
      </c>
      <c r="X99" s="80" t="s">
        <v>11</v>
      </c>
      <c r="Y99" s="55" t="s">
        <v>42</v>
      </c>
    </row>
    <row r="100" spans="1:25" x14ac:dyDescent="0.25">
      <c r="B100" s="41">
        <v>57</v>
      </c>
      <c r="C100" s="41">
        <v>49</v>
      </c>
      <c r="D100" s="41">
        <v>52</v>
      </c>
      <c r="E100" s="41">
        <v>9</v>
      </c>
      <c r="F100" s="41" t="s">
        <v>12</v>
      </c>
      <c r="G100" s="55" t="s">
        <v>41</v>
      </c>
      <c r="H100" s="7">
        <f t="shared" si="2"/>
        <v>12.7</v>
      </c>
      <c r="K100" s="1"/>
      <c r="L100" s="1"/>
      <c r="R100" s="73"/>
      <c r="S100" s="30"/>
      <c r="T100" s="80">
        <v>57</v>
      </c>
      <c r="U100" s="80">
        <v>49</v>
      </c>
      <c r="V100" s="80">
        <v>52</v>
      </c>
      <c r="W100" s="80">
        <v>9</v>
      </c>
      <c r="X100" s="80" t="s">
        <v>12</v>
      </c>
      <c r="Y100" s="55" t="s">
        <v>42</v>
      </c>
    </row>
    <row r="101" spans="1:25" x14ac:dyDescent="0.25">
      <c r="B101" s="41">
        <v>58</v>
      </c>
      <c r="C101" s="37">
        <v>49</v>
      </c>
      <c r="D101" s="37">
        <v>53</v>
      </c>
      <c r="E101" s="41">
        <v>10</v>
      </c>
      <c r="F101" s="41" t="s">
        <v>11</v>
      </c>
      <c r="G101" s="55" t="s">
        <v>41</v>
      </c>
      <c r="H101" s="7">
        <f t="shared" si="2"/>
        <v>12.1</v>
      </c>
      <c r="K101" s="1"/>
      <c r="L101" s="1"/>
      <c r="R101" s="73"/>
      <c r="S101" s="30"/>
      <c r="T101" s="80">
        <v>58</v>
      </c>
      <c r="U101" s="80">
        <v>49</v>
      </c>
      <c r="V101" s="80">
        <v>53</v>
      </c>
      <c r="W101" s="80">
        <v>10</v>
      </c>
      <c r="X101" s="80" t="s">
        <v>11</v>
      </c>
      <c r="Y101" s="55" t="s">
        <v>42</v>
      </c>
    </row>
    <row r="102" spans="1:25" x14ac:dyDescent="0.25">
      <c r="B102" s="41">
        <v>59</v>
      </c>
      <c r="C102" s="37">
        <v>31</v>
      </c>
      <c r="D102" s="37">
        <v>54</v>
      </c>
      <c r="E102" s="41">
        <v>10</v>
      </c>
      <c r="F102" s="41" t="s">
        <v>11</v>
      </c>
      <c r="G102" s="55" t="s">
        <v>41</v>
      </c>
      <c r="H102" s="7">
        <f t="shared" si="2"/>
        <v>12.9</v>
      </c>
      <c r="K102" s="1"/>
      <c r="L102" s="1"/>
      <c r="R102" s="73"/>
      <c r="S102" s="30"/>
      <c r="T102" s="80">
        <v>59</v>
      </c>
      <c r="U102" s="80">
        <v>31</v>
      </c>
      <c r="V102" s="80">
        <v>54</v>
      </c>
      <c r="W102" s="80">
        <v>10</v>
      </c>
      <c r="X102" s="80" t="s">
        <v>11</v>
      </c>
      <c r="Y102" s="55" t="s">
        <v>42</v>
      </c>
    </row>
    <row r="103" spans="1:25" x14ac:dyDescent="0.25">
      <c r="B103" s="41">
        <v>60</v>
      </c>
      <c r="C103" s="41">
        <v>49</v>
      </c>
      <c r="D103" s="41">
        <v>48</v>
      </c>
      <c r="E103" s="41">
        <v>10</v>
      </c>
      <c r="F103" s="41" t="s">
        <v>12</v>
      </c>
      <c r="G103" s="55" t="s">
        <v>41</v>
      </c>
      <c r="H103" s="7">
        <f t="shared" si="2"/>
        <v>12.2</v>
      </c>
      <c r="K103" s="1"/>
      <c r="L103" s="1"/>
      <c r="R103" s="73"/>
      <c r="S103" s="30"/>
      <c r="T103" s="80">
        <v>60</v>
      </c>
      <c r="U103" s="80">
        <v>49</v>
      </c>
      <c r="V103" s="80">
        <v>48</v>
      </c>
      <c r="W103" s="80">
        <v>10</v>
      </c>
      <c r="X103" s="80" t="s">
        <v>12</v>
      </c>
      <c r="Y103" s="55" t="s">
        <v>42</v>
      </c>
    </row>
    <row r="104" spans="1:25" x14ac:dyDescent="0.25">
      <c r="B104" s="41">
        <v>61</v>
      </c>
      <c r="C104" s="41">
        <v>31</v>
      </c>
      <c r="D104" s="41">
        <v>53</v>
      </c>
      <c r="E104" s="41">
        <v>10</v>
      </c>
      <c r="F104" s="41" t="s">
        <v>12</v>
      </c>
      <c r="G104" s="55" t="s">
        <v>41</v>
      </c>
      <c r="H104" s="7">
        <f t="shared" si="2"/>
        <v>13</v>
      </c>
      <c r="K104" s="1"/>
      <c r="L104" s="1"/>
      <c r="R104" s="73"/>
      <c r="S104" s="30"/>
      <c r="T104" s="80">
        <v>61</v>
      </c>
      <c r="U104" s="80">
        <v>31</v>
      </c>
      <c r="V104" s="80">
        <v>53</v>
      </c>
      <c r="W104" s="80">
        <v>10</v>
      </c>
      <c r="X104" s="80" t="s">
        <v>12</v>
      </c>
      <c r="Y104" s="55" t="s">
        <v>42</v>
      </c>
    </row>
    <row r="105" spans="1:25" x14ac:dyDescent="0.25">
      <c r="A105" s="5"/>
      <c r="B105" s="41">
        <v>62</v>
      </c>
      <c r="C105" s="37">
        <v>49</v>
      </c>
      <c r="D105" s="37">
        <v>53</v>
      </c>
      <c r="E105" s="41">
        <v>10</v>
      </c>
      <c r="F105" s="41" t="s">
        <v>11</v>
      </c>
      <c r="G105" s="55" t="s">
        <v>45</v>
      </c>
      <c r="H105" s="7" t="e">
        <f t="shared" si="2"/>
        <v>#N/A</v>
      </c>
      <c r="J105" s="1"/>
      <c r="K105" s="1"/>
      <c r="L105" s="1"/>
      <c r="M105" s="1"/>
      <c r="R105" s="73"/>
      <c r="S105" s="30"/>
    </row>
    <row r="106" spans="1:25" ht="14.25" customHeight="1" x14ac:dyDescent="0.25">
      <c r="A106" s="5"/>
      <c r="B106" s="41">
        <v>63</v>
      </c>
      <c r="C106" s="37">
        <v>31</v>
      </c>
      <c r="D106" s="37">
        <v>54</v>
      </c>
      <c r="E106" s="41">
        <v>10</v>
      </c>
      <c r="F106" s="41" t="s">
        <v>11</v>
      </c>
      <c r="G106" s="55" t="s">
        <v>45</v>
      </c>
      <c r="H106" s="7" t="e">
        <f t="shared" si="2"/>
        <v>#N/A</v>
      </c>
      <c r="J106" s="1"/>
      <c r="K106" s="1"/>
      <c r="L106" s="1"/>
      <c r="M106" s="1"/>
      <c r="R106" s="73"/>
    </row>
    <row r="107" spans="1:25" x14ac:dyDescent="0.25">
      <c r="A107" s="5"/>
      <c r="B107" s="41">
        <v>64</v>
      </c>
      <c r="C107" s="41">
        <v>49</v>
      </c>
      <c r="D107" s="41">
        <v>48</v>
      </c>
      <c r="E107" s="41">
        <v>10</v>
      </c>
      <c r="F107" s="41" t="s">
        <v>12</v>
      </c>
      <c r="G107" s="55" t="s">
        <v>45</v>
      </c>
      <c r="H107" s="7" t="e">
        <f t="shared" si="2"/>
        <v>#N/A</v>
      </c>
      <c r="I107" s="1"/>
      <c r="J107" s="1"/>
      <c r="K107" s="1"/>
      <c r="L107" s="1"/>
      <c r="M107" s="1"/>
      <c r="R107" s="73"/>
    </row>
    <row r="108" spans="1:25" x14ac:dyDescent="0.25">
      <c r="A108" s="5"/>
      <c r="B108" s="41">
        <v>65</v>
      </c>
      <c r="C108" s="41">
        <v>31</v>
      </c>
      <c r="D108" s="41">
        <v>53</v>
      </c>
      <c r="E108" s="41">
        <v>10</v>
      </c>
      <c r="F108" s="41" t="s">
        <v>12</v>
      </c>
      <c r="G108" s="55" t="s">
        <v>45</v>
      </c>
      <c r="H108" s="7" t="e">
        <f t="shared" si="2"/>
        <v>#N/A</v>
      </c>
      <c r="J108" s="1"/>
      <c r="K108" s="1"/>
      <c r="L108" s="1"/>
      <c r="M108" s="1"/>
      <c r="R108" s="76"/>
    </row>
    <row r="109" spans="1:25" s="5" customFormat="1" x14ac:dyDescent="0.25">
      <c r="C109"/>
      <c r="D109"/>
      <c r="R109" s="76"/>
      <c r="S109" s="31" t="s">
        <v>28</v>
      </c>
    </row>
    <row r="110" spans="1:25" x14ac:dyDescent="0.25">
      <c r="R110" s="73"/>
      <c r="S110" s="30"/>
      <c r="T110" s="23" t="s">
        <v>29</v>
      </c>
      <c r="U110" s="23" t="s">
        <v>13</v>
      </c>
      <c r="V110" s="23" t="s">
        <v>14</v>
      </c>
      <c r="W110" s="84" t="s">
        <v>20</v>
      </c>
    </row>
    <row r="111" spans="1:25" x14ac:dyDescent="0.25">
      <c r="R111" s="73"/>
      <c r="S111" s="30"/>
      <c r="T111" s="37" t="str">
        <f>U111&amp;"_"&amp;V111</f>
        <v>31_47</v>
      </c>
      <c r="U111" s="37">
        <v>31</v>
      </c>
      <c r="V111" s="37">
        <v>47</v>
      </c>
      <c r="W111" s="37">
        <v>9</v>
      </c>
    </row>
    <row r="112" spans="1:25" x14ac:dyDescent="0.25">
      <c r="R112" s="73"/>
      <c r="S112" s="30"/>
      <c r="T112" s="37" t="str">
        <f t="shared" ref="T112:T118" si="3">U112&amp;"_"&amp;V112</f>
        <v>33_48</v>
      </c>
      <c r="U112" s="37">
        <v>33</v>
      </c>
      <c r="V112" s="37">
        <v>48</v>
      </c>
      <c r="W112" s="37">
        <v>9</v>
      </c>
    </row>
    <row r="113" spans="1:30" x14ac:dyDescent="0.25">
      <c r="R113" s="73"/>
      <c r="S113" s="30"/>
      <c r="T113" s="37" t="str">
        <f t="shared" si="3"/>
        <v>49_51</v>
      </c>
      <c r="U113" s="37">
        <v>49</v>
      </c>
      <c r="V113" s="37">
        <v>51</v>
      </c>
      <c r="W113" s="37">
        <v>9</v>
      </c>
    </row>
    <row r="114" spans="1:30" x14ac:dyDescent="0.25">
      <c r="R114" s="73"/>
      <c r="S114" s="30"/>
      <c r="T114" s="37" t="str">
        <f t="shared" si="3"/>
        <v>49_52</v>
      </c>
      <c r="U114" s="37">
        <v>49</v>
      </c>
      <c r="V114" s="37">
        <v>52</v>
      </c>
      <c r="W114" s="37">
        <v>9</v>
      </c>
    </row>
    <row r="115" spans="1:30" x14ac:dyDescent="0.25">
      <c r="R115" s="73"/>
      <c r="S115" s="30"/>
      <c r="T115" s="37" t="str">
        <f t="shared" si="3"/>
        <v>49_53</v>
      </c>
      <c r="U115" s="37">
        <v>49</v>
      </c>
      <c r="V115" s="37">
        <v>53</v>
      </c>
      <c r="W115" s="37">
        <v>10</v>
      </c>
    </row>
    <row r="116" spans="1:30" x14ac:dyDescent="0.25">
      <c r="R116" s="73"/>
      <c r="S116" s="30"/>
      <c r="T116" s="37" t="str">
        <f t="shared" si="3"/>
        <v>31_54</v>
      </c>
      <c r="U116" s="37">
        <v>31</v>
      </c>
      <c r="V116" s="37">
        <v>54</v>
      </c>
      <c r="W116" s="37">
        <v>10</v>
      </c>
    </row>
    <row r="117" spans="1:30" x14ac:dyDescent="0.25">
      <c r="R117" s="73"/>
      <c r="S117" s="30"/>
      <c r="T117" s="37" t="str">
        <f t="shared" si="3"/>
        <v>49_48</v>
      </c>
      <c r="U117" s="37">
        <v>49</v>
      </c>
      <c r="V117" s="37">
        <v>48</v>
      </c>
      <c r="W117" s="37">
        <v>10</v>
      </c>
    </row>
    <row r="118" spans="1:30" x14ac:dyDescent="0.25">
      <c r="R118" s="73"/>
      <c r="S118" s="30"/>
      <c r="T118" s="37" t="str">
        <f t="shared" si="3"/>
        <v>31_53</v>
      </c>
      <c r="U118" s="37">
        <v>31</v>
      </c>
      <c r="V118" s="37">
        <v>53</v>
      </c>
      <c r="W118" s="37">
        <v>10</v>
      </c>
    </row>
    <row r="119" spans="1:30" x14ac:dyDescent="0.25">
      <c r="R119" s="73"/>
      <c r="S119" s="30"/>
    </row>
    <row r="120" spans="1:30" s="28" customFormat="1" ht="18" x14ac:dyDescent="0.35">
      <c r="A120" s="58" t="s">
        <v>32</v>
      </c>
      <c r="R120" s="72"/>
    </row>
    <row r="121" spans="1:30" s="1" customFormat="1" x14ac:dyDescent="0.25">
      <c r="R121" s="76"/>
    </row>
    <row r="122" spans="1:30" ht="18" x14ac:dyDescent="0.35">
      <c r="B122" s="1"/>
      <c r="C122" s="1"/>
      <c r="D122" s="1"/>
      <c r="R122" s="73"/>
      <c r="S122" s="1" t="s">
        <v>38</v>
      </c>
    </row>
    <row r="123" spans="1:30" x14ac:dyDescent="0.25">
      <c r="C123" s="1"/>
      <c r="D123" s="1" t="s">
        <v>4</v>
      </c>
      <c r="E123" s="1" t="str">
        <f t="array" ref="E123:P123">TRANSPOSE(B126:B137)</f>
        <v>female</v>
      </c>
      <c r="F123" s="1" t="str">
        <v>male</v>
      </c>
      <c r="G123" s="1" t="str">
        <v>female</v>
      </c>
      <c r="H123" s="1" t="str">
        <v>male</v>
      </c>
      <c r="I123" s="1" t="str">
        <v>female</v>
      </c>
      <c r="J123" s="1" t="str">
        <v>female</v>
      </c>
      <c r="K123" s="1" t="str">
        <v>male</v>
      </c>
      <c r="L123" s="1" t="str">
        <v>male</v>
      </c>
      <c r="M123" s="1" t="str">
        <v>female</v>
      </c>
      <c r="N123" s="1" t="str">
        <v>female</v>
      </c>
      <c r="O123" s="1" t="str">
        <v>male</v>
      </c>
      <c r="P123" s="1" t="str">
        <v>male</v>
      </c>
      <c r="R123" s="73"/>
      <c r="S123" s="4"/>
      <c r="V123" s="1" t="s">
        <v>60</v>
      </c>
      <c r="W123" s="24">
        <f t="array" ref="W123:AD123">TRANSPOSE(U125:U132)</f>
        <v>2</v>
      </c>
      <c r="X123" s="24">
        <v>2</v>
      </c>
      <c r="Y123" s="24">
        <v>2</v>
      </c>
      <c r="Z123" s="24">
        <v>2</v>
      </c>
      <c r="AA123" s="24">
        <v>1</v>
      </c>
      <c r="AB123" s="24">
        <v>1</v>
      </c>
      <c r="AC123" s="24">
        <v>1</v>
      </c>
      <c r="AD123" s="24">
        <v>1</v>
      </c>
    </row>
    <row r="124" spans="1:30" x14ac:dyDescent="0.25">
      <c r="C124" s="1"/>
      <c r="D124" s="1" t="s">
        <v>60</v>
      </c>
      <c r="E124" s="1">
        <f t="array" ref="E124:P124">TRANSPOSE(C126:C137)</f>
        <v>2</v>
      </c>
      <c r="F124" s="1">
        <v>2</v>
      </c>
      <c r="G124" s="1">
        <v>2</v>
      </c>
      <c r="H124" s="1">
        <v>2</v>
      </c>
      <c r="I124" s="1">
        <v>1</v>
      </c>
      <c r="J124" s="1">
        <v>1</v>
      </c>
      <c r="K124" s="1">
        <v>1</v>
      </c>
      <c r="L124" s="1">
        <v>1</v>
      </c>
      <c r="M124" s="1">
        <v>1</v>
      </c>
      <c r="N124" s="1">
        <v>1</v>
      </c>
      <c r="O124" s="1">
        <v>1</v>
      </c>
      <c r="P124" s="1">
        <v>1</v>
      </c>
      <c r="R124" s="73"/>
      <c r="S124" s="4"/>
      <c r="U124" s="1" t="s">
        <v>60</v>
      </c>
      <c r="V124" s="1" t="s">
        <v>29</v>
      </c>
      <c r="W124" s="67" t="str">
        <f t="array" ref="W124:AD124">TRANSPOSE(V125:V132)</f>
        <v>31_47</v>
      </c>
      <c r="X124" s="67" t="str">
        <v>33_48</v>
      </c>
      <c r="Y124" s="67" t="str">
        <v>49_51</v>
      </c>
      <c r="Z124" s="67" t="str">
        <v>49_52</v>
      </c>
      <c r="AA124" s="67" t="str">
        <v>49_53</v>
      </c>
      <c r="AB124" s="67" t="str">
        <v>31_54</v>
      </c>
      <c r="AC124" s="67" t="str">
        <v>49_48</v>
      </c>
      <c r="AD124" s="67" t="str">
        <v>31_53</v>
      </c>
    </row>
    <row r="125" spans="1:30" x14ac:dyDescent="0.25">
      <c r="B125" s="1" t="s">
        <v>4</v>
      </c>
      <c r="C125" s="1" t="s">
        <v>60</v>
      </c>
      <c r="D125" s="1" t="s">
        <v>10</v>
      </c>
      <c r="E125" s="1">
        <v>54</v>
      </c>
      <c r="F125" s="1">
        <v>55</v>
      </c>
      <c r="G125" s="1">
        <v>56</v>
      </c>
      <c r="H125" s="1">
        <v>57</v>
      </c>
      <c r="I125" s="1">
        <v>58</v>
      </c>
      <c r="J125" s="1">
        <v>59</v>
      </c>
      <c r="K125" s="1">
        <v>60</v>
      </c>
      <c r="L125" s="1">
        <v>61</v>
      </c>
      <c r="M125" s="1">
        <v>62</v>
      </c>
      <c r="N125" s="1">
        <v>63</v>
      </c>
      <c r="O125" s="1">
        <v>64</v>
      </c>
      <c r="P125" s="1">
        <v>65</v>
      </c>
      <c r="R125" s="73"/>
      <c r="S125" s="4"/>
      <c r="U125" s="24">
        <f t="shared" ref="U125:U132" si="4">MAX(W$111:W$118) - W111 + 1</f>
        <v>2</v>
      </c>
      <c r="V125" s="1" t="str">
        <f t="shared" ref="V125:V132" si="5">T111</f>
        <v>31_47</v>
      </c>
      <c r="W125" s="45">
        <v>0.53125</v>
      </c>
      <c r="X125" s="46">
        <v>0.13671875</v>
      </c>
      <c r="Y125" s="46">
        <v>0.2734375</v>
      </c>
      <c r="Z125" s="47">
        <v>0.30859379999999997</v>
      </c>
      <c r="AA125" s="45">
        <v>0.33105469999999998</v>
      </c>
      <c r="AB125" s="46">
        <v>0.5390625</v>
      </c>
      <c r="AC125" s="46">
        <v>0.18652340000000001</v>
      </c>
      <c r="AD125" s="47">
        <v>0.46484375</v>
      </c>
    </row>
    <row r="126" spans="1:30" x14ac:dyDescent="0.25">
      <c r="B126" s="1" t="str">
        <f>F97</f>
        <v>female</v>
      </c>
      <c r="C126" s="1">
        <f>MAX(E$44:E$108) - E97 + 1</f>
        <v>2</v>
      </c>
      <c r="D126" s="1">
        <v>54</v>
      </c>
      <c r="E126" s="45">
        <v>1.015625</v>
      </c>
      <c r="F126" s="46">
        <v>0.13671875</v>
      </c>
      <c r="G126" s="46">
        <v>0.2734375</v>
      </c>
      <c r="H126" s="47">
        <v>0.30859370000000003</v>
      </c>
      <c r="I126" s="46">
        <v>0.33105469999999998</v>
      </c>
      <c r="J126" s="46">
        <v>0.78125</v>
      </c>
      <c r="K126" s="46">
        <v>0.18652340000000001</v>
      </c>
      <c r="L126" s="46">
        <v>0.46484375</v>
      </c>
      <c r="M126" s="46">
        <v>0.33105469999999998</v>
      </c>
      <c r="N126" s="46">
        <v>0.78125</v>
      </c>
      <c r="O126" s="46">
        <v>0.18652340000000001</v>
      </c>
      <c r="P126" s="47">
        <v>0.46484375</v>
      </c>
      <c r="R126" s="73"/>
      <c r="S126" s="4"/>
      <c r="U126" s="24">
        <f t="shared" si="4"/>
        <v>2</v>
      </c>
      <c r="V126" s="1" t="str">
        <f t="shared" si="5"/>
        <v>33_48</v>
      </c>
      <c r="W126" s="48">
        <v>0.1367188</v>
      </c>
      <c r="X126" s="49">
        <v>0.53125</v>
      </c>
      <c r="Y126" s="49">
        <v>0.1328125</v>
      </c>
      <c r="Z126" s="50">
        <v>0.11035159999999999</v>
      </c>
      <c r="AA126" s="48">
        <v>0.1054688</v>
      </c>
      <c r="AB126" s="49">
        <v>0.1113281</v>
      </c>
      <c r="AC126" s="49">
        <v>0.33007809999999999</v>
      </c>
      <c r="AD126" s="50">
        <v>8.3984379999999997E-2</v>
      </c>
    </row>
    <row r="127" spans="1:30" x14ac:dyDescent="0.25">
      <c r="B127" s="1" t="str">
        <f t="shared" ref="B127:B137" si="6">F98</f>
        <v>male</v>
      </c>
      <c r="C127" s="1">
        <f t="shared" ref="C127:C137" si="7">MAX(E$44:E$108) - E98 + 1</f>
        <v>2</v>
      </c>
      <c r="D127" s="1">
        <v>55</v>
      </c>
      <c r="E127" s="48">
        <v>0.1367188</v>
      </c>
      <c r="F127" s="49">
        <v>1.03125</v>
      </c>
      <c r="G127" s="49">
        <v>0.1328125</v>
      </c>
      <c r="H127" s="50">
        <v>0.11035159999999999</v>
      </c>
      <c r="I127" s="49">
        <v>0.1054688</v>
      </c>
      <c r="J127" s="49">
        <v>0.1113281</v>
      </c>
      <c r="K127" s="49">
        <v>0.33007809999999999</v>
      </c>
      <c r="L127" s="49">
        <v>8.3984379999999997E-2</v>
      </c>
      <c r="M127" s="49">
        <v>0.1054688</v>
      </c>
      <c r="N127" s="49">
        <v>0.1113281</v>
      </c>
      <c r="O127" s="49">
        <v>0.33007809999999999</v>
      </c>
      <c r="P127" s="50">
        <v>8.3984379999999997E-2</v>
      </c>
      <c r="R127" s="73"/>
      <c r="S127" s="4"/>
      <c r="U127" s="24">
        <f t="shared" si="4"/>
        <v>2</v>
      </c>
      <c r="V127" s="1" t="str">
        <f t="shared" si="5"/>
        <v>49_51</v>
      </c>
      <c r="W127" s="48">
        <v>0.2734375</v>
      </c>
      <c r="X127" s="49">
        <v>0.1328125</v>
      </c>
      <c r="Y127" s="49">
        <v>0.79589840000000001</v>
      </c>
      <c r="Z127" s="50">
        <v>0.54443359999999996</v>
      </c>
      <c r="AA127" s="48">
        <v>0.57470699999999997</v>
      </c>
      <c r="AB127" s="49">
        <v>0.35546879999999997</v>
      </c>
      <c r="AC127" s="49">
        <v>0.48095700000000002</v>
      </c>
      <c r="AD127" s="50">
        <v>0.3984375</v>
      </c>
    </row>
    <row r="128" spans="1:30" x14ac:dyDescent="0.25">
      <c r="B128" s="1" t="str">
        <f t="shared" si="6"/>
        <v>female</v>
      </c>
      <c r="C128" s="1">
        <f t="shared" si="7"/>
        <v>2</v>
      </c>
      <c r="D128" s="1">
        <v>56</v>
      </c>
      <c r="E128" s="48">
        <v>0.2734375</v>
      </c>
      <c r="F128" s="49">
        <v>0.1328125</v>
      </c>
      <c r="G128" s="49">
        <v>1.2333984</v>
      </c>
      <c r="H128" s="50">
        <v>0.54443359999999996</v>
      </c>
      <c r="I128" s="49">
        <v>0.57470699999999997</v>
      </c>
      <c r="J128" s="49">
        <v>0.35546870000000003</v>
      </c>
      <c r="K128" s="49">
        <v>0.48095700000000002</v>
      </c>
      <c r="L128" s="49">
        <v>0.3984375</v>
      </c>
      <c r="M128" s="49">
        <v>0.57470699999999997</v>
      </c>
      <c r="N128" s="49">
        <v>0.35546870000000003</v>
      </c>
      <c r="O128" s="49">
        <v>0.48095700000000002</v>
      </c>
      <c r="P128" s="50">
        <v>0.3984375</v>
      </c>
      <c r="R128" s="73"/>
      <c r="S128" s="4"/>
      <c r="U128" s="24">
        <f t="shared" si="4"/>
        <v>2</v>
      </c>
      <c r="V128" s="1" t="str">
        <f t="shared" si="5"/>
        <v>49_52</v>
      </c>
      <c r="W128" s="51">
        <v>0.30859379999999997</v>
      </c>
      <c r="X128" s="52">
        <v>0.11035156</v>
      </c>
      <c r="Y128" s="52">
        <v>0.54443359999999996</v>
      </c>
      <c r="Z128" s="53">
        <v>0.71875</v>
      </c>
      <c r="AA128" s="51">
        <v>0.54858399999999996</v>
      </c>
      <c r="AB128" s="52">
        <v>0.41015620000000003</v>
      </c>
      <c r="AC128" s="52">
        <v>0.41186519999999999</v>
      </c>
      <c r="AD128" s="53">
        <v>0.45117188000000003</v>
      </c>
    </row>
    <row r="129" spans="1:30" x14ac:dyDescent="0.25">
      <c r="B129" s="1" t="str">
        <f t="shared" si="6"/>
        <v>male</v>
      </c>
      <c r="C129" s="1">
        <f t="shared" si="7"/>
        <v>2</v>
      </c>
      <c r="D129" s="1">
        <v>57</v>
      </c>
      <c r="E129" s="51">
        <v>0.30859370000000003</v>
      </c>
      <c r="F129" s="52">
        <v>0.11035156</v>
      </c>
      <c r="G129" s="52">
        <v>0.54443359999999996</v>
      </c>
      <c r="H129" s="53">
        <v>1.1499022999999999</v>
      </c>
      <c r="I129" s="52">
        <v>0.54858399999999996</v>
      </c>
      <c r="J129" s="52">
        <v>0.41015620000000003</v>
      </c>
      <c r="K129" s="52">
        <v>0.41186519999999999</v>
      </c>
      <c r="L129" s="52">
        <v>0.45117186999999997</v>
      </c>
      <c r="M129" s="52">
        <v>0.54858399999999996</v>
      </c>
      <c r="N129" s="52">
        <v>0.41015620000000003</v>
      </c>
      <c r="O129" s="52">
        <v>0.41186519999999999</v>
      </c>
      <c r="P129" s="53">
        <v>0.45117186999999997</v>
      </c>
      <c r="R129" s="73"/>
      <c r="S129" s="4"/>
      <c r="U129" s="24">
        <f t="shared" si="4"/>
        <v>1</v>
      </c>
      <c r="V129" s="1" t="str">
        <f t="shared" si="5"/>
        <v>49_53</v>
      </c>
      <c r="W129" s="48">
        <v>0.33105469999999998</v>
      </c>
      <c r="X129" s="49">
        <v>0.10546875</v>
      </c>
      <c r="Y129" s="49">
        <v>0.57470699999999997</v>
      </c>
      <c r="Z129" s="50">
        <v>0.54858399999999996</v>
      </c>
      <c r="AA129" s="49">
        <v>0.75292970000000004</v>
      </c>
      <c r="AB129" s="49">
        <v>0.4536133</v>
      </c>
      <c r="AC129" s="49">
        <v>0.421875</v>
      </c>
      <c r="AD129" s="50">
        <v>0.67382812000000003</v>
      </c>
    </row>
    <row r="130" spans="1:30" x14ac:dyDescent="0.25">
      <c r="B130" s="1" t="str">
        <f t="shared" si="6"/>
        <v>female</v>
      </c>
      <c r="C130" s="1">
        <f t="shared" si="7"/>
        <v>1</v>
      </c>
      <c r="D130" s="1">
        <v>58</v>
      </c>
      <c r="E130" s="48">
        <v>0.33105469999999998</v>
      </c>
      <c r="F130" s="49">
        <v>0.10546875</v>
      </c>
      <c r="G130" s="49">
        <v>0.57470699999999997</v>
      </c>
      <c r="H130" s="50">
        <v>0.54858399999999996</v>
      </c>
      <c r="I130" s="45">
        <v>1.1777344000000001</v>
      </c>
      <c r="J130" s="46">
        <v>0.4536133</v>
      </c>
      <c r="K130" s="46">
        <v>0.421875</v>
      </c>
      <c r="L130" s="46">
        <v>0.67382812000000003</v>
      </c>
      <c r="M130" s="46">
        <v>0.75292970000000004</v>
      </c>
      <c r="N130" s="46">
        <v>0.4536133</v>
      </c>
      <c r="O130" s="46">
        <v>0.421875</v>
      </c>
      <c r="P130" s="47">
        <v>0.67382812000000003</v>
      </c>
      <c r="R130" s="73"/>
      <c r="S130" s="4"/>
      <c r="U130" s="24">
        <f t="shared" si="4"/>
        <v>1</v>
      </c>
      <c r="V130" s="1" t="str">
        <f t="shared" si="5"/>
        <v>31_54</v>
      </c>
      <c r="W130" s="48">
        <v>0.5390625</v>
      </c>
      <c r="X130" s="49">
        <v>0.11132812</v>
      </c>
      <c r="Y130" s="49">
        <v>0.35546870000000003</v>
      </c>
      <c r="Z130" s="50">
        <v>0.41015620000000003</v>
      </c>
      <c r="AA130" s="49">
        <v>0.4536133</v>
      </c>
      <c r="AB130" s="49">
        <v>0.79296880000000003</v>
      </c>
      <c r="AC130" s="49">
        <v>0.21728520000000001</v>
      </c>
      <c r="AD130" s="50">
        <v>0.67773437999999997</v>
      </c>
    </row>
    <row r="131" spans="1:30" x14ac:dyDescent="0.25">
      <c r="B131" s="1" t="str">
        <f t="shared" si="6"/>
        <v>female</v>
      </c>
      <c r="C131" s="1">
        <f t="shared" si="7"/>
        <v>1</v>
      </c>
      <c r="D131" s="1">
        <v>59</v>
      </c>
      <c r="E131" s="48">
        <v>0.78125</v>
      </c>
      <c r="F131" s="49">
        <v>0.11132812</v>
      </c>
      <c r="G131" s="49">
        <v>0.35546870000000003</v>
      </c>
      <c r="H131" s="50">
        <v>0.41015620000000003</v>
      </c>
      <c r="I131" s="48">
        <v>0.4536133</v>
      </c>
      <c r="J131" s="49">
        <v>1.2734375</v>
      </c>
      <c r="K131" s="49">
        <v>0.21728520000000001</v>
      </c>
      <c r="L131" s="49">
        <v>0.67773437999999997</v>
      </c>
      <c r="M131" s="49">
        <v>0.4536133</v>
      </c>
      <c r="N131" s="49">
        <v>0.79296869999999997</v>
      </c>
      <c r="O131" s="49">
        <v>0.21728520000000001</v>
      </c>
      <c r="P131" s="50">
        <v>0.67773437999999997</v>
      </c>
      <c r="R131" s="73"/>
      <c r="S131" s="4"/>
      <c r="U131" s="24">
        <f t="shared" si="4"/>
        <v>1</v>
      </c>
      <c r="V131" s="1" t="str">
        <f t="shared" si="5"/>
        <v>49_48</v>
      </c>
      <c r="W131" s="48">
        <v>0.18652340000000001</v>
      </c>
      <c r="X131" s="49">
        <v>0.33007811999999997</v>
      </c>
      <c r="Y131" s="49">
        <v>0.48095700000000002</v>
      </c>
      <c r="Z131" s="50">
        <v>0.41186519999999999</v>
      </c>
      <c r="AA131" s="49">
        <v>0.421875</v>
      </c>
      <c r="AB131" s="49">
        <v>0.21728520000000001</v>
      </c>
      <c r="AC131" s="49">
        <v>0.60644529999999996</v>
      </c>
      <c r="AD131" s="50">
        <v>0.22851562</v>
      </c>
    </row>
    <row r="132" spans="1:30" x14ac:dyDescent="0.25">
      <c r="B132" s="1" t="str">
        <f t="shared" si="6"/>
        <v>male</v>
      </c>
      <c r="C132" s="1">
        <f t="shared" si="7"/>
        <v>1</v>
      </c>
      <c r="D132" s="1">
        <v>60</v>
      </c>
      <c r="E132" s="48">
        <v>0.18652340000000001</v>
      </c>
      <c r="F132" s="49">
        <v>0.33007811999999997</v>
      </c>
      <c r="G132" s="49">
        <v>0.48095700000000002</v>
      </c>
      <c r="H132" s="50">
        <v>0.41186519999999999</v>
      </c>
      <c r="I132" s="48">
        <v>0.421875</v>
      </c>
      <c r="J132" s="49">
        <v>0.21728520000000001</v>
      </c>
      <c r="K132" s="49">
        <v>1.078125</v>
      </c>
      <c r="L132" s="49">
        <v>0.22851562</v>
      </c>
      <c r="M132" s="49">
        <v>0.421875</v>
      </c>
      <c r="N132" s="49">
        <v>0.21728520000000001</v>
      </c>
      <c r="O132" s="49">
        <v>0.60644529999999996</v>
      </c>
      <c r="P132" s="50">
        <v>0.22851562</v>
      </c>
      <c r="R132" s="73"/>
      <c r="S132" s="4"/>
      <c r="U132" s="24">
        <f t="shared" si="4"/>
        <v>1</v>
      </c>
      <c r="V132" s="1" t="str">
        <f t="shared" si="5"/>
        <v>31_53</v>
      </c>
      <c r="W132" s="51">
        <v>0.46484379999999997</v>
      </c>
      <c r="X132" s="52">
        <v>8.3984379999999997E-2</v>
      </c>
      <c r="Y132" s="52">
        <v>0.3984375</v>
      </c>
      <c r="Z132" s="53">
        <v>0.45117190000000001</v>
      </c>
      <c r="AA132" s="52">
        <v>0.67382810000000004</v>
      </c>
      <c r="AB132" s="52">
        <v>0.67773439999999996</v>
      </c>
      <c r="AC132" s="52">
        <v>0.22851560000000001</v>
      </c>
      <c r="AD132" s="53">
        <v>0.921875</v>
      </c>
    </row>
    <row r="133" spans="1:30" x14ac:dyDescent="0.25">
      <c r="B133" s="1" t="str">
        <f t="shared" si="6"/>
        <v>male</v>
      </c>
      <c r="C133" s="1">
        <f t="shared" si="7"/>
        <v>1</v>
      </c>
      <c r="D133" s="1">
        <v>61</v>
      </c>
      <c r="E133" s="48">
        <v>0.46484379999999997</v>
      </c>
      <c r="F133" s="49">
        <v>8.3984379999999997E-2</v>
      </c>
      <c r="G133" s="49">
        <v>0.3984375</v>
      </c>
      <c r="H133" s="50">
        <v>0.45117190000000001</v>
      </c>
      <c r="I133" s="48">
        <v>0.67382810000000004</v>
      </c>
      <c r="J133" s="49">
        <v>0.67773439999999996</v>
      </c>
      <c r="K133" s="49">
        <v>0.22851560000000001</v>
      </c>
      <c r="L133" s="49">
        <v>1.359375</v>
      </c>
      <c r="M133" s="49">
        <v>0.67382810000000004</v>
      </c>
      <c r="N133" s="49">
        <v>0.67773439999999996</v>
      </c>
      <c r="O133" s="49">
        <v>0.22851560000000001</v>
      </c>
      <c r="P133" s="50">
        <v>0.921875</v>
      </c>
      <c r="R133" s="73"/>
    </row>
    <row r="134" spans="1:30" x14ac:dyDescent="0.25">
      <c r="B134" s="1" t="str">
        <f t="shared" si="6"/>
        <v>female</v>
      </c>
      <c r="C134" s="1">
        <f t="shared" si="7"/>
        <v>1</v>
      </c>
      <c r="D134" s="1">
        <v>62</v>
      </c>
      <c r="E134" s="48">
        <v>0.33105469999999998</v>
      </c>
      <c r="F134" s="49">
        <v>0.10546875</v>
      </c>
      <c r="G134" s="49">
        <v>0.57470699999999997</v>
      </c>
      <c r="H134" s="50">
        <v>0.54858399999999996</v>
      </c>
      <c r="I134" s="48">
        <v>0.75292970000000004</v>
      </c>
      <c r="J134" s="49">
        <v>0.4536133</v>
      </c>
      <c r="K134" s="49">
        <v>0.421875</v>
      </c>
      <c r="L134" s="49">
        <v>0.67382812000000003</v>
      </c>
      <c r="M134" s="49">
        <v>1.1777344000000001</v>
      </c>
      <c r="N134" s="49">
        <v>0.4536133</v>
      </c>
      <c r="O134" s="49">
        <v>0.421875</v>
      </c>
      <c r="P134" s="50">
        <v>0.67382812000000003</v>
      </c>
      <c r="R134" s="73"/>
    </row>
    <row r="135" spans="1:30" x14ac:dyDescent="0.25">
      <c r="B135" s="1" t="str">
        <f t="shared" si="6"/>
        <v>female</v>
      </c>
      <c r="C135" s="1">
        <f t="shared" si="7"/>
        <v>1</v>
      </c>
      <c r="D135" s="1">
        <v>63</v>
      </c>
      <c r="E135" s="48">
        <v>0.78125</v>
      </c>
      <c r="F135" s="49">
        <v>0.11132812</v>
      </c>
      <c r="G135" s="49">
        <v>0.35546870000000003</v>
      </c>
      <c r="H135" s="50">
        <v>0.41015620000000003</v>
      </c>
      <c r="I135" s="48">
        <v>0.4536133</v>
      </c>
      <c r="J135" s="49">
        <v>0.79296869999999997</v>
      </c>
      <c r="K135" s="49">
        <v>0.21728520000000001</v>
      </c>
      <c r="L135" s="49">
        <v>0.67773437999999997</v>
      </c>
      <c r="M135" s="49">
        <v>0.4536133</v>
      </c>
      <c r="N135" s="49">
        <v>1.2734375</v>
      </c>
      <c r="O135" s="49">
        <v>0.21728520000000001</v>
      </c>
      <c r="P135" s="50">
        <v>0.67773437999999997</v>
      </c>
      <c r="R135" s="73"/>
      <c r="AA135" s="21"/>
    </row>
    <row r="136" spans="1:30" x14ac:dyDescent="0.25">
      <c r="B136" s="1" t="str">
        <f t="shared" si="6"/>
        <v>male</v>
      </c>
      <c r="C136" s="1">
        <f t="shared" si="7"/>
        <v>1</v>
      </c>
      <c r="D136" s="1">
        <v>64</v>
      </c>
      <c r="E136" s="48">
        <v>0.18652340000000001</v>
      </c>
      <c r="F136" s="49">
        <v>0.33007811999999997</v>
      </c>
      <c r="G136" s="49">
        <v>0.48095700000000002</v>
      </c>
      <c r="H136" s="50">
        <v>0.41186519999999999</v>
      </c>
      <c r="I136" s="48">
        <v>0.421875</v>
      </c>
      <c r="J136" s="49">
        <v>0.21728520000000001</v>
      </c>
      <c r="K136" s="49">
        <v>0.60644529999999996</v>
      </c>
      <c r="L136" s="49">
        <v>0.22851562</v>
      </c>
      <c r="M136" s="49">
        <v>0.421875</v>
      </c>
      <c r="N136" s="49">
        <v>0.21728520000000001</v>
      </c>
      <c r="O136" s="49">
        <v>1.078125</v>
      </c>
      <c r="P136" s="50">
        <v>0.22851562</v>
      </c>
      <c r="R136" s="73"/>
      <c r="AA136" s="21"/>
    </row>
    <row r="137" spans="1:30" x14ac:dyDescent="0.25">
      <c r="B137" s="1" t="str">
        <f t="shared" si="6"/>
        <v>male</v>
      </c>
      <c r="C137" s="1">
        <f t="shared" si="7"/>
        <v>1</v>
      </c>
      <c r="D137" s="1">
        <v>65</v>
      </c>
      <c r="E137" s="51">
        <v>0.46484379999999997</v>
      </c>
      <c r="F137" s="52">
        <v>8.3984379999999997E-2</v>
      </c>
      <c r="G137" s="52">
        <v>0.3984375</v>
      </c>
      <c r="H137" s="53">
        <v>0.45117190000000001</v>
      </c>
      <c r="I137" s="51">
        <v>0.67382810000000004</v>
      </c>
      <c r="J137" s="52">
        <v>0.67773439999999996</v>
      </c>
      <c r="K137" s="52">
        <v>0.22851560000000001</v>
      </c>
      <c r="L137" s="52">
        <v>0.921875</v>
      </c>
      <c r="M137" s="52">
        <v>0.67382810000000004</v>
      </c>
      <c r="N137" s="52">
        <v>0.67773439999999996</v>
      </c>
      <c r="O137" s="52">
        <v>0.22851560000000001</v>
      </c>
      <c r="P137" s="53">
        <v>1.359375</v>
      </c>
      <c r="R137" s="73"/>
      <c r="AA137" s="21"/>
    </row>
    <row r="138" spans="1:30" s="21" customFormat="1" x14ac:dyDescent="0.25">
      <c r="A138"/>
      <c r="R138" s="75"/>
    </row>
    <row r="139" spans="1:30" s="21" customFormat="1" x14ac:dyDescent="0.25">
      <c r="A139"/>
      <c r="B139"/>
      <c r="C139"/>
      <c r="D139"/>
      <c r="E139"/>
      <c r="F139"/>
      <c r="G139"/>
      <c r="R139" s="75"/>
    </row>
    <row r="140" spans="1:30" s="21" customFormat="1" x14ac:dyDescent="0.25">
      <c r="A140"/>
      <c r="B140" s="1"/>
      <c r="C140"/>
      <c r="D140" s="1" t="s">
        <v>4</v>
      </c>
      <c r="E140" s="1" t="s">
        <v>12</v>
      </c>
      <c r="F140" s="1" t="s">
        <v>12</v>
      </c>
      <c r="G140" s="1" t="s">
        <v>11</v>
      </c>
      <c r="H140" s="1" t="s">
        <v>11</v>
      </c>
      <c r="R140" s="75"/>
      <c r="S140"/>
      <c r="T140"/>
      <c r="U140"/>
      <c r="V140"/>
      <c r="W140"/>
      <c r="X140"/>
      <c r="Y140"/>
      <c r="Z140"/>
    </row>
    <row r="141" spans="1:30" s="21" customFormat="1" x14ac:dyDescent="0.25">
      <c r="A141"/>
      <c r="B141" s="1" t="s">
        <v>4</v>
      </c>
      <c r="C141" s="1" t="s">
        <v>60</v>
      </c>
      <c r="D141" s="1" t="s">
        <v>10</v>
      </c>
      <c r="E141" s="1">
        <v>2</v>
      </c>
      <c r="F141" s="1">
        <v>1</v>
      </c>
      <c r="G141" s="1">
        <v>2</v>
      </c>
      <c r="H141" s="1">
        <v>1</v>
      </c>
      <c r="J141" s="38"/>
      <c r="R141" s="75"/>
      <c r="S141"/>
      <c r="T141"/>
      <c r="W141" s="7" t="str">
        <f>"male_"&amp;W142</f>
        <v>male_2</v>
      </c>
      <c r="X141" s="7" t="str">
        <f t="shared" ref="X141" si="8">"male_"&amp;X142</f>
        <v>male_1</v>
      </c>
      <c r="Y141" s="7" t="str">
        <f>"female_"&amp;Y142</f>
        <v>female_2</v>
      </c>
      <c r="Z141" s="7" t="str">
        <f>"female_"&amp;Z142</f>
        <v>female_1</v>
      </c>
    </row>
    <row r="142" spans="1:30" s="21" customFormat="1" x14ac:dyDescent="0.25">
      <c r="A142"/>
      <c r="B142" s="1" t="str">
        <f>F97</f>
        <v>female</v>
      </c>
      <c r="C142" s="1">
        <f t="shared" ref="C142" si="9">MAX($E$44:$E$108) - E97 + 1</f>
        <v>2</v>
      </c>
      <c r="D142" s="1">
        <f t="shared" ref="D142" si="10">B97</f>
        <v>54</v>
      </c>
      <c r="E142" s="88">
        <f t="array" ref="E142:E153">(IF(E140=B142:B153,IF(E141=C142:C153,1,0),0)/SUM(IF(E140=B142:B153,IF(E141=C142:C153,1,0),0)))</f>
        <v>0</v>
      </c>
      <c r="F142" s="89">
        <f t="array" ref="F142:F153">(IF(F140=B142:B153,IF(F141=C142:C153,1,0),0)/SUM(IF(F140=B142:B153,IF(F141=C142:C153,1,0),0)))</f>
        <v>0</v>
      </c>
      <c r="G142" s="88">
        <f t="array" ref="G142:G153">(IF(G140=B142:B153,IF(G141=C142:C153,1,0),0)/SUM(IF(G140=B142:B153,IF(G141=C142:C153,1,0),0)))</f>
        <v>0.5</v>
      </c>
      <c r="H142" s="90">
        <f t="array" ref="H142:H153">(IF(H140=B142:B153,IF(H141=C142:C153,1,0),0)/SUM(IF(H140=B142:B153,IF(H141=C142:C153,1,0),0)))</f>
        <v>0</v>
      </c>
      <c r="J142" s="38"/>
      <c r="O142" s="38"/>
      <c r="R142" s="75"/>
      <c r="S142"/>
      <c r="T142"/>
      <c r="U142" s="1" t="s">
        <v>60</v>
      </c>
      <c r="V142" s="1" t="s">
        <v>29</v>
      </c>
      <c r="W142" s="1">
        <v>2</v>
      </c>
      <c r="X142" s="1">
        <v>1</v>
      </c>
      <c r="Y142" s="1">
        <v>2</v>
      </c>
      <c r="Z142" s="1">
        <v>1</v>
      </c>
    </row>
    <row r="143" spans="1:30" s="21" customFormat="1" x14ac:dyDescent="0.25">
      <c r="A143"/>
      <c r="B143" s="1" t="str">
        <f t="shared" ref="B143:B153" si="11">F98</f>
        <v>male</v>
      </c>
      <c r="C143" s="1">
        <f t="shared" ref="C143:C153" si="12">MAX($E$44:$E$108) - E98 + 1</f>
        <v>2</v>
      </c>
      <c r="D143" s="1">
        <f t="shared" ref="D143:D153" si="13">B98</f>
        <v>55</v>
      </c>
      <c r="E143" s="93">
        <v>0.5</v>
      </c>
      <c r="F143" s="94">
        <v>0</v>
      </c>
      <c r="G143" s="93">
        <v>0</v>
      </c>
      <c r="H143" s="95">
        <v>0</v>
      </c>
      <c r="J143" s="38"/>
      <c r="O143" s="38"/>
      <c r="R143" s="75"/>
      <c r="S143"/>
      <c r="T143"/>
      <c r="U143" s="7">
        <f t="shared" ref="U143:V150" si="14">U125</f>
        <v>2</v>
      </c>
      <c r="V143" s="7" t="str">
        <f t="shared" si="14"/>
        <v>31_47</v>
      </c>
      <c r="W143" s="9">
        <f t="array" ref="W143:W150">IF(W$142=U143:U150,1,0)/SUM(IF(W$142=U143:U150,1,0))</f>
        <v>0.25</v>
      </c>
      <c r="X143" s="11">
        <f t="array" ref="X143:X150">IF(X$142=U143:U150,1,0)/SUM(IF(X$142=U143:U150,1,0))</f>
        <v>0</v>
      </c>
      <c r="Y143" s="10">
        <f>W143</f>
        <v>0.25</v>
      </c>
      <c r="Z143" s="11">
        <f>X143</f>
        <v>0</v>
      </c>
    </row>
    <row r="144" spans="1:30" s="21" customFormat="1" x14ac:dyDescent="0.25">
      <c r="A144"/>
      <c r="B144" s="1" t="str">
        <f t="shared" si="11"/>
        <v>female</v>
      </c>
      <c r="C144" s="1">
        <f t="shared" si="12"/>
        <v>2</v>
      </c>
      <c r="D144" s="1">
        <f t="shared" si="13"/>
        <v>56</v>
      </c>
      <c r="E144" s="12">
        <v>0</v>
      </c>
      <c r="F144" s="13">
        <v>0</v>
      </c>
      <c r="G144" s="12">
        <v>0.5</v>
      </c>
      <c r="H144" s="14">
        <v>0</v>
      </c>
      <c r="J144" s="38"/>
      <c r="O144" s="38"/>
      <c r="R144" s="75"/>
      <c r="U144" s="7">
        <f t="shared" si="14"/>
        <v>2</v>
      </c>
      <c r="V144" s="7" t="str">
        <f t="shared" si="14"/>
        <v>33_48</v>
      </c>
      <c r="W144" s="12">
        <v>0.25</v>
      </c>
      <c r="X144" s="14">
        <v>0</v>
      </c>
      <c r="Y144" s="13">
        <f t="shared" ref="Y144:Z150" si="15">W144</f>
        <v>0.25</v>
      </c>
      <c r="Z144" s="14">
        <f t="shared" si="15"/>
        <v>0</v>
      </c>
    </row>
    <row r="145" spans="1:26" x14ac:dyDescent="0.25">
      <c r="B145" s="1" t="str">
        <f t="shared" si="11"/>
        <v>male</v>
      </c>
      <c r="C145" s="1">
        <f t="shared" si="12"/>
        <v>2</v>
      </c>
      <c r="D145" s="1">
        <f t="shared" si="13"/>
        <v>57</v>
      </c>
      <c r="E145" s="12">
        <v>0.5</v>
      </c>
      <c r="F145" s="13">
        <v>0</v>
      </c>
      <c r="G145" s="12">
        <v>0</v>
      </c>
      <c r="H145" s="14">
        <v>0</v>
      </c>
      <c r="I145" s="7"/>
      <c r="J145" s="38"/>
      <c r="K145" s="1"/>
      <c r="L145" s="1"/>
      <c r="M145" s="1"/>
      <c r="O145" s="38"/>
      <c r="R145" s="76"/>
      <c r="S145" s="21"/>
      <c r="T145" s="21"/>
      <c r="U145" s="7">
        <f t="shared" si="14"/>
        <v>2</v>
      </c>
      <c r="V145" s="7" t="str">
        <f t="shared" si="14"/>
        <v>49_51</v>
      </c>
      <c r="W145" s="12">
        <v>0.25</v>
      </c>
      <c r="X145" s="14">
        <v>0</v>
      </c>
      <c r="Y145" s="13">
        <f t="shared" si="15"/>
        <v>0.25</v>
      </c>
      <c r="Z145" s="14">
        <f t="shared" si="15"/>
        <v>0</v>
      </c>
    </row>
    <row r="146" spans="1:26" x14ac:dyDescent="0.25">
      <c r="B146" s="1" t="str">
        <f t="shared" si="11"/>
        <v>female</v>
      </c>
      <c r="C146" s="1">
        <f t="shared" si="12"/>
        <v>1</v>
      </c>
      <c r="D146" s="1">
        <f t="shared" si="13"/>
        <v>58</v>
      </c>
      <c r="E146" s="12">
        <v>0</v>
      </c>
      <c r="F146" s="13">
        <v>0</v>
      </c>
      <c r="G146" s="12">
        <v>0</v>
      </c>
      <c r="H146" s="14">
        <v>0.25</v>
      </c>
      <c r="J146" s="38"/>
      <c r="O146" s="38"/>
      <c r="R146" s="76"/>
      <c r="S146" s="21"/>
      <c r="T146" s="21"/>
      <c r="U146" s="7">
        <f t="shared" si="14"/>
        <v>2</v>
      </c>
      <c r="V146" s="7" t="str">
        <f t="shared" si="14"/>
        <v>49_52</v>
      </c>
      <c r="W146" s="12">
        <v>0.25</v>
      </c>
      <c r="X146" s="14">
        <v>0</v>
      </c>
      <c r="Y146" s="13">
        <f t="shared" si="15"/>
        <v>0.25</v>
      </c>
      <c r="Z146" s="14">
        <f t="shared" si="15"/>
        <v>0</v>
      </c>
    </row>
    <row r="147" spans="1:26" x14ac:dyDescent="0.25">
      <c r="B147" s="1" t="str">
        <f t="shared" si="11"/>
        <v>female</v>
      </c>
      <c r="C147" s="1">
        <f t="shared" si="12"/>
        <v>1</v>
      </c>
      <c r="D147" s="1">
        <f t="shared" si="13"/>
        <v>59</v>
      </c>
      <c r="E147" s="12">
        <v>0</v>
      </c>
      <c r="F147" s="13">
        <v>0</v>
      </c>
      <c r="G147" s="12">
        <v>0</v>
      </c>
      <c r="H147" s="14">
        <v>0.25</v>
      </c>
      <c r="J147" s="38"/>
      <c r="O147" s="38"/>
      <c r="R147" s="76"/>
      <c r="S147" s="21"/>
      <c r="T147" s="21"/>
      <c r="U147" s="7">
        <f t="shared" si="14"/>
        <v>1</v>
      </c>
      <c r="V147" s="7" t="str">
        <f t="shared" si="14"/>
        <v>49_53</v>
      </c>
      <c r="W147" s="12">
        <v>0</v>
      </c>
      <c r="X147" s="14">
        <v>0.25</v>
      </c>
      <c r="Y147" s="13">
        <f t="shared" si="15"/>
        <v>0</v>
      </c>
      <c r="Z147" s="14">
        <f t="shared" si="15"/>
        <v>0.25</v>
      </c>
    </row>
    <row r="148" spans="1:26" x14ac:dyDescent="0.25">
      <c r="B148" s="1" t="str">
        <f t="shared" si="11"/>
        <v>male</v>
      </c>
      <c r="C148" s="1">
        <f t="shared" si="12"/>
        <v>1</v>
      </c>
      <c r="D148" s="1">
        <f t="shared" si="13"/>
        <v>60</v>
      </c>
      <c r="E148" s="12">
        <v>0</v>
      </c>
      <c r="F148" s="13">
        <v>0.25</v>
      </c>
      <c r="G148" s="12">
        <v>0</v>
      </c>
      <c r="H148" s="14">
        <v>0</v>
      </c>
      <c r="J148" s="38"/>
      <c r="O148" s="38"/>
      <c r="R148" s="76"/>
      <c r="S148" s="21"/>
      <c r="T148" s="21"/>
      <c r="U148" s="7">
        <f t="shared" si="14"/>
        <v>1</v>
      </c>
      <c r="V148" s="7" t="str">
        <f t="shared" si="14"/>
        <v>31_54</v>
      </c>
      <c r="W148" s="12">
        <v>0</v>
      </c>
      <c r="X148" s="14">
        <v>0.25</v>
      </c>
      <c r="Y148" s="13">
        <f t="shared" si="15"/>
        <v>0</v>
      </c>
      <c r="Z148" s="14">
        <f t="shared" si="15"/>
        <v>0.25</v>
      </c>
    </row>
    <row r="149" spans="1:26" x14ac:dyDescent="0.25">
      <c r="B149" s="1" t="str">
        <f t="shared" si="11"/>
        <v>male</v>
      </c>
      <c r="C149" s="1">
        <f t="shared" si="12"/>
        <v>1</v>
      </c>
      <c r="D149" s="1">
        <f t="shared" si="13"/>
        <v>61</v>
      </c>
      <c r="E149" s="12">
        <v>0</v>
      </c>
      <c r="F149" s="13">
        <v>0.25</v>
      </c>
      <c r="G149" s="12">
        <v>0</v>
      </c>
      <c r="H149" s="14">
        <v>0</v>
      </c>
      <c r="J149" s="38"/>
      <c r="R149" s="76"/>
      <c r="S149" s="21"/>
      <c r="T149" s="21"/>
      <c r="U149" s="7">
        <f t="shared" si="14"/>
        <v>1</v>
      </c>
      <c r="V149" s="7" t="str">
        <f t="shared" si="14"/>
        <v>49_48</v>
      </c>
      <c r="W149" s="12">
        <v>0</v>
      </c>
      <c r="X149" s="14">
        <v>0.25</v>
      </c>
      <c r="Y149" s="13">
        <f t="shared" si="15"/>
        <v>0</v>
      </c>
      <c r="Z149" s="14">
        <f t="shared" si="15"/>
        <v>0.25</v>
      </c>
    </row>
    <row r="150" spans="1:26" x14ac:dyDescent="0.25">
      <c r="B150" s="1" t="str">
        <f t="shared" si="11"/>
        <v>female</v>
      </c>
      <c r="C150" s="1">
        <f t="shared" si="12"/>
        <v>1</v>
      </c>
      <c r="D150" s="1">
        <f t="shared" si="13"/>
        <v>62</v>
      </c>
      <c r="E150" s="12">
        <v>0</v>
      </c>
      <c r="F150" s="13">
        <v>0</v>
      </c>
      <c r="G150" s="12">
        <v>0</v>
      </c>
      <c r="H150" s="14">
        <v>0.25</v>
      </c>
      <c r="J150" s="38"/>
      <c r="R150" s="76"/>
      <c r="S150" s="21"/>
      <c r="T150" s="21"/>
      <c r="U150" s="7">
        <f t="shared" si="14"/>
        <v>1</v>
      </c>
      <c r="V150" s="7" t="str">
        <f t="shared" si="14"/>
        <v>31_53</v>
      </c>
      <c r="W150" s="15">
        <v>0</v>
      </c>
      <c r="X150" s="17">
        <v>0.25</v>
      </c>
      <c r="Y150" s="16">
        <f t="shared" si="15"/>
        <v>0</v>
      </c>
      <c r="Z150" s="17">
        <f t="shared" si="15"/>
        <v>0.25</v>
      </c>
    </row>
    <row r="151" spans="1:26" x14ac:dyDescent="0.25">
      <c r="B151" s="1" t="str">
        <f t="shared" si="11"/>
        <v>female</v>
      </c>
      <c r="C151" s="1">
        <f t="shared" si="12"/>
        <v>1</v>
      </c>
      <c r="D151" s="1">
        <f t="shared" si="13"/>
        <v>63</v>
      </c>
      <c r="E151" s="12">
        <v>0</v>
      </c>
      <c r="F151" s="13">
        <v>0</v>
      </c>
      <c r="G151" s="12">
        <v>0</v>
      </c>
      <c r="H151" s="14">
        <v>0.25</v>
      </c>
      <c r="J151" s="38"/>
      <c r="R151" s="76"/>
    </row>
    <row r="152" spans="1:26" x14ac:dyDescent="0.25">
      <c r="B152" s="1" t="str">
        <f t="shared" si="11"/>
        <v>male</v>
      </c>
      <c r="C152" s="1">
        <f t="shared" si="12"/>
        <v>1</v>
      </c>
      <c r="D152" s="1">
        <f t="shared" si="13"/>
        <v>64</v>
      </c>
      <c r="E152" s="60">
        <v>0</v>
      </c>
      <c r="F152" s="61">
        <v>0.25</v>
      </c>
      <c r="G152" s="60">
        <v>0</v>
      </c>
      <c r="H152" s="65">
        <v>0</v>
      </c>
      <c r="J152" s="38"/>
      <c r="R152" s="76"/>
    </row>
    <row r="153" spans="1:26" x14ac:dyDescent="0.25">
      <c r="B153" s="1" t="str">
        <f t="shared" si="11"/>
        <v>male</v>
      </c>
      <c r="C153" s="1">
        <f t="shared" si="12"/>
        <v>1</v>
      </c>
      <c r="D153" s="1">
        <f t="shared" si="13"/>
        <v>65</v>
      </c>
      <c r="E153" s="62">
        <v>0</v>
      </c>
      <c r="F153" s="63">
        <v>0.25</v>
      </c>
      <c r="G153" s="62">
        <v>0</v>
      </c>
      <c r="H153" s="87">
        <v>0</v>
      </c>
      <c r="J153" s="38"/>
      <c r="R153" s="76"/>
    </row>
    <row r="154" spans="1:26" s="21" customFormat="1" x14ac:dyDescent="0.25">
      <c r="A154"/>
      <c r="J154" s="38"/>
      <c r="R154" s="75"/>
    </row>
    <row r="155" spans="1:26" x14ac:dyDescent="0.25">
      <c r="B155" s="1"/>
      <c r="R155" s="73"/>
      <c r="U155" s="1"/>
    </row>
    <row r="156" spans="1:26" x14ac:dyDescent="0.25">
      <c r="C156" s="5"/>
      <c r="D156" s="1" t="s">
        <v>4</v>
      </c>
      <c r="E156" s="1" t="s">
        <v>12</v>
      </c>
      <c r="F156" s="1" t="s">
        <v>12</v>
      </c>
      <c r="G156" s="1" t="s">
        <v>11</v>
      </c>
      <c r="H156" s="1" t="s">
        <v>11</v>
      </c>
      <c r="R156" s="73"/>
      <c r="U156" s="5"/>
      <c r="V156" s="1" t="s">
        <v>4</v>
      </c>
      <c r="W156" s="1" t="s">
        <v>12</v>
      </c>
      <c r="X156" s="1" t="s">
        <v>12</v>
      </c>
      <c r="Y156" s="1" t="s">
        <v>11</v>
      </c>
      <c r="Z156" s="1" t="s">
        <v>11</v>
      </c>
    </row>
    <row r="157" spans="1:26" x14ac:dyDescent="0.25">
      <c r="C157" s="1" t="s">
        <v>4</v>
      </c>
      <c r="D157" s="1" t="s">
        <v>60</v>
      </c>
      <c r="E157" s="1">
        <v>2</v>
      </c>
      <c r="F157" s="1">
        <v>1</v>
      </c>
      <c r="G157" s="1">
        <v>2</v>
      </c>
      <c r="H157" s="1">
        <v>1</v>
      </c>
      <c r="R157" s="73"/>
      <c r="U157" s="1" t="s">
        <v>4</v>
      </c>
      <c r="V157" s="1" t="s">
        <v>60</v>
      </c>
      <c r="W157" s="1">
        <v>2</v>
      </c>
      <c r="X157" s="1">
        <v>1</v>
      </c>
      <c r="Y157" s="1">
        <v>2</v>
      </c>
      <c r="Z157" s="1">
        <v>1</v>
      </c>
    </row>
    <row r="158" spans="1:26" x14ac:dyDescent="0.25">
      <c r="C158" s="1" t="s">
        <v>12</v>
      </c>
      <c r="D158" s="1">
        <v>2</v>
      </c>
      <c r="E158" s="9">
        <f t="array" ref="E158:H161">MMULT(MMULT(TRANSPOSE(J_matrix),A_for_A_bar_bb_matrix),J_matrix)</f>
        <v>0.60046386500000004</v>
      </c>
      <c r="F158" s="10">
        <v>0.31927488749999999</v>
      </c>
      <c r="G158" s="9">
        <v>0.28063965000000002</v>
      </c>
      <c r="H158" s="11">
        <v>0.29388427500000003</v>
      </c>
      <c r="R158" s="73"/>
      <c r="U158" s="1" t="s">
        <v>12</v>
      </c>
      <c r="V158" s="1">
        <v>2</v>
      </c>
      <c r="W158" s="9">
        <f t="array" ref="W158:Z161">MMULT(MMULT(TRANSPOSE(J_f_matrix),A_fam),J_f_matrix)</f>
        <v>0.34936524437499999</v>
      </c>
      <c r="X158" s="10">
        <v>0.361480706875</v>
      </c>
      <c r="Y158" s="9">
        <v>0.34936524437499999</v>
      </c>
      <c r="Z158" s="11">
        <v>0.361480706875</v>
      </c>
    </row>
    <row r="159" spans="1:26" x14ac:dyDescent="0.25">
      <c r="C159" s="1" t="s">
        <v>12</v>
      </c>
      <c r="D159" s="1">
        <v>1</v>
      </c>
      <c r="E159" s="15">
        <v>0.31927490000000003</v>
      </c>
      <c r="F159" s="16">
        <v>0.60998534250000003</v>
      </c>
      <c r="G159" s="15">
        <v>0.382690425</v>
      </c>
      <c r="H159" s="17">
        <v>0.49768067500000002</v>
      </c>
      <c r="R159" s="73"/>
      <c r="U159" s="1" t="s">
        <v>12</v>
      </c>
      <c r="V159" s="1">
        <v>1</v>
      </c>
      <c r="W159" s="15">
        <v>0.36148070437500002</v>
      </c>
      <c r="X159" s="16">
        <v>0.52624512624999997</v>
      </c>
      <c r="Y159" s="15">
        <v>0.36148070437500002</v>
      </c>
      <c r="Z159" s="17">
        <v>0.52624512624999997</v>
      </c>
    </row>
    <row r="160" spans="1:26" x14ac:dyDescent="0.25">
      <c r="C160" s="1" t="s">
        <v>11</v>
      </c>
      <c r="D160" s="1">
        <v>2</v>
      </c>
      <c r="E160" s="12">
        <v>0.28063963749999998</v>
      </c>
      <c r="F160" s="13">
        <v>0.38269041250000002</v>
      </c>
      <c r="G160" s="12">
        <v>0.6989746</v>
      </c>
      <c r="H160" s="14">
        <v>0.51062010000000002</v>
      </c>
      <c r="R160" s="73"/>
      <c r="U160" s="1" t="s">
        <v>11</v>
      </c>
      <c r="V160" s="1">
        <v>2</v>
      </c>
      <c r="W160" s="12">
        <v>0.34936524437499999</v>
      </c>
      <c r="X160" s="13">
        <v>0.361480706875</v>
      </c>
      <c r="Y160" s="12">
        <v>0.34936524437499999</v>
      </c>
      <c r="Z160" s="14">
        <v>0.361480706875</v>
      </c>
    </row>
    <row r="161" spans="1:29" x14ac:dyDescent="0.25">
      <c r="C161" s="1" t="s">
        <v>11</v>
      </c>
      <c r="D161" s="1">
        <v>1</v>
      </c>
      <c r="E161" s="15">
        <v>0.29388426750000002</v>
      </c>
      <c r="F161" s="16">
        <v>0.49768067500000002</v>
      </c>
      <c r="G161" s="15">
        <v>0.51062010000000002</v>
      </c>
      <c r="H161" s="17">
        <v>0.72644043749999998</v>
      </c>
      <c r="R161" s="73"/>
      <c r="U161" s="1" t="s">
        <v>11</v>
      </c>
      <c r="V161" s="1">
        <v>1</v>
      </c>
      <c r="W161" s="15">
        <v>0.36148070437500002</v>
      </c>
      <c r="X161" s="16">
        <v>0.52624512624999997</v>
      </c>
      <c r="Y161" s="15">
        <v>0.36148070437500002</v>
      </c>
      <c r="Z161" s="17">
        <v>0.52624512624999997</v>
      </c>
    </row>
    <row r="162" spans="1:29" x14ac:dyDescent="0.25">
      <c r="R162" s="73"/>
    </row>
    <row r="163" spans="1:29" s="28" customFormat="1" x14ac:dyDescent="0.25">
      <c r="A163" s="58" t="s">
        <v>17</v>
      </c>
      <c r="R163" s="72"/>
    </row>
    <row r="164" spans="1:29" s="1" customFormat="1" x14ac:dyDescent="0.25">
      <c r="R164" s="76"/>
    </row>
    <row r="165" spans="1:29" x14ac:dyDescent="0.25">
      <c r="A165" s="1"/>
      <c r="R165" s="76"/>
    </row>
    <row r="166" spans="1:29" x14ac:dyDescent="0.25">
      <c r="R166" s="76"/>
      <c r="S166" s="1"/>
      <c r="U166" s="1"/>
      <c r="V166" s="1"/>
      <c r="W166" s="1"/>
      <c r="X166" s="1"/>
      <c r="Y166" s="1"/>
    </row>
    <row r="167" spans="1:29" x14ac:dyDescent="0.25">
      <c r="A167" s="1" t="s">
        <v>4</v>
      </c>
      <c r="B167" s="1" t="s">
        <v>60</v>
      </c>
      <c r="C167" s="1" t="s">
        <v>10</v>
      </c>
      <c r="D167" s="1">
        <f t="shared" ref="D167:O167" si="16">E125</f>
        <v>54</v>
      </c>
      <c r="E167" s="1">
        <f t="shared" si="16"/>
        <v>55</v>
      </c>
      <c r="F167" s="1">
        <f t="shared" si="16"/>
        <v>56</v>
      </c>
      <c r="G167" s="1">
        <f t="shared" si="16"/>
        <v>57</v>
      </c>
      <c r="H167" s="1">
        <f t="shared" si="16"/>
        <v>58</v>
      </c>
      <c r="I167" s="1">
        <f t="shared" si="16"/>
        <v>59</v>
      </c>
      <c r="J167" s="1">
        <f t="shared" si="16"/>
        <v>60</v>
      </c>
      <c r="K167" s="1">
        <f t="shared" si="16"/>
        <v>61</v>
      </c>
      <c r="L167" s="1">
        <f t="shared" si="16"/>
        <v>62</v>
      </c>
      <c r="M167" s="1">
        <f t="shared" si="16"/>
        <v>63</v>
      </c>
      <c r="N167" s="1">
        <f t="shared" si="16"/>
        <v>64</v>
      </c>
      <c r="O167" s="1">
        <f t="shared" si="16"/>
        <v>65</v>
      </c>
      <c r="R167" s="76"/>
      <c r="S167" s="1" t="s">
        <v>4</v>
      </c>
      <c r="T167" s="1" t="s">
        <v>60</v>
      </c>
      <c r="U167" s="1" t="s">
        <v>10</v>
      </c>
      <c r="V167" s="1" t="str">
        <f>W124</f>
        <v>31_47</v>
      </c>
      <c r="W167" s="1" t="str">
        <f t="shared" ref="W167:AC167" si="17">X124</f>
        <v>33_48</v>
      </c>
      <c r="X167" s="1" t="str">
        <f t="shared" si="17"/>
        <v>49_51</v>
      </c>
      <c r="Y167" s="1" t="str">
        <f t="shared" si="17"/>
        <v>49_52</v>
      </c>
      <c r="Z167" s="1" t="str">
        <f t="shared" si="17"/>
        <v>49_53</v>
      </c>
      <c r="AA167" s="1" t="str">
        <f t="shared" si="17"/>
        <v>31_54</v>
      </c>
      <c r="AB167" s="1" t="str">
        <f t="shared" si="17"/>
        <v>49_48</v>
      </c>
      <c r="AC167" s="1" t="str">
        <f t="shared" si="17"/>
        <v>31_53</v>
      </c>
    </row>
    <row r="168" spans="1:29" x14ac:dyDescent="0.25">
      <c r="A168" s="1" t="str">
        <f t="shared" ref="A168:A179" si="18">E27</f>
        <v>female</v>
      </c>
      <c r="B168" s="1">
        <f t="shared" ref="B168:B179" si="19">D27</f>
        <v>3</v>
      </c>
      <c r="C168" s="1">
        <f t="shared" ref="C168:C179" si="20">B27</f>
        <v>48</v>
      </c>
      <c r="D168" s="45">
        <v>9.375E-2</v>
      </c>
      <c r="E168" s="46">
        <v>0.53125</v>
      </c>
      <c r="F168" s="46">
        <v>0.171875</v>
      </c>
      <c r="G168" s="46">
        <v>0.1171875</v>
      </c>
      <c r="H168" s="46">
        <v>0.109375</v>
      </c>
      <c r="I168" s="46">
        <v>7.8125E-2</v>
      </c>
      <c r="J168" s="46">
        <v>0.578125</v>
      </c>
      <c r="K168" s="46">
        <v>6.25E-2</v>
      </c>
      <c r="L168" s="46">
        <v>0.109375</v>
      </c>
      <c r="M168" s="46">
        <v>7.8125E-2</v>
      </c>
      <c r="N168" s="46">
        <v>0.578125</v>
      </c>
      <c r="O168" s="47">
        <v>6.25E-2</v>
      </c>
      <c r="R168" s="76"/>
      <c r="S168" s="1" t="str">
        <f t="shared" ref="S168:S179" si="21">E27</f>
        <v>female</v>
      </c>
      <c r="T168" s="1">
        <f t="shared" ref="T168:T179" si="22">D27</f>
        <v>3</v>
      </c>
      <c r="U168" s="1">
        <f t="shared" ref="U168:U179" si="23">B27</f>
        <v>48</v>
      </c>
      <c r="V168" s="45">
        <v>9.375E-2</v>
      </c>
      <c r="W168" s="46">
        <v>0.53125</v>
      </c>
      <c r="X168" s="46">
        <v>0.171875</v>
      </c>
      <c r="Y168" s="46">
        <v>0.1171875</v>
      </c>
      <c r="Z168" s="46">
        <v>0.109375</v>
      </c>
      <c r="AA168" s="46">
        <v>7.8125E-2</v>
      </c>
      <c r="AB168" s="46">
        <v>0.578125</v>
      </c>
      <c r="AC168" s="47">
        <v>6.25E-2</v>
      </c>
    </row>
    <row r="169" spans="1:29" x14ac:dyDescent="0.25">
      <c r="A169" s="1" t="str">
        <f t="shared" si="18"/>
        <v>male</v>
      </c>
      <c r="B169" s="1">
        <f t="shared" si="19"/>
        <v>3</v>
      </c>
      <c r="C169" s="1">
        <f t="shared" si="20"/>
        <v>49</v>
      </c>
      <c r="D169" s="48">
        <v>0.27929690000000001</v>
      </c>
      <c r="E169" s="49">
        <v>0.1289062</v>
      </c>
      <c r="F169" s="49">
        <v>0.79003909999999999</v>
      </c>
      <c r="G169" s="49">
        <v>0.70654300000000003</v>
      </c>
      <c r="H169" s="49">
        <v>0.734375</v>
      </c>
      <c r="I169" s="49">
        <v>0.35644530000000002</v>
      </c>
      <c r="J169" s="49">
        <v>0.63476560000000004</v>
      </c>
      <c r="K169" s="49">
        <v>0.39453125</v>
      </c>
      <c r="L169" s="49">
        <v>0.734375</v>
      </c>
      <c r="M169" s="49">
        <v>0.35644530000000002</v>
      </c>
      <c r="N169" s="49">
        <v>0.63476560000000004</v>
      </c>
      <c r="O169" s="50">
        <v>0.39453125</v>
      </c>
      <c r="R169" s="76"/>
      <c r="S169" s="1" t="str">
        <f t="shared" si="21"/>
        <v>male</v>
      </c>
      <c r="T169" s="1">
        <f t="shared" si="22"/>
        <v>3</v>
      </c>
      <c r="U169" s="1">
        <f t="shared" si="23"/>
        <v>49</v>
      </c>
      <c r="V169" s="48">
        <v>0.27929690000000001</v>
      </c>
      <c r="W169" s="49">
        <v>0.1289062</v>
      </c>
      <c r="X169" s="49">
        <v>0.79003909999999999</v>
      </c>
      <c r="Y169" s="49">
        <v>0.70654300000000003</v>
      </c>
      <c r="Z169" s="49">
        <v>0.734375</v>
      </c>
      <c r="AA169" s="49">
        <v>0.35644530000000002</v>
      </c>
      <c r="AB169" s="49">
        <v>0.63476560000000004</v>
      </c>
      <c r="AC169" s="50">
        <v>0.39453125</v>
      </c>
    </row>
    <row r="170" spans="1:29" x14ac:dyDescent="0.25">
      <c r="A170" s="1" t="str">
        <f t="shared" si="18"/>
        <v>female</v>
      </c>
      <c r="B170" s="1">
        <f t="shared" si="19"/>
        <v>3</v>
      </c>
      <c r="C170" s="1">
        <f t="shared" si="20"/>
        <v>50</v>
      </c>
      <c r="D170" s="48">
        <v>0.2578125</v>
      </c>
      <c r="E170" s="49">
        <v>0.2265625</v>
      </c>
      <c r="F170" s="49">
        <v>0.23632810000000001</v>
      </c>
      <c r="G170" s="49">
        <v>0.32617190000000001</v>
      </c>
      <c r="H170" s="49">
        <v>0.2460937</v>
      </c>
      <c r="I170" s="49">
        <v>0.28515620000000003</v>
      </c>
      <c r="J170" s="49">
        <v>0.18847659999999999</v>
      </c>
      <c r="K170" s="49">
        <v>0.26855468999999998</v>
      </c>
      <c r="L170" s="49">
        <v>0.2460937</v>
      </c>
      <c r="M170" s="49">
        <v>0.28515620000000003</v>
      </c>
      <c r="N170" s="49">
        <v>0.18847659999999999</v>
      </c>
      <c r="O170" s="50">
        <v>0.26855468999999998</v>
      </c>
      <c r="R170" s="76"/>
      <c r="S170" s="1" t="str">
        <f t="shared" si="21"/>
        <v>female</v>
      </c>
      <c r="T170" s="1">
        <f t="shared" si="22"/>
        <v>3</v>
      </c>
      <c r="U170" s="1">
        <f t="shared" si="23"/>
        <v>50</v>
      </c>
      <c r="V170" s="48">
        <v>0.2578125</v>
      </c>
      <c r="W170" s="49">
        <v>0.2265625</v>
      </c>
      <c r="X170" s="49">
        <v>0.23632810000000001</v>
      </c>
      <c r="Y170" s="49">
        <v>0.32617190000000001</v>
      </c>
      <c r="Z170" s="49">
        <v>0.2460937</v>
      </c>
      <c r="AA170" s="49">
        <v>0.28515620000000003</v>
      </c>
      <c r="AB170" s="49">
        <v>0.18847659999999999</v>
      </c>
      <c r="AC170" s="50">
        <v>0.26855468999999998</v>
      </c>
    </row>
    <row r="171" spans="1:29" x14ac:dyDescent="0.25">
      <c r="A171" s="1" t="str">
        <f t="shared" si="18"/>
        <v>male</v>
      </c>
      <c r="B171" s="1">
        <f t="shared" si="19"/>
        <v>3</v>
      </c>
      <c r="C171" s="1">
        <f t="shared" si="20"/>
        <v>51</v>
      </c>
      <c r="D171" s="48">
        <v>0.26757809999999999</v>
      </c>
      <c r="E171" s="49">
        <v>0.1367188</v>
      </c>
      <c r="F171" s="49">
        <v>0.80175779999999996</v>
      </c>
      <c r="G171" s="49">
        <v>0.3823242</v>
      </c>
      <c r="H171" s="49">
        <v>0.41503909999999999</v>
      </c>
      <c r="I171" s="49">
        <v>0.35449219999999998</v>
      </c>
      <c r="J171" s="49">
        <v>0.32714840000000001</v>
      </c>
      <c r="K171" s="49">
        <v>0.40234375</v>
      </c>
      <c r="L171" s="49">
        <v>0.41503909999999999</v>
      </c>
      <c r="M171" s="49">
        <v>0.35449219999999998</v>
      </c>
      <c r="N171" s="49">
        <v>0.32714840000000001</v>
      </c>
      <c r="O171" s="50">
        <v>0.40234375</v>
      </c>
      <c r="R171" s="76"/>
      <c r="S171" s="1" t="str">
        <f t="shared" si="21"/>
        <v>male</v>
      </c>
      <c r="T171" s="1">
        <f t="shared" si="22"/>
        <v>3</v>
      </c>
      <c r="U171" s="1">
        <f t="shared" si="23"/>
        <v>51</v>
      </c>
      <c r="V171" s="48">
        <v>0.26757809999999999</v>
      </c>
      <c r="W171" s="49">
        <v>0.1367188</v>
      </c>
      <c r="X171" s="49">
        <v>0.80175779999999996</v>
      </c>
      <c r="Y171" s="49">
        <v>0.3823242</v>
      </c>
      <c r="Z171" s="49">
        <v>0.41503909999999999</v>
      </c>
      <c r="AA171" s="49">
        <v>0.35449219999999998</v>
      </c>
      <c r="AB171" s="49">
        <v>0.32714840000000001</v>
      </c>
      <c r="AC171" s="50">
        <v>0.40234375</v>
      </c>
    </row>
    <row r="172" spans="1:29" x14ac:dyDescent="0.25">
      <c r="A172" s="1" t="str">
        <f t="shared" si="18"/>
        <v>female</v>
      </c>
      <c r="B172" s="1">
        <f t="shared" si="19"/>
        <v>2</v>
      </c>
      <c r="C172" s="1">
        <f t="shared" si="20"/>
        <v>54</v>
      </c>
      <c r="D172" s="48">
        <v>1.015625</v>
      </c>
      <c r="E172" s="49">
        <v>0.1367188</v>
      </c>
      <c r="F172" s="49">
        <v>0.2734375</v>
      </c>
      <c r="G172" s="49">
        <v>0.30859379999999997</v>
      </c>
      <c r="H172" s="49">
        <v>0.33105469999999998</v>
      </c>
      <c r="I172" s="49">
        <v>0.78125</v>
      </c>
      <c r="J172" s="49">
        <v>0.18652340000000001</v>
      </c>
      <c r="K172" s="49">
        <v>0.46484375</v>
      </c>
      <c r="L172" s="49">
        <v>0.33105469999999998</v>
      </c>
      <c r="M172" s="49">
        <v>0.78125</v>
      </c>
      <c r="N172" s="49">
        <v>0.18652340000000001</v>
      </c>
      <c r="O172" s="50">
        <v>0.46484375</v>
      </c>
      <c r="R172" s="76"/>
      <c r="S172" s="1" t="str">
        <f t="shared" si="21"/>
        <v>female</v>
      </c>
      <c r="T172" s="1">
        <f t="shared" si="22"/>
        <v>2</v>
      </c>
      <c r="U172" s="1">
        <f t="shared" si="23"/>
        <v>54</v>
      </c>
      <c r="V172" s="48">
        <v>0.53125</v>
      </c>
      <c r="W172" s="49">
        <v>0.1367188</v>
      </c>
      <c r="X172" s="49">
        <v>0.2734375</v>
      </c>
      <c r="Y172" s="49">
        <v>0.30859379999999997</v>
      </c>
      <c r="Z172" s="49">
        <v>0.33105469999999998</v>
      </c>
      <c r="AA172" s="49">
        <v>0.78125</v>
      </c>
      <c r="AB172" s="49">
        <v>0.18652340000000001</v>
      </c>
      <c r="AC172" s="50">
        <v>0.46484375</v>
      </c>
    </row>
    <row r="173" spans="1:29" x14ac:dyDescent="0.25">
      <c r="A173" s="1" t="str">
        <f t="shared" si="18"/>
        <v>male</v>
      </c>
      <c r="B173" s="1">
        <f t="shared" si="19"/>
        <v>2</v>
      </c>
      <c r="C173" s="1">
        <f t="shared" si="20"/>
        <v>55</v>
      </c>
      <c r="D173" s="48">
        <v>0.1367188</v>
      </c>
      <c r="E173" s="49">
        <v>1.03125</v>
      </c>
      <c r="F173" s="49">
        <v>0.1328125</v>
      </c>
      <c r="G173" s="49">
        <v>0.11035159999999999</v>
      </c>
      <c r="H173" s="49">
        <v>0.1054688</v>
      </c>
      <c r="I173" s="49">
        <v>0.1113281</v>
      </c>
      <c r="J173" s="49">
        <v>0.33007809999999999</v>
      </c>
      <c r="K173" s="49">
        <v>8.3984379999999997E-2</v>
      </c>
      <c r="L173" s="49">
        <v>0.1054688</v>
      </c>
      <c r="M173" s="49">
        <v>0.1113281</v>
      </c>
      <c r="N173" s="49">
        <v>0.33007809999999999</v>
      </c>
      <c r="O173" s="50">
        <v>8.3984379999999997E-2</v>
      </c>
      <c r="R173" s="76"/>
      <c r="S173" s="1" t="str">
        <f t="shared" si="21"/>
        <v>male</v>
      </c>
      <c r="T173" s="1">
        <f t="shared" si="22"/>
        <v>2</v>
      </c>
      <c r="U173" s="1">
        <f t="shared" si="23"/>
        <v>55</v>
      </c>
      <c r="V173" s="48">
        <v>0.1367188</v>
      </c>
      <c r="W173" s="49">
        <v>0.53125</v>
      </c>
      <c r="X173" s="49">
        <v>0.1328125</v>
      </c>
      <c r="Y173" s="49">
        <v>0.11035159999999999</v>
      </c>
      <c r="Z173" s="49">
        <v>0.1054688</v>
      </c>
      <c r="AA173" s="49">
        <v>0.1113281</v>
      </c>
      <c r="AB173" s="49">
        <v>0.33007809999999999</v>
      </c>
      <c r="AC173" s="50">
        <v>8.3984379999999997E-2</v>
      </c>
    </row>
    <row r="174" spans="1:29" x14ac:dyDescent="0.25">
      <c r="A174" s="1" t="str">
        <f t="shared" si="18"/>
        <v>female</v>
      </c>
      <c r="B174" s="1">
        <f t="shared" si="19"/>
        <v>2</v>
      </c>
      <c r="C174" s="1">
        <f t="shared" si="20"/>
        <v>56</v>
      </c>
      <c r="D174" s="48">
        <v>0.2734375</v>
      </c>
      <c r="E174" s="49">
        <v>0.1328125</v>
      </c>
      <c r="F174" s="49">
        <v>1.2333984</v>
      </c>
      <c r="G174" s="49">
        <v>0.54443359999999996</v>
      </c>
      <c r="H174" s="49">
        <v>0.57470699999999997</v>
      </c>
      <c r="I174" s="49">
        <v>0.35546879999999997</v>
      </c>
      <c r="J174" s="49">
        <v>0.48095700000000002</v>
      </c>
      <c r="K174" s="49">
        <v>0.3984375</v>
      </c>
      <c r="L174" s="49">
        <v>0.57470699999999997</v>
      </c>
      <c r="M174" s="49">
        <v>0.35546879999999997</v>
      </c>
      <c r="N174" s="49">
        <v>0.48095700000000002</v>
      </c>
      <c r="O174" s="50">
        <v>0.3984375</v>
      </c>
      <c r="R174" s="76"/>
      <c r="S174" s="1" t="str">
        <f t="shared" si="21"/>
        <v>female</v>
      </c>
      <c r="T174" s="1">
        <f t="shared" si="22"/>
        <v>2</v>
      </c>
      <c r="U174" s="1">
        <f t="shared" si="23"/>
        <v>56</v>
      </c>
      <c r="V174" s="48">
        <v>0.2734375</v>
      </c>
      <c r="W174" s="49">
        <v>0.1328125</v>
      </c>
      <c r="X174" s="49">
        <v>0.79589840000000001</v>
      </c>
      <c r="Y174" s="49">
        <v>0.54443359999999996</v>
      </c>
      <c r="Z174" s="49">
        <v>0.57470699999999997</v>
      </c>
      <c r="AA174" s="49">
        <v>0.35546879999999997</v>
      </c>
      <c r="AB174" s="49">
        <v>0.48095700000000002</v>
      </c>
      <c r="AC174" s="50">
        <v>0.3984375</v>
      </c>
    </row>
    <row r="175" spans="1:29" x14ac:dyDescent="0.25">
      <c r="A175" s="1" t="str">
        <f t="shared" si="18"/>
        <v>male</v>
      </c>
      <c r="B175" s="1">
        <f t="shared" si="19"/>
        <v>2</v>
      </c>
      <c r="C175" s="1">
        <f t="shared" si="20"/>
        <v>57</v>
      </c>
      <c r="D175" s="48">
        <v>0.30859379999999997</v>
      </c>
      <c r="E175" s="49">
        <v>0.11035159999999999</v>
      </c>
      <c r="F175" s="49">
        <v>0.54443359999999996</v>
      </c>
      <c r="G175" s="49">
        <v>1.1499022999999999</v>
      </c>
      <c r="H175" s="49">
        <v>0.54858399999999996</v>
      </c>
      <c r="I175" s="49">
        <v>0.41015620000000003</v>
      </c>
      <c r="J175" s="49">
        <v>0.41186519999999999</v>
      </c>
      <c r="K175" s="49">
        <v>0.45117188000000003</v>
      </c>
      <c r="L175" s="49">
        <v>0.54858399999999996</v>
      </c>
      <c r="M175" s="49">
        <v>0.41015620000000003</v>
      </c>
      <c r="N175" s="49">
        <v>0.41186519999999999</v>
      </c>
      <c r="O175" s="50">
        <v>0.45117188000000003</v>
      </c>
      <c r="R175" s="76"/>
      <c r="S175" s="1" t="str">
        <f t="shared" si="21"/>
        <v>male</v>
      </c>
      <c r="T175" s="1">
        <f t="shared" si="22"/>
        <v>2</v>
      </c>
      <c r="U175" s="1">
        <f t="shared" si="23"/>
        <v>57</v>
      </c>
      <c r="V175" s="48">
        <v>0.30859379999999997</v>
      </c>
      <c r="W175" s="49">
        <v>0.11035159999999999</v>
      </c>
      <c r="X175" s="49">
        <v>0.54443359999999996</v>
      </c>
      <c r="Y175" s="49">
        <v>0.71875</v>
      </c>
      <c r="Z175" s="49">
        <v>0.54858399999999996</v>
      </c>
      <c r="AA175" s="49">
        <v>0.41015620000000003</v>
      </c>
      <c r="AB175" s="49">
        <v>0.41186519999999999</v>
      </c>
      <c r="AC175" s="50">
        <v>0.45117188000000003</v>
      </c>
    </row>
    <row r="176" spans="1:29" x14ac:dyDescent="0.25">
      <c r="A176" s="1" t="str">
        <f t="shared" si="18"/>
        <v>female</v>
      </c>
      <c r="B176" s="1">
        <f t="shared" si="19"/>
        <v>1</v>
      </c>
      <c r="C176" s="1">
        <f t="shared" si="20"/>
        <v>58</v>
      </c>
      <c r="D176" s="48">
        <v>0.33105469999999998</v>
      </c>
      <c r="E176" s="49">
        <v>0.1054688</v>
      </c>
      <c r="F176" s="49">
        <v>0.57470699999999997</v>
      </c>
      <c r="G176" s="49">
        <v>0.54858399999999996</v>
      </c>
      <c r="H176" s="49">
        <v>1.1777344000000001</v>
      </c>
      <c r="I176" s="49">
        <v>0.4536133</v>
      </c>
      <c r="J176" s="49">
        <v>0.421875</v>
      </c>
      <c r="K176" s="49">
        <v>0.67382812000000003</v>
      </c>
      <c r="L176" s="49">
        <v>0.75292970000000004</v>
      </c>
      <c r="M176" s="49">
        <v>0.4536133</v>
      </c>
      <c r="N176" s="49">
        <v>0.421875</v>
      </c>
      <c r="O176" s="50">
        <v>0.67382812000000003</v>
      </c>
      <c r="R176" s="76"/>
      <c r="S176" s="1" t="str">
        <f t="shared" si="21"/>
        <v>female</v>
      </c>
      <c r="T176" s="1">
        <f t="shared" si="22"/>
        <v>1</v>
      </c>
      <c r="U176" s="1">
        <f t="shared" si="23"/>
        <v>58</v>
      </c>
      <c r="V176" s="48">
        <v>0.33105469999999998</v>
      </c>
      <c r="W176" s="49">
        <v>0.1054688</v>
      </c>
      <c r="X176" s="49">
        <v>0.57470699999999997</v>
      </c>
      <c r="Y176" s="49">
        <v>0.54858399999999996</v>
      </c>
      <c r="Z176" s="49">
        <v>0.75292970000000004</v>
      </c>
      <c r="AA176" s="49">
        <v>0.4536133</v>
      </c>
      <c r="AB176" s="49">
        <v>0.421875</v>
      </c>
      <c r="AC176" s="50">
        <v>0.67382812000000003</v>
      </c>
    </row>
    <row r="177" spans="1:30" x14ac:dyDescent="0.25">
      <c r="A177" s="1" t="str">
        <f t="shared" si="18"/>
        <v>male</v>
      </c>
      <c r="B177" s="1">
        <f t="shared" si="19"/>
        <v>1</v>
      </c>
      <c r="C177" s="1">
        <f t="shared" si="20"/>
        <v>59</v>
      </c>
      <c r="D177" s="51">
        <v>0.78125</v>
      </c>
      <c r="E177" s="52">
        <v>0.1113281</v>
      </c>
      <c r="F177" s="52">
        <v>0.35546870000000003</v>
      </c>
      <c r="G177" s="52">
        <v>0.41015620000000003</v>
      </c>
      <c r="H177" s="52">
        <v>0.4536133</v>
      </c>
      <c r="I177" s="52">
        <v>1.2734375</v>
      </c>
      <c r="J177" s="52">
        <v>0.21728520000000001</v>
      </c>
      <c r="K177" s="52">
        <v>0.67773437999999997</v>
      </c>
      <c r="L177" s="52">
        <v>0.4536133</v>
      </c>
      <c r="M177" s="52">
        <v>0.79296880000000003</v>
      </c>
      <c r="N177" s="52">
        <v>0.21728520000000001</v>
      </c>
      <c r="O177" s="53">
        <v>0.67773437999999997</v>
      </c>
      <c r="R177" s="76"/>
      <c r="S177" s="1" t="str">
        <f t="shared" si="21"/>
        <v>male</v>
      </c>
      <c r="T177" s="1">
        <f t="shared" si="22"/>
        <v>1</v>
      </c>
      <c r="U177" s="1">
        <f t="shared" si="23"/>
        <v>59</v>
      </c>
      <c r="V177" s="51">
        <v>0.5390625</v>
      </c>
      <c r="W177" s="52">
        <v>0.1113281</v>
      </c>
      <c r="X177" s="52">
        <v>0.35546870000000003</v>
      </c>
      <c r="Y177" s="52">
        <v>0.41015620000000003</v>
      </c>
      <c r="Z177" s="52">
        <v>0.4536133</v>
      </c>
      <c r="AA177" s="52">
        <v>0.79296880000000003</v>
      </c>
      <c r="AB177" s="52">
        <v>0.21728520000000001</v>
      </c>
      <c r="AC177" s="53">
        <v>0.67773437999999997</v>
      </c>
    </row>
    <row r="178" spans="1:30" x14ac:dyDescent="0.25">
      <c r="A178" s="1" t="str">
        <f t="shared" si="18"/>
        <v>female</v>
      </c>
      <c r="B178" s="1">
        <f t="shared" si="19"/>
        <v>1</v>
      </c>
      <c r="C178" s="1">
        <f t="shared" si="20"/>
        <v>60</v>
      </c>
      <c r="D178" s="48">
        <v>0.18652340000000001</v>
      </c>
      <c r="E178" s="49">
        <v>0.33007811999999997</v>
      </c>
      <c r="F178" s="49">
        <v>0.48095700000000002</v>
      </c>
      <c r="G178" s="49">
        <v>0.41186519999999999</v>
      </c>
      <c r="H178" s="49">
        <v>0.421875</v>
      </c>
      <c r="I178" s="49">
        <v>0.21728520000000001</v>
      </c>
      <c r="J178" s="49">
        <v>1.078125</v>
      </c>
      <c r="K178" s="49">
        <v>0.22851560000000001</v>
      </c>
      <c r="L178" s="49">
        <v>0.421875</v>
      </c>
      <c r="M178" s="49">
        <v>0.21728520000000001</v>
      </c>
      <c r="N178" s="49">
        <v>0.60644529999999996</v>
      </c>
      <c r="O178" s="50">
        <v>0.22851560000000001</v>
      </c>
      <c r="R178" s="76"/>
      <c r="S178" s="1" t="str">
        <f t="shared" si="21"/>
        <v>female</v>
      </c>
      <c r="T178" s="1">
        <f t="shared" si="22"/>
        <v>1</v>
      </c>
      <c r="U178" s="1">
        <f t="shared" si="23"/>
        <v>60</v>
      </c>
      <c r="V178" s="48">
        <v>0.18652340000000001</v>
      </c>
      <c r="W178" s="49">
        <v>0.33007811999999997</v>
      </c>
      <c r="X178" s="49">
        <v>0.48095700000000002</v>
      </c>
      <c r="Y178" s="49">
        <v>0.41186519999999999</v>
      </c>
      <c r="Z178" s="49">
        <v>0.421875</v>
      </c>
      <c r="AA178" s="49">
        <v>0.21728520000000001</v>
      </c>
      <c r="AB178" s="49">
        <v>0.60644529999999996</v>
      </c>
      <c r="AC178" s="50">
        <v>0.22851560000000001</v>
      </c>
      <c r="AD178" s="1"/>
    </row>
    <row r="179" spans="1:30" x14ac:dyDescent="0.25">
      <c r="A179" s="1" t="str">
        <f t="shared" si="18"/>
        <v>male</v>
      </c>
      <c r="B179" s="1">
        <f t="shared" si="19"/>
        <v>1</v>
      </c>
      <c r="C179" s="1">
        <f t="shared" si="20"/>
        <v>61</v>
      </c>
      <c r="D179" s="51">
        <v>0.46484379999999997</v>
      </c>
      <c r="E179" s="52">
        <v>8.3984379999999997E-2</v>
      </c>
      <c r="F179" s="52">
        <v>0.3984375</v>
      </c>
      <c r="G179" s="52">
        <v>0.45117190000000001</v>
      </c>
      <c r="H179" s="52">
        <v>0.67382810000000004</v>
      </c>
      <c r="I179" s="52">
        <v>0.67773439999999996</v>
      </c>
      <c r="J179" s="52">
        <v>0.22851560000000001</v>
      </c>
      <c r="K179" s="52">
        <v>1.359375</v>
      </c>
      <c r="L179" s="52">
        <v>0.67382810000000004</v>
      </c>
      <c r="M179" s="52">
        <v>0.67773439999999996</v>
      </c>
      <c r="N179" s="52">
        <v>0.22851560000000001</v>
      </c>
      <c r="O179" s="53">
        <v>0.921875</v>
      </c>
      <c r="R179" s="76"/>
      <c r="S179" s="1" t="str">
        <f t="shared" si="21"/>
        <v>male</v>
      </c>
      <c r="T179" s="1">
        <f t="shared" si="22"/>
        <v>1</v>
      </c>
      <c r="U179" s="1">
        <f t="shared" si="23"/>
        <v>61</v>
      </c>
      <c r="V179" s="51">
        <v>0.46484379999999997</v>
      </c>
      <c r="W179" s="52">
        <v>8.3984379999999997E-2</v>
      </c>
      <c r="X179" s="52">
        <v>0.3984375</v>
      </c>
      <c r="Y179" s="52">
        <v>0.45117190000000001</v>
      </c>
      <c r="Z179" s="52">
        <v>0.67382810000000004</v>
      </c>
      <c r="AA179" s="52">
        <v>0.67773439999999996</v>
      </c>
      <c r="AB179" s="52">
        <v>0.22851560000000001</v>
      </c>
      <c r="AC179" s="53">
        <v>0.921875</v>
      </c>
    </row>
    <row r="180" spans="1:30" x14ac:dyDescent="0.25">
      <c r="R180" s="76"/>
      <c r="S180" s="1"/>
      <c r="T180" s="24"/>
      <c r="U180" s="1"/>
    </row>
    <row r="181" spans="1:30" x14ac:dyDescent="0.25">
      <c r="B181" s="24"/>
      <c r="R181" s="76"/>
      <c r="T181" s="24"/>
    </row>
    <row r="182" spans="1:30" x14ac:dyDescent="0.25">
      <c r="A182" s="1"/>
      <c r="C182" s="1" t="s">
        <v>4</v>
      </c>
      <c r="D182" s="1" t="s">
        <v>12</v>
      </c>
      <c r="E182" s="1" t="s">
        <v>12</v>
      </c>
      <c r="F182" s="1" t="s">
        <v>11</v>
      </c>
      <c r="G182" s="1" t="s">
        <v>11</v>
      </c>
      <c r="R182" s="76"/>
      <c r="S182" s="1"/>
      <c r="U182" s="1" t="s">
        <v>4</v>
      </c>
      <c r="V182" s="1" t="s">
        <v>12</v>
      </c>
      <c r="W182" s="1" t="s">
        <v>12</v>
      </c>
      <c r="X182" s="1" t="s">
        <v>11</v>
      </c>
      <c r="Y182" s="1" t="s">
        <v>11</v>
      </c>
    </row>
    <row r="183" spans="1:30" x14ac:dyDescent="0.25">
      <c r="A183" s="1" t="s">
        <v>4</v>
      </c>
      <c r="B183" s="1" t="s">
        <v>60</v>
      </c>
      <c r="C183" s="1" t="s">
        <v>10</v>
      </c>
      <c r="D183" s="1">
        <v>2</v>
      </c>
      <c r="E183" s="1">
        <v>1</v>
      </c>
      <c r="F183" s="1">
        <v>2</v>
      </c>
      <c r="G183" s="1">
        <v>1</v>
      </c>
      <c r="R183" s="76"/>
      <c r="S183" s="1" t="s">
        <v>4</v>
      </c>
      <c r="T183" s="1" t="s">
        <v>60</v>
      </c>
      <c r="U183" s="1" t="s">
        <v>10</v>
      </c>
      <c r="V183" s="1">
        <v>2</v>
      </c>
      <c r="W183" s="1">
        <v>1</v>
      </c>
      <c r="X183" s="1">
        <v>2</v>
      </c>
      <c r="Y183" s="1">
        <v>1</v>
      </c>
    </row>
    <row r="184" spans="1:30" x14ac:dyDescent="0.25">
      <c r="A184" s="1" t="str">
        <f t="shared" ref="A184:B184" si="24">A168</f>
        <v>female</v>
      </c>
      <c r="B184" s="1">
        <f t="shared" si="24"/>
        <v>3</v>
      </c>
      <c r="C184" s="1">
        <f>C168</f>
        <v>48</v>
      </c>
      <c r="D184" s="88">
        <f t="array" ref="D184:G193">MMULT(A_1b_matrix,J_matrix)</f>
        <v>0.32421875</v>
      </c>
      <c r="E184" s="89">
        <v>0.3203125</v>
      </c>
      <c r="F184" s="88">
        <v>0.1328125</v>
      </c>
      <c r="G184" s="90">
        <v>9.375E-2</v>
      </c>
      <c r="I184" s="38"/>
      <c r="R184" s="76"/>
      <c r="S184" s="1" t="str">
        <f t="shared" ref="S184:T184" si="25">S168</f>
        <v>female</v>
      </c>
      <c r="T184" s="1">
        <f t="shared" si="25"/>
        <v>3</v>
      </c>
      <c r="U184" s="1">
        <f>U168</f>
        <v>48</v>
      </c>
      <c r="V184" s="88">
        <f t="array" ref="V184:Y193">MMULT(A_c1f_matrix,J_f_matrix)</f>
        <v>0.228515625</v>
      </c>
      <c r="W184" s="89">
        <v>0.20703125</v>
      </c>
      <c r="X184" s="88">
        <v>0.228515625</v>
      </c>
      <c r="Y184" s="90">
        <v>0.20703125</v>
      </c>
    </row>
    <row r="185" spans="1:30" x14ac:dyDescent="0.25">
      <c r="A185" s="1" t="str">
        <f t="shared" ref="A185:C185" si="26">A169</f>
        <v>male</v>
      </c>
      <c r="B185" s="1">
        <f t="shared" si="26"/>
        <v>3</v>
      </c>
      <c r="C185" s="1">
        <f t="shared" si="26"/>
        <v>49</v>
      </c>
      <c r="D185" s="12">
        <v>0.4177246</v>
      </c>
      <c r="E185" s="13">
        <v>0.51464842500000008</v>
      </c>
      <c r="F185" s="12">
        <v>0.53466800000000003</v>
      </c>
      <c r="G185" s="14">
        <v>0.54541015000000004</v>
      </c>
      <c r="I185" s="38"/>
      <c r="R185" s="76"/>
      <c r="S185" s="1" t="str">
        <f t="shared" ref="S185:U195" si="27">S169</f>
        <v>male</v>
      </c>
      <c r="T185" s="1">
        <f t="shared" si="27"/>
        <v>3</v>
      </c>
      <c r="U185" s="1">
        <f t="shared" si="27"/>
        <v>49</v>
      </c>
      <c r="V185" s="12">
        <v>0.47619630000000002</v>
      </c>
      <c r="W185" s="13">
        <v>0.5300292875</v>
      </c>
      <c r="X185" s="12">
        <v>0.47619630000000002</v>
      </c>
      <c r="Y185" s="14">
        <v>0.5300292875</v>
      </c>
    </row>
    <row r="186" spans="1:30" x14ac:dyDescent="0.25">
      <c r="A186" s="1" t="str">
        <f t="shared" ref="A186:C186" si="28">A170</f>
        <v>female</v>
      </c>
      <c r="B186" s="1">
        <f t="shared" si="28"/>
        <v>3</v>
      </c>
      <c r="C186" s="1">
        <f t="shared" si="28"/>
        <v>50</v>
      </c>
      <c r="D186" s="12">
        <v>0.27636720000000004</v>
      </c>
      <c r="E186" s="13">
        <v>0.22851564499999999</v>
      </c>
      <c r="F186" s="12">
        <v>0.24707030000000002</v>
      </c>
      <c r="G186" s="14">
        <v>0.26562495000000003</v>
      </c>
      <c r="I186" s="38"/>
      <c r="R186" s="76"/>
      <c r="S186" s="1" t="str">
        <f t="shared" si="27"/>
        <v>female</v>
      </c>
      <c r="T186" s="1">
        <f t="shared" si="27"/>
        <v>3</v>
      </c>
      <c r="U186" s="1">
        <f t="shared" si="27"/>
        <v>50</v>
      </c>
      <c r="V186" s="12">
        <v>0.26171875</v>
      </c>
      <c r="W186" s="13">
        <v>0.24707029750000001</v>
      </c>
      <c r="X186" s="12">
        <v>0.26171875</v>
      </c>
      <c r="Y186" s="14">
        <v>0.24707029750000001</v>
      </c>
    </row>
    <row r="187" spans="1:30" x14ac:dyDescent="0.25">
      <c r="A187" s="1" t="str">
        <f t="shared" ref="A187:C187" si="29">A171</f>
        <v>male</v>
      </c>
      <c r="B187" s="1">
        <f t="shared" si="29"/>
        <v>3</v>
      </c>
      <c r="C187" s="1">
        <f t="shared" si="29"/>
        <v>51</v>
      </c>
      <c r="D187" s="12">
        <v>0.25952150000000002</v>
      </c>
      <c r="E187" s="13">
        <v>0.364746075</v>
      </c>
      <c r="F187" s="12">
        <v>0.53466795</v>
      </c>
      <c r="G187" s="14">
        <v>0.38476564999999996</v>
      </c>
      <c r="I187" s="38"/>
      <c r="R187" s="76"/>
      <c r="S187" s="1" t="str">
        <f t="shared" si="27"/>
        <v>male</v>
      </c>
      <c r="T187" s="1">
        <f t="shared" si="27"/>
        <v>3</v>
      </c>
      <c r="U187" s="1">
        <f t="shared" si="27"/>
        <v>51</v>
      </c>
      <c r="V187" s="12">
        <v>0.39709472499999998</v>
      </c>
      <c r="W187" s="13">
        <v>0.37475586249999998</v>
      </c>
      <c r="X187" s="12">
        <v>0.39709472499999998</v>
      </c>
      <c r="Y187" s="14">
        <v>0.37475586249999998</v>
      </c>
    </row>
    <row r="188" spans="1:30" x14ac:dyDescent="0.25">
      <c r="A188" s="1" t="str">
        <f t="shared" ref="A188:C188" si="30">A172</f>
        <v>female</v>
      </c>
      <c r="B188" s="1">
        <f t="shared" si="30"/>
        <v>2</v>
      </c>
      <c r="C188" s="1">
        <f t="shared" si="30"/>
        <v>54</v>
      </c>
      <c r="D188" s="12">
        <v>0.22265629999999997</v>
      </c>
      <c r="E188" s="13">
        <v>0.325683575</v>
      </c>
      <c r="F188" s="12">
        <v>0.64453125</v>
      </c>
      <c r="G188" s="14">
        <v>0.55615234999999996</v>
      </c>
      <c r="I188" s="38"/>
      <c r="R188" s="76"/>
      <c r="S188" s="1" t="str">
        <f t="shared" si="27"/>
        <v>female</v>
      </c>
      <c r="T188" s="1">
        <f t="shared" si="27"/>
        <v>2</v>
      </c>
      <c r="U188" s="1">
        <f t="shared" si="27"/>
        <v>54</v>
      </c>
      <c r="V188" s="12">
        <v>0.31250002500000001</v>
      </c>
      <c r="W188" s="13">
        <v>0.44091796249999998</v>
      </c>
      <c r="X188" s="12">
        <v>0.31250002500000001</v>
      </c>
      <c r="Y188" s="14">
        <v>0.44091796249999998</v>
      </c>
    </row>
    <row r="189" spans="1:30" x14ac:dyDescent="0.25">
      <c r="A189" s="1" t="str">
        <f t="shared" ref="A189:C189" si="31">A173</f>
        <v>male</v>
      </c>
      <c r="B189" s="1">
        <f t="shared" si="31"/>
        <v>2</v>
      </c>
      <c r="C189" s="1">
        <f t="shared" si="31"/>
        <v>55</v>
      </c>
      <c r="D189" s="12">
        <v>0.5708008</v>
      </c>
      <c r="E189" s="13">
        <v>0.20703124000000001</v>
      </c>
      <c r="F189" s="12">
        <v>0.13476565000000001</v>
      </c>
      <c r="G189" s="14">
        <v>0.10839844999999999</v>
      </c>
      <c r="I189" s="38"/>
      <c r="R189" s="76"/>
      <c r="S189" s="1" t="str">
        <f t="shared" si="27"/>
        <v>male</v>
      </c>
      <c r="T189" s="1">
        <f t="shared" si="27"/>
        <v>2</v>
      </c>
      <c r="U189" s="1">
        <f t="shared" si="27"/>
        <v>55</v>
      </c>
      <c r="V189" s="12">
        <v>0.22778322500000001</v>
      </c>
      <c r="W189" s="13">
        <v>0.15771484499999999</v>
      </c>
      <c r="X189" s="12">
        <v>0.22778322500000001</v>
      </c>
      <c r="Y189" s="14">
        <v>0.15771484499999999</v>
      </c>
    </row>
    <row r="190" spans="1:30" x14ac:dyDescent="0.25">
      <c r="A190" s="1" t="str">
        <f t="shared" ref="A190:C190" si="32">A174</f>
        <v>female</v>
      </c>
      <c r="B190" s="1">
        <f t="shared" si="32"/>
        <v>2</v>
      </c>
      <c r="C190" s="1">
        <f t="shared" si="32"/>
        <v>56</v>
      </c>
      <c r="D190" s="12">
        <v>0.33862304999999998</v>
      </c>
      <c r="E190" s="13">
        <v>0.43969725000000004</v>
      </c>
      <c r="F190" s="12">
        <v>0.75341795</v>
      </c>
      <c r="G190" s="14">
        <v>0.46508789999999994</v>
      </c>
      <c r="I190" s="38"/>
      <c r="R190" s="76"/>
      <c r="S190" s="1" t="str">
        <f t="shared" si="27"/>
        <v>female</v>
      </c>
      <c r="T190" s="1">
        <f t="shared" si="27"/>
        <v>2</v>
      </c>
      <c r="U190" s="1">
        <f t="shared" si="27"/>
        <v>56</v>
      </c>
      <c r="V190" s="12">
        <v>0.43664550000000002</v>
      </c>
      <c r="W190" s="13">
        <v>0.45239257500000002</v>
      </c>
      <c r="X190" s="12">
        <v>0.43664550000000002</v>
      </c>
      <c r="Y190" s="14">
        <v>0.45239257500000002</v>
      </c>
    </row>
    <row r="191" spans="1:30" x14ac:dyDescent="0.25">
      <c r="A191" s="1" t="str">
        <f t="shared" ref="A191:C191" si="33">A175</f>
        <v>male</v>
      </c>
      <c r="B191" s="1">
        <f t="shared" si="33"/>
        <v>2</v>
      </c>
      <c r="C191" s="1">
        <f t="shared" si="33"/>
        <v>57</v>
      </c>
      <c r="D191" s="12">
        <v>0.63012694999999996</v>
      </c>
      <c r="E191" s="13">
        <v>0.43151854000000001</v>
      </c>
      <c r="F191" s="12">
        <v>0.4265137</v>
      </c>
      <c r="G191" s="14">
        <v>0.47937010000000002</v>
      </c>
      <c r="I191" s="38"/>
      <c r="R191" s="76"/>
      <c r="S191" s="1" t="str">
        <f t="shared" si="27"/>
        <v>male</v>
      </c>
      <c r="T191" s="1">
        <f t="shared" si="27"/>
        <v>2</v>
      </c>
      <c r="U191" s="1">
        <f t="shared" si="27"/>
        <v>57</v>
      </c>
      <c r="V191" s="12">
        <v>0.42053225</v>
      </c>
      <c r="W191" s="13">
        <v>0.45544432000000001</v>
      </c>
      <c r="X191" s="12">
        <v>0.42053225</v>
      </c>
      <c r="Y191" s="14">
        <v>0.45544432000000001</v>
      </c>
    </row>
    <row r="192" spans="1:30" x14ac:dyDescent="0.25">
      <c r="A192" s="1" t="str">
        <f t="shared" ref="A192:C192" si="34">A176</f>
        <v>female</v>
      </c>
      <c r="B192" s="1">
        <f t="shared" si="34"/>
        <v>1</v>
      </c>
      <c r="C192" s="1">
        <f t="shared" si="34"/>
        <v>58</v>
      </c>
      <c r="D192" s="12">
        <v>0.32702639999999999</v>
      </c>
      <c r="E192" s="13">
        <v>0.54785156000000002</v>
      </c>
      <c r="F192" s="12">
        <v>0.45288085</v>
      </c>
      <c r="G192" s="14">
        <v>0.709472675</v>
      </c>
      <c r="I192" s="38"/>
      <c r="R192" s="76"/>
      <c r="S192" s="1" t="str">
        <f t="shared" si="27"/>
        <v>female</v>
      </c>
      <c r="T192" s="1">
        <f t="shared" si="27"/>
        <v>1</v>
      </c>
      <c r="U192" s="1">
        <f t="shared" si="27"/>
        <v>58</v>
      </c>
      <c r="V192" s="12">
        <v>0.38995362499999997</v>
      </c>
      <c r="W192" s="13">
        <v>0.57556152999999999</v>
      </c>
      <c r="X192" s="12">
        <v>0.38995362499999997</v>
      </c>
      <c r="Y192" s="14">
        <v>0.57556152999999999</v>
      </c>
    </row>
    <row r="193" spans="1:25" x14ac:dyDescent="0.25">
      <c r="A193" s="1" t="str">
        <f t="shared" ref="A193:C193" si="35">A177</f>
        <v>male</v>
      </c>
      <c r="B193" s="1">
        <f t="shared" si="35"/>
        <v>1</v>
      </c>
      <c r="C193" s="1">
        <f t="shared" si="35"/>
        <v>59</v>
      </c>
      <c r="D193" s="15">
        <v>0.26074215000000001</v>
      </c>
      <c r="E193" s="16">
        <v>0.44750979000000002</v>
      </c>
      <c r="F193" s="15">
        <v>0.56835935000000004</v>
      </c>
      <c r="G193" s="17">
        <v>0.74340822500000003</v>
      </c>
      <c r="I193" s="38"/>
      <c r="R193" s="76"/>
      <c r="S193" s="1" t="str">
        <f t="shared" si="27"/>
        <v>male</v>
      </c>
      <c r="T193" s="1">
        <f t="shared" si="27"/>
        <v>1</v>
      </c>
      <c r="U193" s="1">
        <f t="shared" si="27"/>
        <v>59</v>
      </c>
      <c r="V193" s="15">
        <v>0.35400387500000002</v>
      </c>
      <c r="W193" s="16">
        <v>0.53540041999999999</v>
      </c>
      <c r="X193" s="15">
        <v>0.35400387500000002</v>
      </c>
      <c r="Y193" s="17">
        <v>0.53540041999999999</v>
      </c>
    </row>
    <row r="194" spans="1:25" x14ac:dyDescent="0.25">
      <c r="A194" s="1" t="str">
        <f t="shared" ref="A194:C194" si="36">A178</f>
        <v>female</v>
      </c>
      <c r="B194" s="1">
        <f t="shared" si="36"/>
        <v>1</v>
      </c>
      <c r="C194" s="1">
        <f t="shared" si="36"/>
        <v>60</v>
      </c>
      <c r="D194" s="60">
        <f t="array" ref="D194:G195">MMULT(A_2b_matrix,J_matrix)</f>
        <v>0.37097165999999998</v>
      </c>
      <c r="E194" s="61">
        <v>0.53540037500000004</v>
      </c>
      <c r="F194" s="60">
        <v>0.33374020000000004</v>
      </c>
      <c r="G194" s="65">
        <v>0.31958010000000003</v>
      </c>
      <c r="I194" s="38"/>
      <c r="R194" s="76"/>
      <c r="S194" s="1" t="str">
        <f t="shared" si="27"/>
        <v>female</v>
      </c>
      <c r="T194" s="1">
        <f t="shared" si="27"/>
        <v>1</v>
      </c>
      <c r="U194" s="1">
        <f t="shared" si="27"/>
        <v>60</v>
      </c>
      <c r="V194" s="60">
        <f t="array" ref="V194:Y195">MMULT(A_c2f_matrix,J_f_matrix)</f>
        <v>0.35235593000000004</v>
      </c>
      <c r="W194" s="61">
        <v>0.36853027499999996</v>
      </c>
      <c r="X194" s="60">
        <v>0.35235593000000004</v>
      </c>
      <c r="Y194" s="65">
        <v>0.36853027499999996</v>
      </c>
    </row>
    <row r="195" spans="1:25" x14ac:dyDescent="0.25">
      <c r="A195" s="1" t="str">
        <f t="shared" ref="A195:C195" si="37">A179</f>
        <v>male</v>
      </c>
      <c r="B195" s="1">
        <f t="shared" si="37"/>
        <v>1</v>
      </c>
      <c r="C195" s="1">
        <f t="shared" si="37"/>
        <v>61</v>
      </c>
      <c r="D195" s="62">
        <v>0.26757814000000002</v>
      </c>
      <c r="E195" s="63">
        <v>0.68457029999999996</v>
      </c>
      <c r="F195" s="62">
        <v>0.43164064999999996</v>
      </c>
      <c r="G195" s="87">
        <v>0.67578125</v>
      </c>
      <c r="I195" s="38"/>
      <c r="R195" s="76"/>
      <c r="S195" s="1" t="str">
        <f t="shared" si="27"/>
        <v>male</v>
      </c>
      <c r="T195" s="1">
        <f t="shared" si="27"/>
        <v>1</v>
      </c>
      <c r="U195" s="1">
        <f t="shared" si="27"/>
        <v>61</v>
      </c>
      <c r="V195" s="62">
        <v>0.34960939499999999</v>
      </c>
      <c r="W195" s="63">
        <v>0.62548827499999993</v>
      </c>
      <c r="X195" s="62">
        <v>0.34960939499999999</v>
      </c>
      <c r="Y195" s="87">
        <v>0.62548827499999993</v>
      </c>
    </row>
    <row r="196" spans="1:25" x14ac:dyDescent="0.25">
      <c r="R196" s="76"/>
    </row>
    <row r="197" spans="1:25" s="69" customFormat="1" ht="18" x14ac:dyDescent="0.35">
      <c r="A197" s="70" t="s">
        <v>58</v>
      </c>
      <c r="Q197" s="71"/>
      <c r="R197" s="71"/>
    </row>
    <row r="198" spans="1:25" x14ac:dyDescent="0.25">
      <c r="R198" s="30"/>
    </row>
    <row r="199" spans="1:25" x14ac:dyDescent="0.25">
      <c r="B199" s="1"/>
      <c r="C199" s="1"/>
    </row>
    <row r="200" spans="1:25" x14ac:dyDescent="0.25">
      <c r="B200" s="5"/>
      <c r="C200" s="1" t="s">
        <v>4</v>
      </c>
      <c r="D200" s="1" t="s">
        <v>12</v>
      </c>
      <c r="E200" s="1" t="s">
        <v>12</v>
      </c>
      <c r="F200" s="1" t="s">
        <v>11</v>
      </c>
      <c r="G200" s="1" t="s">
        <v>11</v>
      </c>
    </row>
    <row r="201" spans="1:25" x14ac:dyDescent="0.25">
      <c r="B201" s="1" t="s">
        <v>4</v>
      </c>
      <c r="C201" s="1" t="s">
        <v>60</v>
      </c>
      <c r="D201" s="1">
        <v>2</v>
      </c>
      <c r="E201" s="1">
        <v>1</v>
      </c>
      <c r="F201" s="1">
        <v>2</v>
      </c>
      <c r="G201" s="1">
        <v>1</v>
      </c>
      <c r="I201" s="38"/>
    </row>
    <row r="202" spans="1:25" x14ac:dyDescent="0.25">
      <c r="B202" s="1" t="s">
        <v>12</v>
      </c>
      <c r="C202" s="1">
        <v>2</v>
      </c>
      <c r="D202" s="9">
        <f t="array" ref="D202:G205">IF(B3="Hamilton",A_bar_b_b_Hamilton_matrix,IF(B3="Meuwissen_Sonesson",A_bar_b_b_Meuwissen_matrix,""))</f>
        <v>0.60046386500000004</v>
      </c>
      <c r="E202" s="11">
        <v>0.31927488749999999</v>
      </c>
      <c r="F202" s="9">
        <v>0.28063965000000002</v>
      </c>
      <c r="G202" s="11">
        <v>0.29388427500000003</v>
      </c>
      <c r="I202" s="38"/>
    </row>
    <row r="203" spans="1:25" x14ac:dyDescent="0.25">
      <c r="B203" s="1" t="s">
        <v>12</v>
      </c>
      <c r="C203" s="1">
        <v>1</v>
      </c>
      <c r="D203" s="15">
        <v>0.31927490000000003</v>
      </c>
      <c r="E203" s="17">
        <v>0.60998534250000003</v>
      </c>
      <c r="F203" s="15">
        <v>0.382690425</v>
      </c>
      <c r="G203" s="17">
        <v>0.49768067500000002</v>
      </c>
      <c r="I203" s="38"/>
    </row>
    <row r="204" spans="1:25" x14ac:dyDescent="0.25">
      <c r="B204" s="1" t="s">
        <v>11</v>
      </c>
      <c r="C204" s="1">
        <v>2</v>
      </c>
      <c r="D204" s="9">
        <v>0.28063963749999998</v>
      </c>
      <c r="E204" s="11">
        <v>0.38269041250000002</v>
      </c>
      <c r="F204" s="9">
        <v>0.6989746</v>
      </c>
      <c r="G204" s="11">
        <v>0.51062010000000002</v>
      </c>
    </row>
    <row r="205" spans="1:25" x14ac:dyDescent="0.25">
      <c r="B205" s="1" t="s">
        <v>11</v>
      </c>
      <c r="C205" s="1">
        <v>1</v>
      </c>
      <c r="D205" s="15">
        <v>0.29388426750000002</v>
      </c>
      <c r="E205" s="17">
        <v>0.49768067500000002</v>
      </c>
      <c r="F205" s="15">
        <v>0.51062010000000002</v>
      </c>
      <c r="G205" s="17">
        <v>0.72644043749999998</v>
      </c>
      <c r="Q205" s="30"/>
      <c r="R205" s="30"/>
    </row>
    <row r="206" spans="1:25" x14ac:dyDescent="0.25">
      <c r="B206" s="1"/>
      <c r="Q206" s="30"/>
      <c r="R206" s="30"/>
    </row>
    <row r="207" spans="1:25" x14ac:dyDescent="0.25">
      <c r="B207" s="24"/>
      <c r="Q207" s="30"/>
      <c r="R207" s="30"/>
    </row>
    <row r="208" spans="1:25" x14ac:dyDescent="0.25">
      <c r="A208" s="1"/>
      <c r="C208" s="1" t="s">
        <v>4</v>
      </c>
      <c r="D208" s="1" t="s">
        <v>12</v>
      </c>
      <c r="E208" s="1" t="s">
        <v>12</v>
      </c>
      <c r="F208" s="1" t="s">
        <v>11</v>
      </c>
      <c r="G208" s="1" t="s">
        <v>11</v>
      </c>
      <c r="Q208" s="30"/>
      <c r="R208" s="30"/>
    </row>
    <row r="209" spans="1:18" x14ac:dyDescent="0.25">
      <c r="A209" s="1" t="s">
        <v>4</v>
      </c>
      <c r="B209" s="1" t="s">
        <v>60</v>
      </c>
      <c r="C209" s="1" t="s">
        <v>10</v>
      </c>
      <c r="D209" s="1">
        <v>2</v>
      </c>
      <c r="E209" s="1">
        <v>1</v>
      </c>
      <c r="F209" s="1">
        <v>2</v>
      </c>
      <c r="G209" s="1">
        <v>1</v>
      </c>
      <c r="Q209" s="30"/>
      <c r="R209" s="30"/>
    </row>
    <row r="210" spans="1:18" x14ac:dyDescent="0.25">
      <c r="A210" s="1" t="str">
        <f t="shared" ref="A210:B210" si="38">A184</f>
        <v>female</v>
      </c>
      <c r="B210" s="1">
        <f t="shared" si="38"/>
        <v>3</v>
      </c>
      <c r="C210" s="1">
        <f>C184</f>
        <v>48</v>
      </c>
      <c r="D210" s="88">
        <f t="array" ref="D210:G219">IF(B3="Hamilton",M_1_Hamilton_matrix,IF(B3="Meuwissen_Sonesson",M_1_Meuwissen_matrix,""))</f>
        <v>0.32421875</v>
      </c>
      <c r="E210" s="89">
        <v>0.3203125</v>
      </c>
      <c r="F210" s="88">
        <v>0.1328125</v>
      </c>
      <c r="G210" s="90">
        <v>9.375E-2</v>
      </c>
      <c r="Q210" s="30"/>
      <c r="R210" s="30"/>
    </row>
    <row r="211" spans="1:18" x14ac:dyDescent="0.25">
      <c r="A211" s="1" t="str">
        <f t="shared" ref="A211:C221" si="39">A185</f>
        <v>male</v>
      </c>
      <c r="B211" s="1">
        <f t="shared" si="39"/>
        <v>3</v>
      </c>
      <c r="C211" s="1">
        <f t="shared" si="39"/>
        <v>49</v>
      </c>
      <c r="D211" s="12">
        <v>0.4177246</v>
      </c>
      <c r="E211" s="13">
        <v>0.51464842500000008</v>
      </c>
      <c r="F211" s="12">
        <v>0.53466800000000003</v>
      </c>
      <c r="G211" s="14">
        <v>0.54541015000000004</v>
      </c>
      <c r="Q211" s="30"/>
      <c r="R211" s="30"/>
    </row>
    <row r="212" spans="1:18" x14ac:dyDescent="0.25">
      <c r="A212" s="1" t="str">
        <f t="shared" si="39"/>
        <v>female</v>
      </c>
      <c r="B212" s="1">
        <f t="shared" si="39"/>
        <v>3</v>
      </c>
      <c r="C212" s="1">
        <f t="shared" si="39"/>
        <v>50</v>
      </c>
      <c r="D212" s="12">
        <v>0.27636720000000004</v>
      </c>
      <c r="E212" s="13">
        <v>0.22851564499999999</v>
      </c>
      <c r="F212" s="12">
        <v>0.24707030000000002</v>
      </c>
      <c r="G212" s="14">
        <v>0.26562495000000003</v>
      </c>
      <c r="Q212" s="30"/>
      <c r="R212" s="30"/>
    </row>
    <row r="213" spans="1:18" x14ac:dyDescent="0.25">
      <c r="A213" s="1" t="str">
        <f t="shared" si="39"/>
        <v>male</v>
      </c>
      <c r="B213" s="1">
        <f t="shared" si="39"/>
        <v>3</v>
      </c>
      <c r="C213" s="1">
        <f t="shared" si="39"/>
        <v>51</v>
      </c>
      <c r="D213" s="12">
        <v>0.25952150000000002</v>
      </c>
      <c r="E213" s="13">
        <v>0.364746075</v>
      </c>
      <c r="F213" s="12">
        <v>0.53466795</v>
      </c>
      <c r="G213" s="14">
        <v>0.38476564999999996</v>
      </c>
      <c r="Q213" s="30"/>
      <c r="R213" s="30"/>
    </row>
    <row r="214" spans="1:18" x14ac:dyDescent="0.25">
      <c r="A214" s="1" t="str">
        <f t="shared" si="39"/>
        <v>female</v>
      </c>
      <c r="B214" s="1">
        <f t="shared" si="39"/>
        <v>2</v>
      </c>
      <c r="C214" s="1">
        <f t="shared" si="39"/>
        <v>54</v>
      </c>
      <c r="D214" s="12">
        <v>0.22265629999999997</v>
      </c>
      <c r="E214" s="13">
        <v>0.325683575</v>
      </c>
      <c r="F214" s="12">
        <v>0.64453125</v>
      </c>
      <c r="G214" s="14">
        <v>0.55615234999999996</v>
      </c>
      <c r="Q214" s="30"/>
      <c r="R214" s="30"/>
    </row>
    <row r="215" spans="1:18" x14ac:dyDescent="0.25">
      <c r="A215" s="1" t="str">
        <f t="shared" si="39"/>
        <v>male</v>
      </c>
      <c r="B215" s="1">
        <f t="shared" si="39"/>
        <v>2</v>
      </c>
      <c r="C215" s="1">
        <f t="shared" si="39"/>
        <v>55</v>
      </c>
      <c r="D215" s="12">
        <v>0.5708008</v>
      </c>
      <c r="E215" s="13">
        <v>0.20703124000000001</v>
      </c>
      <c r="F215" s="12">
        <v>0.13476565000000001</v>
      </c>
      <c r="G215" s="14">
        <v>0.10839844999999999</v>
      </c>
      <c r="Q215" s="30"/>
      <c r="R215" s="30"/>
    </row>
    <row r="216" spans="1:18" x14ac:dyDescent="0.25">
      <c r="A216" s="1" t="str">
        <f t="shared" si="39"/>
        <v>female</v>
      </c>
      <c r="B216" s="1">
        <f t="shared" si="39"/>
        <v>2</v>
      </c>
      <c r="C216" s="1">
        <f t="shared" si="39"/>
        <v>56</v>
      </c>
      <c r="D216" s="12">
        <v>0.33862304999999998</v>
      </c>
      <c r="E216" s="13">
        <v>0.43969725000000004</v>
      </c>
      <c r="F216" s="12">
        <v>0.75341795</v>
      </c>
      <c r="G216" s="14">
        <v>0.46508789999999994</v>
      </c>
      <c r="Q216" s="30"/>
      <c r="R216" s="30"/>
    </row>
    <row r="217" spans="1:18" x14ac:dyDescent="0.25">
      <c r="A217" s="1" t="str">
        <f t="shared" si="39"/>
        <v>male</v>
      </c>
      <c r="B217" s="1">
        <f t="shared" si="39"/>
        <v>2</v>
      </c>
      <c r="C217" s="1">
        <f t="shared" si="39"/>
        <v>57</v>
      </c>
      <c r="D217" s="12">
        <v>0.63012694999999996</v>
      </c>
      <c r="E217" s="13">
        <v>0.43151854000000001</v>
      </c>
      <c r="F217" s="12">
        <v>0.4265137</v>
      </c>
      <c r="G217" s="14">
        <v>0.47937010000000002</v>
      </c>
      <c r="Q217" s="30"/>
      <c r="R217" s="30"/>
    </row>
    <row r="218" spans="1:18" x14ac:dyDescent="0.25">
      <c r="A218" s="1" t="str">
        <f t="shared" si="39"/>
        <v>female</v>
      </c>
      <c r="B218" s="1">
        <f t="shared" si="39"/>
        <v>1</v>
      </c>
      <c r="C218" s="1">
        <f t="shared" si="39"/>
        <v>58</v>
      </c>
      <c r="D218" s="12">
        <v>0.32702639999999999</v>
      </c>
      <c r="E218" s="13">
        <v>0.54785156000000002</v>
      </c>
      <c r="F218" s="12">
        <v>0.45288085</v>
      </c>
      <c r="G218" s="14">
        <v>0.709472675</v>
      </c>
      <c r="Q218" s="30"/>
      <c r="R218" s="30"/>
    </row>
    <row r="219" spans="1:18" x14ac:dyDescent="0.25">
      <c r="A219" s="1" t="str">
        <f t="shared" si="39"/>
        <v>male</v>
      </c>
      <c r="B219" s="1">
        <f t="shared" si="39"/>
        <v>1</v>
      </c>
      <c r="C219" s="1">
        <f t="shared" si="39"/>
        <v>59</v>
      </c>
      <c r="D219" s="15">
        <v>0.26074215000000001</v>
      </c>
      <c r="E219" s="16">
        <v>0.44750979000000002</v>
      </c>
      <c r="F219" s="15">
        <v>0.56835935000000004</v>
      </c>
      <c r="G219" s="17">
        <v>0.74340822500000003</v>
      </c>
      <c r="Q219" s="30"/>
      <c r="R219" s="30"/>
    </row>
    <row r="220" spans="1:18" x14ac:dyDescent="0.25">
      <c r="A220" s="1" t="str">
        <f t="shared" si="39"/>
        <v>female</v>
      </c>
      <c r="B220" s="1">
        <f t="shared" si="39"/>
        <v>1</v>
      </c>
      <c r="C220" s="1">
        <f t="shared" si="39"/>
        <v>60</v>
      </c>
      <c r="D220" s="60">
        <f t="array" ref="D220:G221">IF(B3="Hamilton",M_2_Hamilton_matrix,IF(B3="Meuwissen_Sonesson",M_2_Meuwissen_matrix,""))</f>
        <v>0.37097165999999998</v>
      </c>
      <c r="E220" s="61">
        <v>0.53540037500000004</v>
      </c>
      <c r="F220" s="60">
        <v>0.33374020000000004</v>
      </c>
      <c r="G220" s="65">
        <v>0.31958010000000003</v>
      </c>
      <c r="Q220" s="30"/>
      <c r="R220" s="30"/>
    </row>
    <row r="221" spans="1:18" x14ac:dyDescent="0.25">
      <c r="A221" s="1" t="str">
        <f t="shared" si="39"/>
        <v>male</v>
      </c>
      <c r="B221" s="1">
        <f t="shared" si="39"/>
        <v>1</v>
      </c>
      <c r="C221" s="1">
        <f t="shared" si="39"/>
        <v>61</v>
      </c>
      <c r="D221" s="62">
        <v>0.26757814000000002</v>
      </c>
      <c r="E221" s="63">
        <v>0.68457029999999996</v>
      </c>
      <c r="F221" s="62">
        <v>0.43164064999999996</v>
      </c>
      <c r="G221" s="87">
        <v>0.67578125</v>
      </c>
      <c r="Q221" s="30"/>
      <c r="R221" s="30"/>
    </row>
    <row r="222" spans="1:18" x14ac:dyDescent="0.25">
      <c r="A222" s="1"/>
      <c r="B222" s="1"/>
      <c r="Q222" s="30"/>
      <c r="R222" s="30"/>
    </row>
    <row r="223" spans="1:18" s="28" customFormat="1" x14ac:dyDescent="0.25">
      <c r="A223" s="29" t="s">
        <v>31</v>
      </c>
    </row>
    <row r="224" spans="1:18" x14ac:dyDescent="0.25">
      <c r="A224" s="5"/>
    </row>
    <row r="227" spans="1:11" x14ac:dyDescent="0.25">
      <c r="A227" s="1" t="str">
        <f t="shared" ref="A227:B227" si="40">A209</f>
        <v>sex</v>
      </c>
      <c r="B227" s="1" t="str">
        <f t="shared" si="40"/>
        <v>age (t)</v>
      </c>
      <c r="C227" s="1" t="str">
        <f>C209</f>
        <v>id</v>
      </c>
      <c r="D227" s="1" t="str">
        <f t="array" ref="D227:I227">TRANSPOSE(E18:E23)</f>
        <v>male_3</v>
      </c>
      <c r="E227" s="1" t="str">
        <v>male_2</v>
      </c>
      <c r="F227" s="1" t="str">
        <v>male_1</v>
      </c>
      <c r="G227" s="1" t="str">
        <v>female_3</v>
      </c>
      <c r="H227" s="1" t="str">
        <v>female_2</v>
      </c>
      <c r="I227" s="1" t="str">
        <v>female_1</v>
      </c>
      <c r="K227" s="38"/>
    </row>
    <row r="228" spans="1:11" x14ac:dyDescent="0.25">
      <c r="A228" s="1" t="str">
        <f t="shared" ref="A228:B228" si="41">A210</f>
        <v>female</v>
      </c>
      <c r="B228" s="1">
        <f t="shared" si="41"/>
        <v>3</v>
      </c>
      <c r="C228" s="1">
        <f>C210</f>
        <v>48</v>
      </c>
      <c r="D228" s="3">
        <f t="shared" ref="D228:D239" si="42">IF(E27="male",IF(D27=3,1,0),0)</f>
        <v>0</v>
      </c>
      <c r="E228" s="3">
        <f t="shared" ref="E228:E239" si="43">IF(E27="male",IF(D27=2,1,0),0)</f>
        <v>0</v>
      </c>
      <c r="F228" s="3">
        <f t="shared" ref="F228:F239" si="44">IF(E27="male",IF(D27=1,1,0),0)</f>
        <v>0</v>
      </c>
      <c r="G228" s="3">
        <f t="shared" ref="G228:G239" si="45">IF(E27="female",IF(D27=3,1,0),0)</f>
        <v>1</v>
      </c>
      <c r="H228" s="3">
        <f t="shared" ref="H228:H239" si="46">IF(E27="female",IF(D27=2,1,0),0)</f>
        <v>0</v>
      </c>
      <c r="I228" s="3">
        <f t="shared" ref="I228:I239" si="47">IF(E27="female",IF(D27=1,1,0),0)</f>
        <v>0</v>
      </c>
      <c r="K228" s="38"/>
    </row>
    <row r="229" spans="1:11" x14ac:dyDescent="0.25">
      <c r="A229" s="1" t="str">
        <f t="shared" ref="A229:C229" si="48">A211</f>
        <v>male</v>
      </c>
      <c r="B229" s="1">
        <f t="shared" si="48"/>
        <v>3</v>
      </c>
      <c r="C229" s="1">
        <f t="shared" si="48"/>
        <v>49</v>
      </c>
      <c r="D229" s="3">
        <f t="shared" si="42"/>
        <v>1</v>
      </c>
      <c r="E229" s="3">
        <f t="shared" si="43"/>
        <v>0</v>
      </c>
      <c r="F229" s="3">
        <f t="shared" si="44"/>
        <v>0</v>
      </c>
      <c r="G229" s="3">
        <f t="shared" si="45"/>
        <v>0</v>
      </c>
      <c r="H229" s="3">
        <f t="shared" si="46"/>
        <v>0</v>
      </c>
      <c r="I229" s="3">
        <f t="shared" si="47"/>
        <v>0</v>
      </c>
      <c r="J229" s="1"/>
      <c r="K229" s="38"/>
    </row>
    <row r="230" spans="1:11" x14ac:dyDescent="0.25">
      <c r="A230" s="1" t="str">
        <f t="shared" ref="A230:C230" si="49">A212</f>
        <v>female</v>
      </c>
      <c r="B230" s="1">
        <f t="shared" si="49"/>
        <v>3</v>
      </c>
      <c r="C230" s="1">
        <f t="shared" si="49"/>
        <v>50</v>
      </c>
      <c r="D230" s="3">
        <f t="shared" si="42"/>
        <v>0</v>
      </c>
      <c r="E230" s="3">
        <f t="shared" si="43"/>
        <v>0</v>
      </c>
      <c r="F230" s="3">
        <f t="shared" si="44"/>
        <v>0</v>
      </c>
      <c r="G230" s="3">
        <f t="shared" si="45"/>
        <v>1</v>
      </c>
      <c r="H230" s="3">
        <f t="shared" si="46"/>
        <v>0</v>
      </c>
      <c r="I230" s="3">
        <f t="shared" si="47"/>
        <v>0</v>
      </c>
      <c r="J230" s="1"/>
      <c r="K230" s="38"/>
    </row>
    <row r="231" spans="1:11" x14ac:dyDescent="0.25">
      <c r="A231" s="1" t="str">
        <f t="shared" ref="A231:C231" si="50">A213</f>
        <v>male</v>
      </c>
      <c r="B231" s="1">
        <f t="shared" si="50"/>
        <v>3</v>
      </c>
      <c r="C231" s="1">
        <f t="shared" si="50"/>
        <v>51</v>
      </c>
      <c r="D231" s="3">
        <f t="shared" si="42"/>
        <v>1</v>
      </c>
      <c r="E231" s="3">
        <f t="shared" si="43"/>
        <v>0</v>
      </c>
      <c r="F231" s="3">
        <f t="shared" si="44"/>
        <v>0</v>
      </c>
      <c r="G231" s="3">
        <f t="shared" si="45"/>
        <v>0</v>
      </c>
      <c r="H231" s="3">
        <f t="shared" si="46"/>
        <v>0</v>
      </c>
      <c r="I231" s="3">
        <f t="shared" si="47"/>
        <v>0</v>
      </c>
      <c r="J231" s="1"/>
      <c r="K231" s="38"/>
    </row>
    <row r="232" spans="1:11" x14ac:dyDescent="0.25">
      <c r="A232" s="1" t="str">
        <f t="shared" ref="A232:C232" si="51">A214</f>
        <v>female</v>
      </c>
      <c r="B232" s="1">
        <f t="shared" si="51"/>
        <v>2</v>
      </c>
      <c r="C232" s="1">
        <f t="shared" si="51"/>
        <v>54</v>
      </c>
      <c r="D232" s="3">
        <f t="shared" si="42"/>
        <v>0</v>
      </c>
      <c r="E232" s="3">
        <f t="shared" si="43"/>
        <v>0</v>
      </c>
      <c r="F232" s="3">
        <f t="shared" si="44"/>
        <v>0</v>
      </c>
      <c r="G232" s="3">
        <f t="shared" si="45"/>
        <v>0</v>
      </c>
      <c r="H232" s="3">
        <f t="shared" si="46"/>
        <v>1</v>
      </c>
      <c r="I232" s="3">
        <f t="shared" si="47"/>
        <v>0</v>
      </c>
      <c r="J232" s="1"/>
      <c r="K232" s="38"/>
    </row>
    <row r="233" spans="1:11" x14ac:dyDescent="0.25">
      <c r="A233" s="1" t="str">
        <f t="shared" ref="A233:C233" si="52">A215</f>
        <v>male</v>
      </c>
      <c r="B233" s="1">
        <f t="shared" si="52"/>
        <v>2</v>
      </c>
      <c r="C233" s="1">
        <f t="shared" si="52"/>
        <v>55</v>
      </c>
      <c r="D233" s="3">
        <f t="shared" si="42"/>
        <v>0</v>
      </c>
      <c r="E233" s="3">
        <f t="shared" si="43"/>
        <v>1</v>
      </c>
      <c r="F233" s="3">
        <f t="shared" si="44"/>
        <v>0</v>
      </c>
      <c r="G233" s="3">
        <f t="shared" si="45"/>
        <v>0</v>
      </c>
      <c r="H233" s="3">
        <f t="shared" si="46"/>
        <v>0</v>
      </c>
      <c r="I233" s="3">
        <f t="shared" si="47"/>
        <v>0</v>
      </c>
      <c r="J233" s="1"/>
    </row>
    <row r="234" spans="1:11" x14ac:dyDescent="0.25">
      <c r="A234" s="1" t="str">
        <f t="shared" ref="A234:C234" si="53">A216</f>
        <v>female</v>
      </c>
      <c r="B234" s="1">
        <f t="shared" si="53"/>
        <v>2</v>
      </c>
      <c r="C234" s="1">
        <f t="shared" si="53"/>
        <v>56</v>
      </c>
      <c r="D234" s="3">
        <f t="shared" si="42"/>
        <v>0</v>
      </c>
      <c r="E234" s="3">
        <f t="shared" si="43"/>
        <v>0</v>
      </c>
      <c r="F234" s="3">
        <f t="shared" si="44"/>
        <v>0</v>
      </c>
      <c r="G234" s="3">
        <f t="shared" si="45"/>
        <v>0</v>
      </c>
      <c r="H234" s="3">
        <f t="shared" si="46"/>
        <v>1</v>
      </c>
      <c r="I234" s="3">
        <f t="shared" si="47"/>
        <v>0</v>
      </c>
      <c r="J234" s="1"/>
    </row>
    <row r="235" spans="1:11" x14ac:dyDescent="0.25">
      <c r="A235" s="1" t="str">
        <f t="shared" ref="A235:C235" si="54">A217</f>
        <v>male</v>
      </c>
      <c r="B235" s="1">
        <f t="shared" si="54"/>
        <v>2</v>
      </c>
      <c r="C235" s="1">
        <f t="shared" si="54"/>
        <v>57</v>
      </c>
      <c r="D235" s="3">
        <f t="shared" si="42"/>
        <v>0</v>
      </c>
      <c r="E235" s="3">
        <f t="shared" si="43"/>
        <v>1</v>
      </c>
      <c r="F235" s="3">
        <f t="shared" si="44"/>
        <v>0</v>
      </c>
      <c r="G235" s="3">
        <f t="shared" si="45"/>
        <v>0</v>
      </c>
      <c r="H235" s="3">
        <f t="shared" si="46"/>
        <v>0</v>
      </c>
      <c r="I235" s="3">
        <f t="shared" si="47"/>
        <v>0</v>
      </c>
      <c r="J235" s="1"/>
    </row>
    <row r="236" spans="1:11" x14ac:dyDescent="0.25">
      <c r="A236" s="1" t="str">
        <f t="shared" ref="A236:C236" si="55">A218</f>
        <v>female</v>
      </c>
      <c r="B236" s="1">
        <f t="shared" si="55"/>
        <v>1</v>
      </c>
      <c r="C236" s="1">
        <f t="shared" si="55"/>
        <v>58</v>
      </c>
      <c r="D236" s="3">
        <f t="shared" si="42"/>
        <v>0</v>
      </c>
      <c r="E236" s="3">
        <f t="shared" si="43"/>
        <v>0</v>
      </c>
      <c r="F236" s="3">
        <f t="shared" si="44"/>
        <v>0</v>
      </c>
      <c r="G236" s="3">
        <f t="shared" si="45"/>
        <v>0</v>
      </c>
      <c r="H236" s="3">
        <f t="shared" si="46"/>
        <v>0</v>
      </c>
      <c r="I236" s="3">
        <f t="shared" si="47"/>
        <v>1</v>
      </c>
      <c r="J236" s="1"/>
    </row>
    <row r="237" spans="1:11" x14ac:dyDescent="0.25">
      <c r="A237" s="1" t="str">
        <f t="shared" ref="A237:C237" si="56">A219</f>
        <v>male</v>
      </c>
      <c r="B237" s="1">
        <f t="shared" si="56"/>
        <v>1</v>
      </c>
      <c r="C237" s="1">
        <f t="shared" si="56"/>
        <v>59</v>
      </c>
      <c r="D237" s="3">
        <f t="shared" si="42"/>
        <v>0</v>
      </c>
      <c r="E237" s="3">
        <f t="shared" si="43"/>
        <v>0</v>
      </c>
      <c r="F237" s="3">
        <f t="shared" si="44"/>
        <v>1</v>
      </c>
      <c r="G237" s="3">
        <f t="shared" si="45"/>
        <v>0</v>
      </c>
      <c r="H237" s="3">
        <f t="shared" si="46"/>
        <v>0</v>
      </c>
      <c r="I237" s="3">
        <f t="shared" si="47"/>
        <v>0</v>
      </c>
      <c r="J237" s="1"/>
    </row>
    <row r="238" spans="1:11" x14ac:dyDescent="0.25">
      <c r="A238" s="1" t="str">
        <f t="shared" ref="A238:C238" si="57">A220</f>
        <v>female</v>
      </c>
      <c r="B238" s="1">
        <f t="shared" si="57"/>
        <v>1</v>
      </c>
      <c r="C238" s="1">
        <f t="shared" si="57"/>
        <v>60</v>
      </c>
      <c r="D238" s="68">
        <f t="shared" si="42"/>
        <v>0</v>
      </c>
      <c r="E238" s="68">
        <f t="shared" si="43"/>
        <v>0</v>
      </c>
      <c r="F238" s="68">
        <f t="shared" si="44"/>
        <v>0</v>
      </c>
      <c r="G238" s="68">
        <f t="shared" si="45"/>
        <v>0</v>
      </c>
      <c r="H238" s="68">
        <f t="shared" si="46"/>
        <v>0</v>
      </c>
      <c r="I238" s="68">
        <f t="shared" si="47"/>
        <v>1</v>
      </c>
    </row>
    <row r="239" spans="1:11" x14ac:dyDescent="0.25">
      <c r="A239" s="1" t="str">
        <f t="shared" ref="A239:C239" si="58">A221</f>
        <v>male</v>
      </c>
      <c r="B239" s="1">
        <f t="shared" si="58"/>
        <v>1</v>
      </c>
      <c r="C239" s="1">
        <f t="shared" si="58"/>
        <v>61</v>
      </c>
      <c r="D239" s="68">
        <f t="shared" si="42"/>
        <v>0</v>
      </c>
      <c r="E239" s="68">
        <f t="shared" si="43"/>
        <v>0</v>
      </c>
      <c r="F239" s="68">
        <f t="shared" si="44"/>
        <v>1</v>
      </c>
      <c r="G239" s="68">
        <f t="shared" si="45"/>
        <v>0</v>
      </c>
      <c r="H239" s="68">
        <f t="shared" si="46"/>
        <v>0</v>
      </c>
      <c r="I239" s="68">
        <f t="shared" si="47"/>
        <v>0</v>
      </c>
      <c r="J239" s="1"/>
    </row>
    <row r="240" spans="1:11" x14ac:dyDescent="0.25">
      <c r="B240" s="1"/>
      <c r="C240" s="1"/>
      <c r="D240" s="1"/>
      <c r="E240" s="1"/>
    </row>
    <row r="242" spans="1:15" s="28" customFormat="1" x14ac:dyDescent="0.25">
      <c r="A242" s="29" t="s">
        <v>30</v>
      </c>
    </row>
    <row r="243" spans="1:15" x14ac:dyDescent="0.25">
      <c r="B243" s="25"/>
      <c r="C243" s="22"/>
      <c r="D243" s="22"/>
      <c r="E243" s="22"/>
      <c r="F243" s="22"/>
      <c r="G243" s="22"/>
      <c r="H243" s="22"/>
      <c r="I243" s="22"/>
      <c r="J243" s="22"/>
      <c r="K243" s="22"/>
    </row>
    <row r="244" spans="1:15" x14ac:dyDescent="0.25">
      <c r="A244" s="1" t="s">
        <v>62</v>
      </c>
      <c r="B244" s="1"/>
    </row>
    <row r="245" spans="1:15" x14ac:dyDescent="0.25">
      <c r="B245" s="30"/>
      <c r="C245" s="31" t="str">
        <f t="array" ref="C245:H245">TRANSPOSE(E18:E23)</f>
        <v>male_3</v>
      </c>
      <c r="D245" s="31" t="str">
        <v>male_2</v>
      </c>
      <c r="E245" s="31" t="str">
        <v>male_1</v>
      </c>
      <c r="F245" s="31" t="str">
        <v>female_3</v>
      </c>
      <c r="G245" s="31" t="str">
        <v>female_2</v>
      </c>
      <c r="H245" s="31" t="str">
        <v>female_1</v>
      </c>
      <c r="I245" s="31"/>
      <c r="O245" s="1"/>
    </row>
    <row r="246" spans="1:15" x14ac:dyDescent="0.25">
      <c r="C246" s="34">
        <f>D18/SUM(D18:D23)</f>
        <v>8.3333333333333329E-2</v>
      </c>
      <c r="D246" s="35">
        <f>D19/SUM(D18:D23)</f>
        <v>0.16666666666666666</v>
      </c>
      <c r="E246" s="36">
        <f>D20/SUM(D18:D23)</f>
        <v>0.25</v>
      </c>
      <c r="F246" s="35">
        <f>D21/SUM(D18:D23)</f>
        <v>8.3333333333333329E-2</v>
      </c>
      <c r="G246" s="35">
        <f>D22/SUM(D18:D23)</f>
        <v>0.16666666666666666</v>
      </c>
      <c r="H246" s="36">
        <f>D23/SUM(D18:D23)</f>
        <v>0.25</v>
      </c>
      <c r="M246" s="1"/>
    </row>
    <row r="247" spans="1:15" x14ac:dyDescent="0.25">
      <c r="C247" s="22"/>
      <c r="D247" s="22"/>
      <c r="E247" s="22"/>
      <c r="F247" s="22"/>
      <c r="G247" s="22"/>
      <c r="H247" s="22"/>
      <c r="I247" s="22"/>
      <c r="M247" s="1"/>
    </row>
    <row r="248" spans="1:15" x14ac:dyDescent="0.25">
      <c r="A248" s="1" t="s">
        <v>59</v>
      </c>
      <c r="F248" s="22"/>
      <c r="G248" s="22"/>
      <c r="H248" s="22"/>
      <c r="I248" s="22"/>
      <c r="M248" s="1"/>
    </row>
    <row r="249" spans="1:15" x14ac:dyDescent="0.25">
      <c r="C249" s="96"/>
      <c r="D249" s="96"/>
      <c r="F249" s="22"/>
      <c r="G249" s="22"/>
      <c r="H249" s="22"/>
      <c r="I249" s="22"/>
      <c r="M249" s="1"/>
    </row>
    <row r="250" spans="1:15" x14ac:dyDescent="0.25">
      <c r="C250" s="20">
        <f>2*(1*E246+2*D246+3*C246)</f>
        <v>1.6666666666666665</v>
      </c>
      <c r="D250" s="20">
        <f>2*(1*H246+2*G246+3*F246)</f>
        <v>1.6666666666666665</v>
      </c>
      <c r="F250" s="22"/>
      <c r="G250" s="22"/>
      <c r="H250" s="22"/>
      <c r="I250" s="22"/>
      <c r="M250" s="1"/>
    </row>
    <row r="251" spans="1:15" x14ac:dyDescent="0.25">
      <c r="F251" s="22"/>
      <c r="G251" s="22"/>
      <c r="H251" s="22"/>
      <c r="I251" s="22"/>
      <c r="M251" s="1"/>
    </row>
    <row r="252" spans="1:15" x14ac:dyDescent="0.25">
      <c r="C252" s="22"/>
      <c r="D252" s="22"/>
      <c r="E252" s="22"/>
      <c r="F252" s="22"/>
      <c r="G252" s="22"/>
      <c r="H252" s="22"/>
      <c r="I252" s="22"/>
    </row>
    <row r="253" spans="1:15" x14ac:dyDescent="0.25">
      <c r="C253" s="97"/>
      <c r="D253" s="19">
        <f>SUM(C246)/C250</f>
        <v>0.05</v>
      </c>
      <c r="F253" s="22"/>
      <c r="G253" s="22"/>
      <c r="H253" s="22"/>
      <c r="I253" s="22"/>
      <c r="M253" s="1"/>
    </row>
    <row r="254" spans="1:15" x14ac:dyDescent="0.25">
      <c r="C254" s="32"/>
      <c r="D254" s="27">
        <f>SUM(C246:D246)/C250</f>
        <v>0.15000000000000002</v>
      </c>
      <c r="F254" s="22"/>
      <c r="G254" s="22"/>
      <c r="H254" s="22"/>
      <c r="I254" s="22"/>
    </row>
    <row r="255" spans="1:15" x14ac:dyDescent="0.25">
      <c r="C255" s="96"/>
      <c r="D255" s="27">
        <f>SUM(C246:E246)/C250</f>
        <v>0.30000000000000004</v>
      </c>
      <c r="F255" s="22"/>
      <c r="G255" s="22"/>
      <c r="H255" s="22"/>
      <c r="I255" s="22"/>
    </row>
    <row r="256" spans="1:15" x14ac:dyDescent="0.25">
      <c r="C256" s="97"/>
      <c r="D256" s="19">
        <f>SUM(F246)/D250</f>
        <v>0.05</v>
      </c>
      <c r="F256" s="22"/>
      <c r="G256" s="22"/>
      <c r="H256" s="22"/>
      <c r="I256" s="22"/>
    </row>
    <row r="257" spans="1:13" x14ac:dyDescent="0.25">
      <c r="C257" s="32"/>
      <c r="D257" s="27">
        <f>SUM(F246:G246)/D250</f>
        <v>0.15000000000000002</v>
      </c>
      <c r="F257" s="22"/>
      <c r="G257" s="22"/>
      <c r="H257" s="22"/>
      <c r="I257" s="22"/>
      <c r="M257" s="1"/>
    </row>
    <row r="258" spans="1:13" x14ac:dyDescent="0.25">
      <c r="C258" s="96"/>
      <c r="D258" s="27">
        <f>SUM(F246:H246)/D250</f>
        <v>0.30000000000000004</v>
      </c>
      <c r="F258" s="22"/>
      <c r="G258" s="22"/>
      <c r="H258" s="22"/>
      <c r="I258" s="22"/>
    </row>
    <row r="259" spans="1:13" x14ac:dyDescent="0.25">
      <c r="F259" s="22"/>
      <c r="G259" s="22"/>
      <c r="H259" s="22"/>
      <c r="I259" s="22"/>
      <c r="M259" s="1"/>
    </row>
    <row r="260" spans="1:13" s="21" customFormat="1" x14ac:dyDescent="0.25">
      <c r="C260" s="97"/>
      <c r="D260" s="19">
        <f>D253</f>
        <v>0.05</v>
      </c>
      <c r="E260"/>
      <c r="F260" s="22"/>
      <c r="G260" s="22"/>
      <c r="H260" s="22"/>
      <c r="I260" s="22"/>
    </row>
    <row r="261" spans="1:13" s="21" customFormat="1" x14ac:dyDescent="0.25">
      <c r="C261" s="98"/>
      <c r="D261" s="33">
        <f>D254</f>
        <v>0.15000000000000002</v>
      </c>
      <c r="E261"/>
      <c r="F261" s="22"/>
      <c r="G261" s="22"/>
      <c r="H261" s="22"/>
      <c r="I261" s="22"/>
    </row>
    <row r="262" spans="1:13" s="21" customFormat="1" x14ac:dyDescent="0.25">
      <c r="C262" s="98"/>
      <c r="D262" s="33">
        <f>D256</f>
        <v>0.05</v>
      </c>
      <c r="E262"/>
      <c r="F262" s="22"/>
      <c r="G262" s="22"/>
      <c r="H262" s="22"/>
      <c r="I262" s="22"/>
    </row>
    <row r="263" spans="1:13" s="21" customFormat="1" x14ac:dyDescent="0.25">
      <c r="C263" s="32"/>
      <c r="D263" s="27">
        <f>D257</f>
        <v>0.15000000000000002</v>
      </c>
      <c r="F263" s="22"/>
      <c r="G263" s="22"/>
      <c r="H263" s="22"/>
      <c r="I263" s="22"/>
    </row>
    <row r="264" spans="1:13" s="21" customFormat="1" x14ac:dyDescent="0.25">
      <c r="C264" s="97"/>
      <c r="D264" s="19">
        <f>D255</f>
        <v>0.30000000000000004</v>
      </c>
      <c r="F264" s="22"/>
      <c r="G264" s="22"/>
      <c r="H264" s="22"/>
      <c r="I264" s="22"/>
    </row>
    <row r="265" spans="1:13" s="21" customFormat="1" x14ac:dyDescent="0.25">
      <c r="C265" s="32"/>
      <c r="D265" s="27">
        <f>D258</f>
        <v>0.30000000000000004</v>
      </c>
      <c r="F265" s="22"/>
      <c r="G265" s="22"/>
      <c r="H265" s="22"/>
      <c r="I265" s="22"/>
    </row>
    <row r="266" spans="1:13" x14ac:dyDescent="0.25">
      <c r="B266" s="1"/>
    </row>
    <row r="267" spans="1:13" s="28" customFormat="1" x14ac:dyDescent="0.25">
      <c r="A267" s="29" t="s">
        <v>49</v>
      </c>
    </row>
    <row r="268" spans="1:13" x14ac:dyDescent="0.25">
      <c r="B268" s="1"/>
    </row>
    <row r="269" spans="1:13" s="21" customFormat="1" x14ac:dyDescent="0.25">
      <c r="A269"/>
    </row>
    <row r="270" spans="1:13" s="21" customFormat="1" x14ac:dyDescent="0.25">
      <c r="C270"/>
      <c r="E270"/>
    </row>
    <row r="271" spans="1:13" x14ac:dyDescent="0.25">
      <c r="B271" s="1" t="str">
        <f>E18</f>
        <v>male_3</v>
      </c>
      <c r="C271" s="39">
        <f t="array" ref="C271:C276">TRANSPOSE(Pt)-E271:E276</f>
        <v>8.3333333333333329E-2</v>
      </c>
      <c r="E271" s="39">
        <f t="array" ref="E271:E276">MMULT(TRANSPOSE(Q_2_matrix),(c_2_vector))</f>
        <v>0</v>
      </c>
    </row>
    <row r="272" spans="1:13" x14ac:dyDescent="0.25">
      <c r="B272" s="1" t="str">
        <f t="shared" ref="B272:B276" si="59">E19</f>
        <v>male_2</v>
      </c>
      <c r="C272" s="39">
        <v>0.16666666666666666</v>
      </c>
      <c r="E272" s="39">
        <v>0</v>
      </c>
    </row>
    <row r="273" spans="1:17" x14ac:dyDescent="0.25">
      <c r="B273" s="1" t="str">
        <f t="shared" si="59"/>
        <v>male_1</v>
      </c>
      <c r="C273" s="39">
        <v>0.16666666666666669</v>
      </c>
      <c r="E273" s="39">
        <v>8.3333333333333329E-2</v>
      </c>
    </row>
    <row r="274" spans="1:17" x14ac:dyDescent="0.25">
      <c r="B274" s="1" t="str">
        <f t="shared" si="59"/>
        <v>female_3</v>
      </c>
      <c r="C274" s="39">
        <v>8.3333333333333329E-2</v>
      </c>
      <c r="E274" s="39">
        <v>0</v>
      </c>
    </row>
    <row r="275" spans="1:17" x14ac:dyDescent="0.25">
      <c r="B275" s="1" t="str">
        <f t="shared" si="59"/>
        <v>female_2</v>
      </c>
      <c r="C275" s="39">
        <v>0.16666666666666666</v>
      </c>
      <c r="E275" s="39">
        <v>0</v>
      </c>
    </row>
    <row r="276" spans="1:17" x14ac:dyDescent="0.25">
      <c r="B276" s="1" t="str">
        <f t="shared" si="59"/>
        <v>female_1</v>
      </c>
      <c r="C276" s="39">
        <v>0.16666666666666669</v>
      </c>
      <c r="E276" s="39">
        <v>8.3333333333333329E-2</v>
      </c>
    </row>
    <row r="277" spans="1:17" x14ac:dyDescent="0.25">
      <c r="A277" s="1"/>
      <c r="B277" s="24"/>
    </row>
    <row r="278" spans="1:17" s="28" customFormat="1" x14ac:dyDescent="0.25">
      <c r="A278" s="29" t="s">
        <v>63</v>
      </c>
    </row>
    <row r="280" spans="1:17" x14ac:dyDescent="0.25">
      <c r="A280" s="1" t="s">
        <v>65</v>
      </c>
    </row>
    <row r="281" spans="1:17" x14ac:dyDescent="0.25">
      <c r="A281" s="1"/>
    </row>
    <row r="282" spans="1:17" x14ac:dyDescent="0.25">
      <c r="B282" s="1" t="s">
        <v>70</v>
      </c>
    </row>
    <row r="283" spans="1:17" x14ac:dyDescent="0.25">
      <c r="A283" s="1"/>
      <c r="B283" s="1">
        <f t="array" ref="B283:Q283">TRANSPOSE(A284:A299)</f>
        <v>19</v>
      </c>
      <c r="C283" s="1">
        <v>31</v>
      </c>
      <c r="D283" s="1">
        <v>33</v>
      </c>
      <c r="E283" s="1">
        <v>39</v>
      </c>
      <c r="F283" s="1">
        <v>40</v>
      </c>
      <c r="G283" s="1">
        <v>41</v>
      </c>
      <c r="H283" s="1">
        <v>43</v>
      </c>
      <c r="I283" s="1">
        <v>45</v>
      </c>
      <c r="J283" s="1">
        <v>46</v>
      </c>
      <c r="K283" s="1">
        <v>47</v>
      </c>
      <c r="L283" s="1">
        <v>48</v>
      </c>
      <c r="M283" s="1">
        <v>49</v>
      </c>
      <c r="N283" s="1">
        <v>51</v>
      </c>
      <c r="O283" s="1">
        <v>52</v>
      </c>
      <c r="P283" s="1">
        <v>53</v>
      </c>
      <c r="Q283" s="1">
        <v>54</v>
      </c>
    </row>
    <row r="284" spans="1:17" x14ac:dyDescent="0.25">
      <c r="A284" s="1">
        <v>19</v>
      </c>
      <c r="B284" s="57">
        <v>1</v>
      </c>
      <c r="C284" s="57">
        <v>0.125</v>
      </c>
      <c r="D284" s="57">
        <v>0.125</v>
      </c>
      <c r="E284" s="57">
        <v>0</v>
      </c>
      <c r="F284" s="57">
        <v>0.375</v>
      </c>
      <c r="G284" s="57">
        <v>0.25</v>
      </c>
      <c r="H284" s="57">
        <v>0.1875</v>
      </c>
      <c r="I284" s="57">
        <v>0.375</v>
      </c>
      <c r="J284" s="57">
        <v>0.25</v>
      </c>
      <c r="K284" s="57">
        <v>0.25</v>
      </c>
      <c r="L284" s="57">
        <v>0.5</v>
      </c>
      <c r="M284" s="57">
        <v>0.3125</v>
      </c>
      <c r="N284" s="57">
        <v>0.375</v>
      </c>
      <c r="O284" s="57">
        <v>0.15625</v>
      </c>
      <c r="P284" s="57">
        <v>0.125</v>
      </c>
      <c r="Q284" s="57">
        <v>0.1875</v>
      </c>
    </row>
    <row r="285" spans="1:17" x14ac:dyDescent="0.25">
      <c r="A285" s="1">
        <v>31</v>
      </c>
      <c r="B285" s="57">
        <v>0.125</v>
      </c>
      <c r="C285" s="57">
        <v>1.0625</v>
      </c>
      <c r="D285" s="57">
        <v>0.109375</v>
      </c>
      <c r="E285" s="57">
        <v>0</v>
      </c>
      <c r="F285" s="57">
        <v>0.5703125</v>
      </c>
      <c r="G285" s="57">
        <v>0.5546875</v>
      </c>
      <c r="H285" s="57">
        <v>7.03125E-2</v>
      </c>
      <c r="I285" s="57">
        <v>0.3125</v>
      </c>
      <c r="J285" s="57">
        <v>0.296875</v>
      </c>
      <c r="K285" s="57">
        <v>3.125E-2</v>
      </c>
      <c r="L285" s="57">
        <v>6.25E-2</v>
      </c>
      <c r="M285" s="57">
        <v>0.43359375</v>
      </c>
      <c r="N285" s="57">
        <v>0.44140625</v>
      </c>
      <c r="O285" s="57">
        <v>0.58984375</v>
      </c>
      <c r="P285" s="57">
        <v>0.71875</v>
      </c>
      <c r="Q285" s="57">
        <v>0.546875</v>
      </c>
    </row>
    <row r="286" spans="1:17" x14ac:dyDescent="0.25">
      <c r="A286" s="1">
        <v>33</v>
      </c>
      <c r="B286" s="57">
        <v>0.125</v>
      </c>
      <c r="C286" s="57">
        <v>0.109375</v>
      </c>
      <c r="D286" s="57">
        <v>1</v>
      </c>
      <c r="E286" s="57">
        <v>0</v>
      </c>
      <c r="F286" s="57">
        <v>9.375E-2</v>
      </c>
      <c r="G286" s="57">
        <v>0.125</v>
      </c>
      <c r="H286" s="57">
        <v>0.5625</v>
      </c>
      <c r="I286" s="57">
        <v>7.8125E-2</v>
      </c>
      <c r="J286" s="57">
        <v>0.109375</v>
      </c>
      <c r="K286" s="57">
        <v>0.25</v>
      </c>
      <c r="L286" s="57">
        <v>6.25E-2</v>
      </c>
      <c r="M286" s="57">
        <v>0.1015625</v>
      </c>
      <c r="N286" s="57">
        <v>8.59375E-2</v>
      </c>
      <c r="O286" s="57">
        <v>0.10546875</v>
      </c>
      <c r="P286" s="57">
        <v>0.1015625</v>
      </c>
      <c r="Q286" s="57">
        <v>0.1796875</v>
      </c>
    </row>
    <row r="287" spans="1:17" x14ac:dyDescent="0.25">
      <c r="A287" s="1">
        <v>39</v>
      </c>
      <c r="B287" s="57">
        <v>0</v>
      </c>
      <c r="C287" s="57">
        <v>0</v>
      </c>
      <c r="D287" s="57">
        <v>0</v>
      </c>
      <c r="E287" s="57">
        <v>1</v>
      </c>
      <c r="F287" s="57">
        <v>0</v>
      </c>
      <c r="G287" s="57">
        <v>0</v>
      </c>
      <c r="H287" s="57">
        <v>0</v>
      </c>
      <c r="I287" s="57">
        <v>0</v>
      </c>
      <c r="J287" s="57">
        <v>0</v>
      </c>
      <c r="K287" s="57">
        <v>0</v>
      </c>
      <c r="L287" s="57">
        <v>0.5</v>
      </c>
      <c r="M287" s="57">
        <v>0</v>
      </c>
      <c r="N287" s="57">
        <v>0</v>
      </c>
      <c r="O287" s="57">
        <v>0</v>
      </c>
      <c r="P287" s="57">
        <v>0</v>
      </c>
      <c r="Q287" s="57">
        <v>0</v>
      </c>
    </row>
    <row r="288" spans="1:17" x14ac:dyDescent="0.25">
      <c r="A288" s="1">
        <v>40</v>
      </c>
      <c r="B288" s="57">
        <v>0.375</v>
      </c>
      <c r="C288" s="57">
        <v>0.5703125</v>
      </c>
      <c r="D288" s="57">
        <v>9.375E-2</v>
      </c>
      <c r="E288" s="57">
        <v>0</v>
      </c>
      <c r="F288" s="57">
        <v>1.0390625</v>
      </c>
      <c r="G288" s="57">
        <v>0.4140625</v>
      </c>
      <c r="H288" s="57">
        <v>9.375E-2</v>
      </c>
      <c r="I288" s="57">
        <v>0.2734375</v>
      </c>
      <c r="J288" s="57">
        <v>0.2265625</v>
      </c>
      <c r="K288" s="57">
        <v>9.375E-2</v>
      </c>
      <c r="L288" s="57">
        <v>0.1875</v>
      </c>
      <c r="M288" s="57">
        <v>0.6328125</v>
      </c>
      <c r="N288" s="57">
        <v>0.65625</v>
      </c>
      <c r="O288" s="57">
        <v>0.373046875</v>
      </c>
      <c r="P288" s="57">
        <v>0.3984375</v>
      </c>
      <c r="Q288" s="57">
        <v>0.33203125</v>
      </c>
    </row>
    <row r="289" spans="1:17" x14ac:dyDescent="0.25">
      <c r="A289" s="1">
        <v>41</v>
      </c>
      <c r="B289" s="57">
        <v>0.25</v>
      </c>
      <c r="C289" s="57">
        <v>0.5546875</v>
      </c>
      <c r="D289" s="57">
        <v>0.125</v>
      </c>
      <c r="E289" s="57">
        <v>0</v>
      </c>
      <c r="F289" s="57">
        <v>0.4140625</v>
      </c>
      <c r="G289" s="57">
        <v>1.0234375</v>
      </c>
      <c r="H289" s="57">
        <v>0.140625</v>
      </c>
      <c r="I289" s="57">
        <v>0.2265625</v>
      </c>
      <c r="J289" s="57">
        <v>0.2421875</v>
      </c>
      <c r="K289" s="57">
        <v>0.15625</v>
      </c>
      <c r="L289" s="57">
        <v>0.125</v>
      </c>
      <c r="M289" s="57">
        <v>0.328125</v>
      </c>
      <c r="N289" s="57">
        <v>0.3203125</v>
      </c>
      <c r="O289" s="57">
        <v>0.673828125</v>
      </c>
      <c r="P289" s="57">
        <v>0.3828125</v>
      </c>
      <c r="Q289" s="57">
        <v>0.35546875</v>
      </c>
    </row>
    <row r="290" spans="1:17" x14ac:dyDescent="0.25">
      <c r="A290" s="1">
        <v>43</v>
      </c>
      <c r="B290" s="57">
        <v>0.1875</v>
      </c>
      <c r="C290" s="57">
        <v>7.03125E-2</v>
      </c>
      <c r="D290" s="57">
        <v>0.5625</v>
      </c>
      <c r="E290" s="57">
        <v>0</v>
      </c>
      <c r="F290" s="57">
        <v>9.375E-2</v>
      </c>
      <c r="G290" s="57">
        <v>0.140625</v>
      </c>
      <c r="H290" s="57">
        <v>1.0625</v>
      </c>
      <c r="I290" s="57">
        <v>8.59375E-2</v>
      </c>
      <c r="J290" s="57">
        <v>0.3203125</v>
      </c>
      <c r="K290" s="57">
        <v>0.25</v>
      </c>
      <c r="L290" s="57">
        <v>9.375E-2</v>
      </c>
      <c r="M290" s="57">
        <v>0.20703125</v>
      </c>
      <c r="N290" s="57">
        <v>8.984375E-2</v>
      </c>
      <c r="O290" s="57">
        <v>9.5703125E-2</v>
      </c>
      <c r="P290" s="57">
        <v>6.640625E-2</v>
      </c>
      <c r="Q290" s="57">
        <v>0.16015625</v>
      </c>
    </row>
    <row r="291" spans="1:17" x14ac:dyDescent="0.25">
      <c r="A291" s="1">
        <v>45</v>
      </c>
      <c r="B291" s="57">
        <v>0.375</v>
      </c>
      <c r="C291" s="57">
        <v>0.3125</v>
      </c>
      <c r="D291" s="57">
        <v>7.8125E-2</v>
      </c>
      <c r="E291" s="57">
        <v>0</v>
      </c>
      <c r="F291" s="57">
        <v>0.2734375</v>
      </c>
      <c r="G291" s="57">
        <v>0.2265625</v>
      </c>
      <c r="H291" s="57">
        <v>8.59375E-2</v>
      </c>
      <c r="I291" s="57">
        <v>1.0625</v>
      </c>
      <c r="J291" s="57">
        <v>0.328125</v>
      </c>
      <c r="K291" s="57">
        <v>9.375E-2</v>
      </c>
      <c r="L291" s="57">
        <v>0.1875</v>
      </c>
      <c r="M291" s="57">
        <v>0.30078125</v>
      </c>
      <c r="N291" s="57">
        <v>0.66796875</v>
      </c>
      <c r="O291" s="57">
        <v>0.22265625</v>
      </c>
      <c r="P291" s="57">
        <v>0.328125</v>
      </c>
      <c r="Q291" s="57">
        <v>0.203125</v>
      </c>
    </row>
    <row r="292" spans="1:17" x14ac:dyDescent="0.25">
      <c r="A292" s="1">
        <v>46</v>
      </c>
      <c r="B292" s="57">
        <v>0.25</v>
      </c>
      <c r="C292" s="57">
        <v>0.296875</v>
      </c>
      <c r="D292" s="57">
        <v>0.109375</v>
      </c>
      <c r="E292" s="57">
        <v>0</v>
      </c>
      <c r="F292" s="57">
        <v>0.2265625</v>
      </c>
      <c r="G292" s="57">
        <v>0.2421875</v>
      </c>
      <c r="H292" s="57">
        <v>0.3203125</v>
      </c>
      <c r="I292" s="57">
        <v>0.328125</v>
      </c>
      <c r="J292" s="57">
        <v>1.03125</v>
      </c>
      <c r="K292" s="57">
        <v>0.15625</v>
      </c>
      <c r="L292" s="57">
        <v>0.125</v>
      </c>
      <c r="M292" s="57">
        <v>0.62890625</v>
      </c>
      <c r="N292" s="57">
        <v>0.27734375</v>
      </c>
      <c r="O292" s="57">
        <v>0.2265625</v>
      </c>
      <c r="P292" s="57">
        <v>0.3125</v>
      </c>
      <c r="Q292" s="57">
        <v>0.2265625</v>
      </c>
    </row>
    <row r="293" spans="1:17" x14ac:dyDescent="0.25">
      <c r="A293" s="1">
        <v>47</v>
      </c>
      <c r="B293" s="57">
        <v>0.25</v>
      </c>
      <c r="C293" s="57">
        <v>3.125E-2</v>
      </c>
      <c r="D293" s="57">
        <v>0.25</v>
      </c>
      <c r="E293" s="57">
        <v>0</v>
      </c>
      <c r="F293" s="57">
        <v>9.375E-2</v>
      </c>
      <c r="G293" s="57">
        <v>0.15625</v>
      </c>
      <c r="H293" s="57">
        <v>0.25</v>
      </c>
      <c r="I293" s="57">
        <v>9.375E-2</v>
      </c>
      <c r="J293" s="57">
        <v>0.15625</v>
      </c>
      <c r="K293" s="57">
        <v>1</v>
      </c>
      <c r="L293" s="57">
        <v>0.125</v>
      </c>
      <c r="M293" s="57">
        <v>0.125</v>
      </c>
      <c r="N293" s="57">
        <v>9.375E-2</v>
      </c>
      <c r="O293" s="57">
        <v>8.59375E-2</v>
      </c>
      <c r="P293" s="57">
        <v>4.6875E-2</v>
      </c>
      <c r="Q293" s="57">
        <v>0.515625</v>
      </c>
    </row>
    <row r="294" spans="1:17" x14ac:dyDescent="0.25">
      <c r="A294" s="1">
        <v>48</v>
      </c>
      <c r="B294" s="57">
        <v>0.5</v>
      </c>
      <c r="C294" s="57">
        <v>6.25E-2</v>
      </c>
      <c r="D294" s="57">
        <v>6.25E-2</v>
      </c>
      <c r="E294" s="57">
        <v>0.5</v>
      </c>
      <c r="F294" s="57">
        <v>0.1875</v>
      </c>
      <c r="G294" s="57">
        <v>0.125</v>
      </c>
      <c r="H294" s="57">
        <v>9.375E-2</v>
      </c>
      <c r="I294" s="57">
        <v>0.1875</v>
      </c>
      <c r="J294" s="57">
        <v>0.125</v>
      </c>
      <c r="K294" s="57">
        <v>0.125</v>
      </c>
      <c r="L294" s="57">
        <v>1</v>
      </c>
      <c r="M294" s="57">
        <v>0.15625</v>
      </c>
      <c r="N294" s="57">
        <v>0.1875</v>
      </c>
      <c r="O294" s="57">
        <v>7.8125E-2</v>
      </c>
      <c r="P294" s="57">
        <v>6.25E-2</v>
      </c>
      <c r="Q294" s="57">
        <v>9.375E-2</v>
      </c>
    </row>
    <row r="295" spans="1:17" x14ac:dyDescent="0.25">
      <c r="A295" s="1">
        <v>49</v>
      </c>
      <c r="B295" s="57">
        <v>0.3125</v>
      </c>
      <c r="C295" s="57">
        <v>0.43359375</v>
      </c>
      <c r="D295" s="57">
        <v>0.1015625</v>
      </c>
      <c r="E295" s="57">
        <v>0</v>
      </c>
      <c r="F295" s="57">
        <v>0.6328125</v>
      </c>
      <c r="G295" s="57">
        <v>0.328125</v>
      </c>
      <c r="H295" s="57">
        <v>0.20703125</v>
      </c>
      <c r="I295" s="57">
        <v>0.30078125</v>
      </c>
      <c r="J295" s="57">
        <v>0.62890625</v>
      </c>
      <c r="K295" s="57">
        <v>0.125</v>
      </c>
      <c r="L295" s="57">
        <v>0.15625</v>
      </c>
      <c r="M295" s="57">
        <v>1.11328125</v>
      </c>
      <c r="N295" s="57">
        <v>0.466796875</v>
      </c>
      <c r="O295" s="57">
        <v>0.2998046875</v>
      </c>
      <c r="P295" s="57">
        <v>0.35546875</v>
      </c>
      <c r="Q295" s="57">
        <v>0.279296875</v>
      </c>
    </row>
    <row r="296" spans="1:17" x14ac:dyDescent="0.25">
      <c r="A296" s="1">
        <v>51</v>
      </c>
      <c r="B296" s="57">
        <v>0.375</v>
      </c>
      <c r="C296" s="57">
        <v>0.44140625</v>
      </c>
      <c r="D296" s="57">
        <v>8.59375E-2</v>
      </c>
      <c r="E296" s="57">
        <v>0</v>
      </c>
      <c r="F296" s="57">
        <v>0.65625</v>
      </c>
      <c r="G296" s="57">
        <v>0.3203125</v>
      </c>
      <c r="H296" s="57">
        <v>8.984375E-2</v>
      </c>
      <c r="I296" s="57">
        <v>0.66796875</v>
      </c>
      <c r="J296" s="57">
        <v>0.27734375</v>
      </c>
      <c r="K296" s="57">
        <v>9.375E-2</v>
      </c>
      <c r="L296" s="57">
        <v>0.1875</v>
      </c>
      <c r="M296" s="57">
        <v>0.466796875</v>
      </c>
      <c r="N296" s="57">
        <v>1.13671875</v>
      </c>
      <c r="O296" s="57">
        <v>0.2978515625</v>
      </c>
      <c r="P296" s="57">
        <v>0.36328125</v>
      </c>
      <c r="Q296" s="57">
        <v>0.267578125</v>
      </c>
    </row>
    <row r="297" spans="1:17" x14ac:dyDescent="0.25">
      <c r="A297" s="1">
        <v>52</v>
      </c>
      <c r="B297" s="57">
        <v>0.15625</v>
      </c>
      <c r="C297" s="57">
        <v>0.58984375</v>
      </c>
      <c r="D297" s="57">
        <v>0.10546875</v>
      </c>
      <c r="E297" s="57">
        <v>0</v>
      </c>
      <c r="F297" s="57">
        <v>0.373046875</v>
      </c>
      <c r="G297" s="57">
        <v>0.673828125</v>
      </c>
      <c r="H297" s="57">
        <v>9.5703125E-2</v>
      </c>
      <c r="I297" s="57">
        <v>0.22265625</v>
      </c>
      <c r="J297" s="57">
        <v>0.2265625</v>
      </c>
      <c r="K297" s="57">
        <v>8.59375E-2</v>
      </c>
      <c r="L297" s="57">
        <v>7.8125E-2</v>
      </c>
      <c r="M297" s="57">
        <v>0.2998046875</v>
      </c>
      <c r="N297" s="57">
        <v>0.2978515625</v>
      </c>
      <c r="O297" s="57">
        <v>1.162109375</v>
      </c>
      <c r="P297" s="57">
        <v>0.42578125</v>
      </c>
      <c r="Q297" s="57">
        <v>0.337890625</v>
      </c>
    </row>
    <row r="298" spans="1:17" x14ac:dyDescent="0.25">
      <c r="A298" s="1">
        <v>53</v>
      </c>
      <c r="B298" s="57">
        <v>0.125</v>
      </c>
      <c r="C298" s="57">
        <v>0.71875</v>
      </c>
      <c r="D298" s="57">
        <v>0.1015625</v>
      </c>
      <c r="E298" s="57">
        <v>0</v>
      </c>
      <c r="F298" s="57">
        <v>0.3984375</v>
      </c>
      <c r="G298" s="57">
        <v>0.3828125</v>
      </c>
      <c r="H298" s="57">
        <v>6.640625E-2</v>
      </c>
      <c r="I298" s="57">
        <v>0.328125</v>
      </c>
      <c r="J298" s="57">
        <v>0.3125</v>
      </c>
      <c r="K298" s="57">
        <v>4.6875E-2</v>
      </c>
      <c r="L298" s="57">
        <v>6.25E-2</v>
      </c>
      <c r="M298" s="57">
        <v>0.35546875</v>
      </c>
      <c r="N298" s="57">
        <v>0.36328125</v>
      </c>
      <c r="O298" s="57">
        <v>0.42578125</v>
      </c>
      <c r="P298" s="57">
        <v>1.1875</v>
      </c>
      <c r="Q298" s="57">
        <v>0.3828125</v>
      </c>
    </row>
    <row r="299" spans="1:17" x14ac:dyDescent="0.25">
      <c r="A299" s="1">
        <v>54</v>
      </c>
      <c r="B299" s="57">
        <v>0.1875</v>
      </c>
      <c r="C299" s="57">
        <v>0.546875</v>
      </c>
      <c r="D299" s="57">
        <v>0.1796875</v>
      </c>
      <c r="E299" s="57">
        <v>0</v>
      </c>
      <c r="F299" s="57">
        <v>0.33203125</v>
      </c>
      <c r="G299" s="57">
        <v>0.35546875</v>
      </c>
      <c r="H299" s="57">
        <v>0.16015625</v>
      </c>
      <c r="I299" s="57">
        <v>0.203125</v>
      </c>
      <c r="J299" s="57">
        <v>0.2265625</v>
      </c>
      <c r="K299" s="57">
        <v>0.515625</v>
      </c>
      <c r="L299" s="57">
        <v>9.375E-2</v>
      </c>
      <c r="M299" s="57">
        <v>0.279296875</v>
      </c>
      <c r="N299" s="57">
        <v>0.267578125</v>
      </c>
      <c r="O299" s="57">
        <v>0.337890625</v>
      </c>
      <c r="P299" s="57">
        <v>0.3828125</v>
      </c>
      <c r="Q299" s="57">
        <v>1.015625</v>
      </c>
    </row>
    <row r="300" spans="1:17" ht="15" customHeight="1" x14ac:dyDescent="0.25"/>
    <row r="302" spans="1:17" x14ac:dyDescent="0.25">
      <c r="A302" s="1"/>
      <c r="B302" s="1">
        <v>19</v>
      </c>
      <c r="C302" s="1">
        <v>31</v>
      </c>
      <c r="D302" s="1">
        <v>33</v>
      </c>
      <c r="E302" s="1">
        <v>39</v>
      </c>
      <c r="F302" s="1">
        <v>40</v>
      </c>
      <c r="G302" s="1">
        <v>41</v>
      </c>
      <c r="H302" s="1">
        <v>43</v>
      </c>
      <c r="I302" s="1">
        <v>45</v>
      </c>
      <c r="J302" s="1">
        <v>46</v>
      </c>
      <c r="K302" s="1">
        <v>47</v>
      </c>
      <c r="L302" s="1">
        <v>48</v>
      </c>
      <c r="M302" s="1">
        <v>49</v>
      </c>
      <c r="N302" s="1">
        <v>51</v>
      </c>
      <c r="O302" s="1">
        <v>52</v>
      </c>
      <c r="P302" s="1">
        <v>53</v>
      </c>
      <c r="Q302" s="1">
        <v>54</v>
      </c>
    </row>
    <row r="303" spans="1:17" x14ac:dyDescent="0.25">
      <c r="A303" s="1">
        <v>19</v>
      </c>
      <c r="B303" s="39">
        <f t="array" ref="B303:Q318">MINVERSE(Ap_matrix)</f>
        <v>1.9237920888618822</v>
      </c>
      <c r="C303" s="39">
        <v>0.31874802284100612</v>
      </c>
      <c r="D303" s="39">
        <v>-6.8197492915385034E-4</v>
      </c>
      <c r="E303" s="39">
        <v>0.5</v>
      </c>
      <c r="F303" s="39">
        <v>-0.47401732006914837</v>
      </c>
      <c r="G303" s="39">
        <v>-0.19406500461818177</v>
      </c>
      <c r="H303" s="39">
        <v>-9.0945077505955596E-2</v>
      </c>
      <c r="I303" s="39">
        <v>-0.38166966362955612</v>
      </c>
      <c r="J303" s="39">
        <v>-0.11574086499659515</v>
      </c>
      <c r="K303" s="39">
        <v>-0.21732824591316724</v>
      </c>
      <c r="L303" s="39">
        <v>-1</v>
      </c>
      <c r="M303" s="39">
        <v>4.2111379778075961E-17</v>
      </c>
      <c r="N303" s="39">
        <v>7.7206603025453999E-18</v>
      </c>
      <c r="O303" s="39">
        <v>2.3439765405854421E-2</v>
      </c>
      <c r="P303" s="39">
        <v>2.0044332846707452E-2</v>
      </c>
      <c r="Q303" s="39">
        <v>0</v>
      </c>
    </row>
    <row r="304" spans="1:17" x14ac:dyDescent="0.25">
      <c r="A304" s="1">
        <v>31</v>
      </c>
      <c r="B304" s="39">
        <v>0.31874802284100601</v>
      </c>
      <c r="C304" s="39">
        <v>2.9696118786938683</v>
      </c>
      <c r="D304" s="39">
        <v>-8.8849800387934483E-2</v>
      </c>
      <c r="E304" s="39">
        <v>0</v>
      </c>
      <c r="F304" s="39">
        <v>-0.72451290850182815</v>
      </c>
      <c r="G304" s="39">
        <v>-0.45509400315133275</v>
      </c>
      <c r="H304" s="39">
        <v>7.5470668546931588E-2</v>
      </c>
      <c r="I304" s="39">
        <v>-0.15215249333569233</v>
      </c>
      <c r="J304" s="39">
        <v>-0.13373900978964526</v>
      </c>
      <c r="K304" s="39">
        <v>0.61499341664518126</v>
      </c>
      <c r="L304" s="39">
        <v>0</v>
      </c>
      <c r="M304" s="39">
        <v>-4.4182752002281463E-17</v>
      </c>
      <c r="N304" s="39">
        <v>2.6587037527090116E-17</v>
      </c>
      <c r="O304" s="39">
        <v>-0.41039811559093414</v>
      </c>
      <c r="P304" s="39">
        <v>-0.90489212448736311</v>
      </c>
      <c r="Q304" s="39">
        <v>-1.032258064516129</v>
      </c>
    </row>
    <row r="305" spans="1:19" x14ac:dyDescent="0.25">
      <c r="A305" s="1">
        <v>33</v>
      </c>
      <c r="B305" s="39">
        <v>-6.8197492915385695E-4</v>
      </c>
      <c r="C305" s="39">
        <v>-8.8849800387934441E-2</v>
      </c>
      <c r="D305" s="39">
        <v>1.4881011954559298</v>
      </c>
      <c r="E305" s="39">
        <v>0</v>
      </c>
      <c r="F305" s="39">
        <v>6.2615246758596945E-4</v>
      </c>
      <c r="G305" s="39">
        <v>3.9000120948261383E-3</v>
      </c>
      <c r="H305" s="39">
        <v>-0.78006624492672616</v>
      </c>
      <c r="I305" s="39">
        <v>-3.6243463698133603E-2</v>
      </c>
      <c r="J305" s="39">
        <v>0.17009899248834059</v>
      </c>
      <c r="K305" s="39">
        <v>-0.19369383738389892</v>
      </c>
      <c r="L305" s="39">
        <v>0</v>
      </c>
      <c r="M305" s="39">
        <v>-4.9216813693298336E-18</v>
      </c>
      <c r="N305" s="39">
        <v>-8.8922751022188288E-18</v>
      </c>
      <c r="O305" s="39">
        <v>-2.1408404485187372E-2</v>
      </c>
      <c r="P305" s="39">
        <v>-5.0694123345083927E-2</v>
      </c>
      <c r="Q305" s="39">
        <v>0</v>
      </c>
    </row>
    <row r="306" spans="1:19" x14ac:dyDescent="0.25">
      <c r="A306" s="1">
        <v>39</v>
      </c>
      <c r="B306" s="39">
        <v>0.5</v>
      </c>
      <c r="C306" s="39">
        <v>0</v>
      </c>
      <c r="D306" s="39">
        <v>0</v>
      </c>
      <c r="E306" s="39">
        <v>1.5</v>
      </c>
      <c r="F306" s="39">
        <v>0</v>
      </c>
      <c r="G306" s="39">
        <v>0</v>
      </c>
      <c r="H306" s="39">
        <v>0</v>
      </c>
      <c r="I306" s="39">
        <v>0</v>
      </c>
      <c r="J306" s="39">
        <v>0</v>
      </c>
      <c r="K306" s="39">
        <v>0</v>
      </c>
      <c r="L306" s="39">
        <v>-1</v>
      </c>
      <c r="M306" s="39">
        <v>0</v>
      </c>
      <c r="N306" s="39">
        <v>0</v>
      </c>
      <c r="O306" s="39">
        <v>0</v>
      </c>
      <c r="P306" s="39">
        <v>0</v>
      </c>
      <c r="Q306" s="39">
        <v>0</v>
      </c>
    </row>
    <row r="307" spans="1:19" x14ac:dyDescent="0.25">
      <c r="A307" s="1">
        <v>40</v>
      </c>
      <c r="B307" s="39">
        <v>-0.47401732006914837</v>
      </c>
      <c r="C307" s="39">
        <v>-0.72451290850182837</v>
      </c>
      <c r="D307" s="39">
        <v>6.2615246758600002E-4</v>
      </c>
      <c r="E307" s="39">
        <v>0</v>
      </c>
      <c r="F307" s="39">
        <v>2.6279539967947128</v>
      </c>
      <c r="G307" s="39">
        <v>-0.13505138600327124</v>
      </c>
      <c r="H307" s="39">
        <v>5.497970631424166E-3</v>
      </c>
      <c r="I307" s="39">
        <v>0.52596705913278063</v>
      </c>
      <c r="J307" s="39">
        <v>0.52264146502983222</v>
      </c>
      <c r="K307" s="39">
        <v>1.1747342141436318E-2</v>
      </c>
      <c r="L307" s="39">
        <v>0</v>
      </c>
      <c r="M307" s="39">
        <v>-1.0364372469635628</v>
      </c>
      <c r="N307" s="39">
        <v>-1.0534979423868316</v>
      </c>
      <c r="O307" s="39">
        <v>-1.3503405759694473E-4</v>
      </c>
      <c r="P307" s="39">
        <v>-9.039123367834878E-4</v>
      </c>
      <c r="Q307" s="39">
        <v>-8.2419841214158222E-34</v>
      </c>
    </row>
    <row r="308" spans="1:19" x14ac:dyDescent="0.25">
      <c r="A308" s="1">
        <v>41</v>
      </c>
      <c r="B308" s="39">
        <v>-0.19406500461818185</v>
      </c>
      <c r="C308" s="39">
        <v>-0.45509400315133297</v>
      </c>
      <c r="D308" s="39">
        <v>3.9000120948261083E-3</v>
      </c>
      <c r="E308" s="39">
        <v>0</v>
      </c>
      <c r="F308" s="39">
        <v>-0.13505138600327127</v>
      </c>
      <c r="G308" s="39">
        <v>1.8509738620610969</v>
      </c>
      <c r="H308" s="39">
        <v>-6.3896080379048634E-2</v>
      </c>
      <c r="I308" s="39">
        <v>2.0745501634256439E-2</v>
      </c>
      <c r="J308" s="39">
        <v>-3.537101563194605E-2</v>
      </c>
      <c r="K308" s="39">
        <v>-0.1308083478546786</v>
      </c>
      <c r="L308" s="39">
        <v>0</v>
      </c>
      <c r="M308" s="39">
        <v>3.6216212435200646E-17</v>
      </c>
      <c r="N308" s="39">
        <v>2.1468100295754628E-17</v>
      </c>
      <c r="O308" s="39">
        <v>-0.76683093498443278</v>
      </c>
      <c r="P308" s="39">
        <v>3.1425473259174462E-2</v>
      </c>
      <c r="Q308" s="39">
        <v>0</v>
      </c>
    </row>
    <row r="309" spans="1:19" x14ac:dyDescent="0.25">
      <c r="A309" s="1">
        <v>43</v>
      </c>
      <c r="B309" s="39">
        <v>-9.0945077505955596E-2</v>
      </c>
      <c r="C309" s="39">
        <v>7.5470668546931616E-2</v>
      </c>
      <c r="D309" s="39">
        <v>-0.78006624492672616</v>
      </c>
      <c r="E309" s="39">
        <v>0</v>
      </c>
      <c r="F309" s="39">
        <v>5.4979706314242137E-3</v>
      </c>
      <c r="G309" s="39">
        <v>-6.3896080379048634E-2</v>
      </c>
      <c r="H309" s="39">
        <v>1.5062482413564424</v>
      </c>
      <c r="I309" s="39">
        <v>7.1295650380230127E-2</v>
      </c>
      <c r="J309" s="39">
        <v>-0.39572023937074186</v>
      </c>
      <c r="K309" s="39">
        <v>-9.9633922976949493E-2</v>
      </c>
      <c r="L309" s="39">
        <v>0</v>
      </c>
      <c r="M309" s="39">
        <v>-5.5768681710302321E-20</v>
      </c>
      <c r="N309" s="39">
        <v>1.0814700843062454E-18</v>
      </c>
      <c r="O309" s="39">
        <v>8.3029323684780734E-3</v>
      </c>
      <c r="P309" s="39">
        <v>5.0524791350695146E-2</v>
      </c>
      <c r="Q309" s="39">
        <v>0</v>
      </c>
    </row>
    <row r="310" spans="1:19" x14ac:dyDescent="0.25">
      <c r="A310" s="1">
        <v>45</v>
      </c>
      <c r="B310" s="39">
        <v>-0.38166966362955612</v>
      </c>
      <c r="C310" s="39">
        <v>-0.15215249333569236</v>
      </c>
      <c r="D310" s="39">
        <v>-3.6243463698133589E-2</v>
      </c>
      <c r="E310" s="39">
        <v>0</v>
      </c>
      <c r="F310" s="39">
        <v>0.52596705913278052</v>
      </c>
      <c r="G310" s="39">
        <v>2.0745501634256442E-2</v>
      </c>
      <c r="H310" s="39">
        <v>7.1295650380230141E-2</v>
      </c>
      <c r="I310" s="39">
        <v>1.7606430244371916</v>
      </c>
      <c r="J310" s="39">
        <v>-0.23210002640957889</v>
      </c>
      <c r="K310" s="39">
        <v>1.7816901770035531E-2</v>
      </c>
      <c r="L310" s="39">
        <v>0</v>
      </c>
      <c r="M310" s="39">
        <v>4.6465227936438605E-17</v>
      </c>
      <c r="N310" s="39">
        <v>-1.0534979423868316</v>
      </c>
      <c r="O310" s="39">
        <v>-2.4497447817372262E-2</v>
      </c>
      <c r="P310" s="39">
        <v>-0.14682957726720156</v>
      </c>
      <c r="Q310" s="39">
        <v>0</v>
      </c>
    </row>
    <row r="311" spans="1:19" x14ac:dyDescent="0.25">
      <c r="A311" s="1">
        <v>46</v>
      </c>
      <c r="B311" s="39">
        <v>-0.11574086499659512</v>
      </c>
      <c r="C311" s="39">
        <v>-0.13373900978964529</v>
      </c>
      <c r="D311" s="39">
        <v>0.17009899248834068</v>
      </c>
      <c r="E311" s="39">
        <v>0</v>
      </c>
      <c r="F311" s="39">
        <v>0.522641465029832</v>
      </c>
      <c r="G311" s="39">
        <v>-3.537101563194605E-2</v>
      </c>
      <c r="H311" s="39">
        <v>-0.39572023937074197</v>
      </c>
      <c r="I311" s="39">
        <v>-0.23210002640957894</v>
      </c>
      <c r="J311" s="39">
        <v>1.8033608477978689</v>
      </c>
      <c r="K311" s="39">
        <v>-7.5135683043150658E-2</v>
      </c>
      <c r="L311" s="39">
        <v>0</v>
      </c>
      <c r="M311" s="39">
        <v>-1.0364372469635628</v>
      </c>
      <c r="N311" s="39">
        <v>4.6173598562020972E-17</v>
      </c>
      <c r="O311" s="39">
        <v>-2.5381058380408782E-2</v>
      </c>
      <c r="P311" s="39">
        <v>-0.15136587739170695</v>
      </c>
      <c r="Q311" s="39">
        <v>0</v>
      </c>
    </row>
    <row r="312" spans="1:19" x14ac:dyDescent="0.25">
      <c r="A312" s="1">
        <v>47</v>
      </c>
      <c r="B312" s="39">
        <v>-0.21732824591316718</v>
      </c>
      <c r="C312" s="39">
        <v>0.61499341664518126</v>
      </c>
      <c r="D312" s="39">
        <v>-0.19369383738389886</v>
      </c>
      <c r="E312" s="39">
        <v>0</v>
      </c>
      <c r="F312" s="39">
        <v>1.1747342141436331E-2</v>
      </c>
      <c r="G312" s="39">
        <v>-0.13080834785467862</v>
      </c>
      <c r="H312" s="39">
        <v>-9.9633922976949507E-2</v>
      </c>
      <c r="I312" s="39">
        <v>1.7816901770035535E-2</v>
      </c>
      <c r="J312" s="39">
        <v>-7.5135683043150658E-2</v>
      </c>
      <c r="K312" s="39">
        <v>1.6700165949233698</v>
      </c>
      <c r="L312" s="39">
        <v>0</v>
      </c>
      <c r="M312" s="39">
        <v>-2.1547868340257084E-19</v>
      </c>
      <c r="N312" s="39">
        <v>1.6376682183072728E-18</v>
      </c>
      <c r="O312" s="39">
        <v>6.3077931688076683E-3</v>
      </c>
      <c r="P312" s="39">
        <v>-9.5582319628330741E-3</v>
      </c>
      <c r="Q312" s="39">
        <v>-1.032258064516129</v>
      </c>
    </row>
    <row r="313" spans="1:19" x14ac:dyDescent="0.25">
      <c r="A313" s="1">
        <v>48</v>
      </c>
      <c r="B313" s="39">
        <v>-1</v>
      </c>
      <c r="C313" s="39">
        <v>0</v>
      </c>
      <c r="D313" s="39">
        <v>0</v>
      </c>
      <c r="E313" s="39">
        <v>-1</v>
      </c>
      <c r="F313" s="39">
        <v>0</v>
      </c>
      <c r="G313" s="39">
        <v>0</v>
      </c>
      <c r="H313" s="39">
        <v>0</v>
      </c>
      <c r="I313" s="39">
        <v>0</v>
      </c>
      <c r="J313" s="39">
        <v>0</v>
      </c>
      <c r="K313" s="39">
        <v>0</v>
      </c>
      <c r="L313" s="39">
        <v>2</v>
      </c>
      <c r="M313" s="39">
        <v>0</v>
      </c>
      <c r="N313" s="39">
        <v>0</v>
      </c>
      <c r="O313" s="39">
        <v>0</v>
      </c>
      <c r="P313" s="39">
        <v>0</v>
      </c>
      <c r="Q313" s="39">
        <v>0</v>
      </c>
    </row>
    <row r="314" spans="1:19" x14ac:dyDescent="0.25">
      <c r="A314" s="1">
        <v>49</v>
      </c>
      <c r="B314" s="39">
        <v>2.51707119711566E-17</v>
      </c>
      <c r="C314" s="39">
        <v>5.9221982531321418E-17</v>
      </c>
      <c r="D314" s="39">
        <v>-4.5972676686809419E-17</v>
      </c>
      <c r="E314" s="39">
        <v>0</v>
      </c>
      <c r="F314" s="39">
        <v>-1.0364372469635628</v>
      </c>
      <c r="G314" s="39">
        <v>4.4962493167172383E-17</v>
      </c>
      <c r="H314" s="39">
        <v>5.6558759770729512E-17</v>
      </c>
      <c r="I314" s="39">
        <v>7.3162894139851373E-17</v>
      </c>
      <c r="J314" s="39">
        <v>-1.0364372469635632</v>
      </c>
      <c r="K314" s="39">
        <v>1.6255273094425479E-17</v>
      </c>
      <c r="L314" s="39">
        <v>0</v>
      </c>
      <c r="M314" s="39">
        <v>2.0728744939271255</v>
      </c>
      <c r="N314" s="39">
        <v>-9.0917649000142799E-17</v>
      </c>
      <c r="O314" s="39">
        <v>-5.0259255119575913E-17</v>
      </c>
      <c r="P314" s="39">
        <v>2.2485723533701744E-17</v>
      </c>
      <c r="Q314" s="39">
        <v>1.6483968242831644E-33</v>
      </c>
    </row>
    <row r="315" spans="1:19" x14ac:dyDescent="0.25">
      <c r="A315" s="1">
        <v>51</v>
      </c>
      <c r="B315" s="39">
        <v>5.8133366297023893E-17</v>
      </c>
      <c r="C315" s="39">
        <v>1.0261546728554331E-16</v>
      </c>
      <c r="D315" s="39">
        <v>-8.3876758307500929E-18</v>
      </c>
      <c r="E315" s="39">
        <v>0</v>
      </c>
      <c r="F315" s="39">
        <v>-1.0534979423868318</v>
      </c>
      <c r="G315" s="39">
        <v>1.9651125380780192E-17</v>
      </c>
      <c r="H315" s="39">
        <v>2.4914291788390068E-18</v>
      </c>
      <c r="I315" s="39">
        <v>-1.0534979423868318</v>
      </c>
      <c r="J315" s="39">
        <v>4.1689152397328001E-17</v>
      </c>
      <c r="K315" s="39">
        <v>8.5404627962206133E-19</v>
      </c>
      <c r="L315" s="39">
        <v>0</v>
      </c>
      <c r="M315" s="39">
        <v>-9.0917649000142811E-17</v>
      </c>
      <c r="N315" s="39">
        <v>2.1069958847736632</v>
      </c>
      <c r="O315" s="39">
        <v>-4.6186919101581634E-17</v>
      </c>
      <c r="P315" s="39">
        <v>4.4401087090433106E-17</v>
      </c>
      <c r="Q315" s="39">
        <v>-7.2299777107680322E-50</v>
      </c>
    </row>
    <row r="316" spans="1:19" x14ac:dyDescent="0.25">
      <c r="A316" s="1">
        <v>52</v>
      </c>
      <c r="B316" s="39">
        <v>2.3439765405854424E-2</v>
      </c>
      <c r="C316" s="39">
        <v>-0.41039811559093403</v>
      </c>
      <c r="D316" s="39">
        <v>-2.1408404485187361E-2</v>
      </c>
      <c r="E316" s="39">
        <v>0</v>
      </c>
      <c r="F316" s="39">
        <v>-1.3503405759692798E-4</v>
      </c>
      <c r="G316" s="39">
        <v>-0.76683093498443289</v>
      </c>
      <c r="H316" s="39">
        <v>8.3029323684780804E-3</v>
      </c>
      <c r="I316" s="39">
        <v>-2.4497447817372259E-2</v>
      </c>
      <c r="J316" s="39">
        <v>-2.5381058380408782E-2</v>
      </c>
      <c r="K316" s="39">
        <v>6.3077931688076674E-3</v>
      </c>
      <c r="L316" s="39">
        <v>0</v>
      </c>
      <c r="M316" s="39">
        <v>-5.2491228804735599E-17</v>
      </c>
      <c r="N316" s="39">
        <v>-5.0537022511458553E-17</v>
      </c>
      <c r="O316" s="39">
        <v>1.5365966101539734</v>
      </c>
      <c r="P316" s="39">
        <v>-4.320591839892185E-2</v>
      </c>
      <c r="Q316" s="39">
        <v>-4.174221599905944E-50</v>
      </c>
    </row>
    <row r="317" spans="1:19" x14ac:dyDescent="0.25">
      <c r="A317" s="1">
        <v>53</v>
      </c>
      <c r="B317" s="39">
        <v>2.0044332846707449E-2</v>
      </c>
      <c r="C317" s="39">
        <v>-0.90489212448736334</v>
      </c>
      <c r="D317" s="39">
        <v>-5.069412334508392E-2</v>
      </c>
      <c r="E317" s="39">
        <v>0</v>
      </c>
      <c r="F317" s="39">
        <v>-9.039123367834556E-4</v>
      </c>
      <c r="G317" s="39">
        <v>3.1425473259174462E-2</v>
      </c>
      <c r="H317" s="39">
        <v>5.052479135069516E-2</v>
      </c>
      <c r="I317" s="39">
        <v>-0.14682957726720153</v>
      </c>
      <c r="J317" s="39">
        <v>-0.15136587739170695</v>
      </c>
      <c r="K317" s="39">
        <v>-9.5582319628330775E-3</v>
      </c>
      <c r="L317" s="39">
        <v>0</v>
      </c>
      <c r="M317" s="39">
        <v>1.4759447817402679E-18</v>
      </c>
      <c r="N317" s="39">
        <v>1.4059957189599872E-18</v>
      </c>
      <c r="O317" s="39">
        <v>-4.3205918398921843E-2</v>
      </c>
      <c r="P317" s="39">
        <v>1.4756495370340832</v>
      </c>
      <c r="Q317" s="39">
        <v>1.1737047747780811E-51</v>
      </c>
    </row>
    <row r="318" spans="1:19" x14ac:dyDescent="0.25">
      <c r="A318" s="1">
        <v>54</v>
      </c>
      <c r="B318" s="39">
        <v>0</v>
      </c>
      <c r="C318" s="39">
        <v>-1.032258064516129</v>
      </c>
      <c r="D318" s="39">
        <v>0</v>
      </c>
      <c r="E318" s="39">
        <v>0</v>
      </c>
      <c r="F318" s="39">
        <v>0</v>
      </c>
      <c r="G318" s="39">
        <v>0</v>
      </c>
      <c r="H318" s="39">
        <v>0</v>
      </c>
      <c r="I318" s="39">
        <v>0</v>
      </c>
      <c r="J318" s="39">
        <v>0</v>
      </c>
      <c r="K318" s="39">
        <v>-1.032258064516129</v>
      </c>
      <c r="L318" s="39">
        <v>0</v>
      </c>
      <c r="M318" s="39">
        <v>0</v>
      </c>
      <c r="N318" s="39">
        <v>0</v>
      </c>
      <c r="O318" s="39">
        <v>0</v>
      </c>
      <c r="P318" s="39">
        <v>0</v>
      </c>
      <c r="Q318" s="39">
        <v>2.064516129032258</v>
      </c>
    </row>
    <row r="319" spans="1:19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S319" s="1"/>
    </row>
    <row r="320" spans="1:19" ht="15.75" customHeight="1" x14ac:dyDescent="0.25"/>
    <row r="321" spans="1:53" s="1" customFormat="1" ht="15.75" customHeight="1" x14ac:dyDescent="0.25">
      <c r="A321" s="1">
        <v>1</v>
      </c>
      <c r="B321" s="1">
        <v>2</v>
      </c>
      <c r="C321" s="1">
        <v>3</v>
      </c>
      <c r="D321" s="1">
        <v>4</v>
      </c>
      <c r="E321" s="1">
        <v>5</v>
      </c>
      <c r="F321" s="1">
        <v>6</v>
      </c>
      <c r="G321" s="1">
        <v>7</v>
      </c>
      <c r="H321" s="1">
        <v>8</v>
      </c>
      <c r="I321" s="1">
        <v>9</v>
      </c>
      <c r="J321" s="1">
        <v>10</v>
      </c>
      <c r="K321" s="1">
        <v>11</v>
      </c>
      <c r="L321" s="1">
        <v>12</v>
      </c>
      <c r="M321" s="1">
        <v>13</v>
      </c>
      <c r="N321" s="1">
        <v>14</v>
      </c>
      <c r="O321" s="1">
        <v>15</v>
      </c>
      <c r="P321" s="1">
        <v>16</v>
      </c>
      <c r="Q321" s="1">
        <v>17</v>
      </c>
      <c r="R321" s="1">
        <v>18</v>
      </c>
      <c r="S321" s="1">
        <v>19</v>
      </c>
      <c r="T321" s="1">
        <v>20</v>
      </c>
      <c r="U321" s="1">
        <v>21</v>
      </c>
      <c r="V321" s="1">
        <v>22</v>
      </c>
      <c r="W321" s="1">
        <v>23</v>
      </c>
      <c r="X321" s="1">
        <v>24</v>
      </c>
      <c r="Y321" s="1">
        <v>25</v>
      </c>
      <c r="Z321" s="1">
        <v>26</v>
      </c>
      <c r="AA321" s="1">
        <v>27</v>
      </c>
      <c r="AB321" s="1">
        <v>28</v>
      </c>
      <c r="AC321" s="1">
        <v>29</v>
      </c>
      <c r="AD321" s="1">
        <v>30</v>
      </c>
      <c r="AE321" s="1">
        <v>31</v>
      </c>
      <c r="AF321" s="1">
        <v>32</v>
      </c>
      <c r="AG321" s="1">
        <v>33</v>
      </c>
      <c r="AH321" s="1">
        <v>34</v>
      </c>
      <c r="AI321" s="1">
        <v>35</v>
      </c>
      <c r="AJ321" s="1">
        <v>36</v>
      </c>
      <c r="AK321" s="1">
        <v>37</v>
      </c>
      <c r="AL321" s="1">
        <v>38</v>
      </c>
      <c r="AM321" s="1">
        <v>39</v>
      </c>
      <c r="AN321" s="1">
        <v>40</v>
      </c>
      <c r="AO321" s="1">
        <v>41</v>
      </c>
      <c r="AP321" s="1">
        <v>42</v>
      </c>
      <c r="AQ321" s="1">
        <v>43</v>
      </c>
      <c r="AR321" s="1">
        <v>44</v>
      </c>
      <c r="AS321" s="1">
        <v>45</v>
      </c>
      <c r="AT321" s="1">
        <v>46</v>
      </c>
      <c r="AU321" s="1">
        <v>47</v>
      </c>
      <c r="AV321" s="1">
        <v>48</v>
      </c>
      <c r="AW321" s="1">
        <v>49</v>
      </c>
      <c r="AX321" s="1">
        <v>51</v>
      </c>
      <c r="AY321" s="1">
        <v>52</v>
      </c>
      <c r="AZ321" s="1">
        <v>53</v>
      </c>
      <c r="BA321" s="1">
        <v>54</v>
      </c>
    </row>
    <row r="322" spans="1:53" s="30" customFormat="1" x14ac:dyDescent="0.25">
      <c r="A322" s="66">
        <v>1</v>
      </c>
      <c r="B322" s="49">
        <v>1</v>
      </c>
      <c r="C322" s="49">
        <v>1</v>
      </c>
      <c r="D322" s="49">
        <v>1</v>
      </c>
      <c r="E322" s="49">
        <v>1</v>
      </c>
      <c r="F322" s="49">
        <v>1</v>
      </c>
      <c r="G322" s="49">
        <v>1</v>
      </c>
      <c r="H322" s="49">
        <v>1</v>
      </c>
      <c r="I322" s="49">
        <v>1</v>
      </c>
      <c r="J322" s="49">
        <v>1</v>
      </c>
      <c r="K322" s="49">
        <v>1</v>
      </c>
      <c r="L322" s="49">
        <v>1</v>
      </c>
      <c r="M322" s="49">
        <v>1</v>
      </c>
      <c r="N322" s="49">
        <v>1</v>
      </c>
      <c r="O322" s="49">
        <v>1</v>
      </c>
      <c r="P322" s="49">
        <v>1</v>
      </c>
      <c r="Q322" s="49">
        <v>1</v>
      </c>
      <c r="R322" s="66">
        <v>1</v>
      </c>
      <c r="S322" s="49">
        <v>1</v>
      </c>
      <c r="T322" s="49">
        <v>1</v>
      </c>
      <c r="U322" s="49">
        <v>1</v>
      </c>
      <c r="V322" s="49">
        <v>1</v>
      </c>
      <c r="W322" s="49">
        <v>1</v>
      </c>
      <c r="X322" s="49">
        <v>1</v>
      </c>
      <c r="Y322" s="49">
        <v>1</v>
      </c>
      <c r="Z322" s="49">
        <v>1</v>
      </c>
      <c r="AA322" s="49">
        <v>1</v>
      </c>
      <c r="AB322" s="49">
        <v>1</v>
      </c>
      <c r="AC322" s="49">
        <v>1</v>
      </c>
      <c r="AD322" s="49">
        <v>1</v>
      </c>
      <c r="AE322" s="49">
        <v>1.0625</v>
      </c>
      <c r="AF322" s="49">
        <v>1</v>
      </c>
      <c r="AG322" s="49">
        <v>1</v>
      </c>
      <c r="AH322" s="49">
        <v>1</v>
      </c>
      <c r="AI322" s="66">
        <v>1.0625</v>
      </c>
      <c r="AJ322" s="49">
        <v>1</v>
      </c>
      <c r="AK322" s="49">
        <v>1</v>
      </c>
      <c r="AL322" s="49">
        <v>1.125</v>
      </c>
      <c r="AM322" s="49">
        <v>1</v>
      </c>
      <c r="AN322" s="49">
        <v>1.0390619999999999</v>
      </c>
      <c r="AO322" s="49">
        <v>1.0234380000000001</v>
      </c>
      <c r="AP322" s="49">
        <v>1.09375</v>
      </c>
      <c r="AQ322" s="49">
        <v>1.0625</v>
      </c>
      <c r="AR322" s="49">
        <v>1.125</v>
      </c>
      <c r="AS322" s="49">
        <v>1.0625</v>
      </c>
      <c r="AT322" s="49">
        <v>1.03125</v>
      </c>
      <c r="AU322" s="49">
        <v>1</v>
      </c>
      <c r="AV322" s="49">
        <v>1</v>
      </c>
      <c r="AW322" s="49">
        <v>1.113281</v>
      </c>
      <c r="AX322" s="49">
        <v>1.136719</v>
      </c>
      <c r="AY322" s="49">
        <v>1.1621090000000001</v>
      </c>
      <c r="AZ322" s="49">
        <v>1.1875</v>
      </c>
      <c r="BA322" s="49">
        <v>1.015625</v>
      </c>
    </row>
    <row r="324" spans="1:53" x14ac:dyDescent="0.25">
      <c r="A324" s="1"/>
      <c r="B324" s="1" t="s">
        <v>13</v>
      </c>
      <c r="C324" s="1" t="s">
        <v>14</v>
      </c>
      <c r="H324" s="1"/>
      <c r="R324" s="38"/>
    </row>
    <row r="325" spans="1:53" x14ac:dyDescent="0.25">
      <c r="A325" s="1">
        <v>48</v>
      </c>
      <c r="B325" s="3">
        <f t="shared" ref="B325:B336" si="60">VLOOKUP(A325,$B$43:$D$104,2,FALSE)</f>
        <v>19</v>
      </c>
      <c r="C325" s="3">
        <f t="shared" ref="C325:C336" si="61">VLOOKUP(A325,$B$43:$D$104,3,FALSE)</f>
        <v>39</v>
      </c>
      <c r="D325" s="3">
        <f t="shared" ref="D325:D336" si="62">HLOOKUP(B325,$321:$322,2,FALSE) - 1</f>
        <v>0</v>
      </c>
      <c r="E325" s="3">
        <f t="shared" ref="E325:E336" si="63">HLOOKUP(C325,$321:$322,2,FALSE) - 1</f>
        <v>0</v>
      </c>
      <c r="F325" s="3">
        <f t="shared" ref="F325:F326" si="64">AVERAGE(D325:E325)</f>
        <v>0</v>
      </c>
      <c r="G325" s="56">
        <v>9.9999999999999995E-8</v>
      </c>
      <c r="H325" s="56">
        <f t="shared" ref="H325:H326" si="65">1/G325</f>
        <v>10000000</v>
      </c>
      <c r="I325" s="4" t="s">
        <v>15</v>
      </c>
      <c r="R325" s="38"/>
    </row>
    <row r="326" spans="1:53" x14ac:dyDescent="0.25">
      <c r="A326" s="1">
        <v>49</v>
      </c>
      <c r="B326" s="3">
        <f t="shared" si="60"/>
        <v>40</v>
      </c>
      <c r="C326" s="3">
        <f t="shared" si="61"/>
        <v>46</v>
      </c>
      <c r="D326" s="3">
        <f t="shared" si="62"/>
        <v>3.906199999999993E-2</v>
      </c>
      <c r="E326" s="3">
        <f t="shared" si="63"/>
        <v>3.125E-2</v>
      </c>
      <c r="F326" s="3">
        <f t="shared" si="64"/>
        <v>3.5155999999999965E-2</v>
      </c>
      <c r="G326" s="56">
        <v>9.9999999999999995E-8</v>
      </c>
      <c r="H326" s="56">
        <f t="shared" si="65"/>
        <v>10000000</v>
      </c>
      <c r="I326" s="4" t="s">
        <v>15</v>
      </c>
      <c r="R326" s="38"/>
    </row>
    <row r="327" spans="1:53" x14ac:dyDescent="0.25">
      <c r="A327" s="1">
        <v>50</v>
      </c>
      <c r="B327" s="3">
        <f t="shared" si="60"/>
        <v>41</v>
      </c>
      <c r="C327" s="3">
        <f t="shared" si="61"/>
        <v>43</v>
      </c>
      <c r="D327" s="3">
        <f t="shared" si="62"/>
        <v>2.343800000000007E-2</v>
      </c>
      <c r="E327" s="3">
        <f t="shared" si="63"/>
        <v>6.25E-2</v>
      </c>
      <c r="F327" s="3">
        <f>AVERAGE(D327:E327)</f>
        <v>4.2969000000000035E-2</v>
      </c>
      <c r="G327" s="3">
        <f>0.5*(1-F327)</f>
        <v>0.47851549999999998</v>
      </c>
      <c r="H327" s="3">
        <f>1/G327</f>
        <v>2.0897964642733622</v>
      </c>
      <c r="I327" s="1"/>
    </row>
    <row r="328" spans="1:53" x14ac:dyDescent="0.25">
      <c r="A328" s="1">
        <v>51</v>
      </c>
      <c r="B328" s="3">
        <f t="shared" si="60"/>
        <v>40</v>
      </c>
      <c r="C328" s="3">
        <f t="shared" si="61"/>
        <v>45</v>
      </c>
      <c r="D328" s="3">
        <f t="shared" si="62"/>
        <v>3.906199999999993E-2</v>
      </c>
      <c r="E328" s="3">
        <f t="shared" si="63"/>
        <v>6.25E-2</v>
      </c>
      <c r="F328" s="3">
        <f t="shared" ref="F328:F336" si="66">AVERAGE(D328:E328)</f>
        <v>5.0780999999999965E-2</v>
      </c>
      <c r="G328" s="56">
        <v>9.9999999999999995E-8</v>
      </c>
      <c r="H328" s="56">
        <f t="shared" ref="H328:H336" si="67">1/G328</f>
        <v>10000000</v>
      </c>
      <c r="I328" s="4" t="s">
        <v>15</v>
      </c>
    </row>
    <row r="329" spans="1:53" x14ac:dyDescent="0.25">
      <c r="A329" s="1">
        <v>54</v>
      </c>
      <c r="B329" s="3">
        <f t="shared" si="60"/>
        <v>31</v>
      </c>
      <c r="C329" s="3">
        <f t="shared" si="61"/>
        <v>47</v>
      </c>
      <c r="D329" s="3">
        <f t="shared" si="62"/>
        <v>6.25E-2</v>
      </c>
      <c r="E329" s="3">
        <f t="shared" si="63"/>
        <v>0</v>
      </c>
      <c r="F329" s="3">
        <f t="shared" si="66"/>
        <v>3.125E-2</v>
      </c>
      <c r="G329" s="56">
        <v>9.9999999999999995E-8</v>
      </c>
      <c r="H329" s="56">
        <f t="shared" si="67"/>
        <v>10000000</v>
      </c>
      <c r="I329" s="4" t="s">
        <v>15</v>
      </c>
    </row>
    <row r="330" spans="1:53" x14ac:dyDescent="0.25">
      <c r="A330" s="1">
        <v>55</v>
      </c>
      <c r="B330" s="3">
        <f t="shared" si="60"/>
        <v>33</v>
      </c>
      <c r="C330" s="3">
        <f t="shared" si="61"/>
        <v>48</v>
      </c>
      <c r="D330" s="3">
        <f t="shared" si="62"/>
        <v>0</v>
      </c>
      <c r="E330" s="3">
        <f t="shared" si="63"/>
        <v>0</v>
      </c>
      <c r="F330" s="3">
        <f t="shared" si="66"/>
        <v>0</v>
      </c>
      <c r="G330" s="3">
        <f t="shared" ref="G330:G336" si="68">0.5*(1-F330)</f>
        <v>0.5</v>
      </c>
      <c r="H330" s="3">
        <f t="shared" si="67"/>
        <v>2</v>
      </c>
    </row>
    <row r="331" spans="1:53" x14ac:dyDescent="0.25">
      <c r="A331" s="1">
        <v>56</v>
      </c>
      <c r="B331" s="3">
        <f t="shared" si="60"/>
        <v>49</v>
      </c>
      <c r="C331" s="3">
        <f t="shared" si="61"/>
        <v>51</v>
      </c>
      <c r="D331" s="3">
        <f t="shared" si="62"/>
        <v>0.11328099999999997</v>
      </c>
      <c r="E331" s="3">
        <f t="shared" si="63"/>
        <v>0.13671900000000003</v>
      </c>
      <c r="F331" s="3">
        <f t="shared" si="66"/>
        <v>0.125</v>
      </c>
      <c r="G331" s="3">
        <f t="shared" si="68"/>
        <v>0.4375</v>
      </c>
      <c r="H331" s="3">
        <f t="shared" si="67"/>
        <v>2.2857142857142856</v>
      </c>
    </row>
    <row r="332" spans="1:53" x14ac:dyDescent="0.25">
      <c r="A332" s="1">
        <v>57</v>
      </c>
      <c r="B332" s="3">
        <f t="shared" si="60"/>
        <v>49</v>
      </c>
      <c r="C332" s="3">
        <f t="shared" si="61"/>
        <v>52</v>
      </c>
      <c r="D332" s="3">
        <f t="shared" si="62"/>
        <v>0.11328099999999997</v>
      </c>
      <c r="E332" s="3">
        <f t="shared" si="63"/>
        <v>0.16210900000000006</v>
      </c>
      <c r="F332" s="3">
        <f t="shared" si="66"/>
        <v>0.13769500000000001</v>
      </c>
      <c r="G332" s="3">
        <f t="shared" si="68"/>
        <v>0.43115249999999999</v>
      </c>
      <c r="H332" s="3">
        <f t="shared" si="67"/>
        <v>2.3193649578745341</v>
      </c>
    </row>
    <row r="333" spans="1:53" x14ac:dyDescent="0.25">
      <c r="A333" s="1">
        <v>58</v>
      </c>
      <c r="B333" s="3">
        <f t="shared" si="60"/>
        <v>49</v>
      </c>
      <c r="C333" s="3">
        <f t="shared" si="61"/>
        <v>53</v>
      </c>
      <c r="D333" s="3">
        <f t="shared" si="62"/>
        <v>0.11328099999999997</v>
      </c>
      <c r="E333" s="3">
        <f t="shared" si="63"/>
        <v>0.1875</v>
      </c>
      <c r="F333" s="3">
        <f t="shared" si="66"/>
        <v>0.15039049999999998</v>
      </c>
      <c r="G333" s="3">
        <f t="shared" si="68"/>
        <v>0.42480475000000001</v>
      </c>
      <c r="H333" s="3">
        <f t="shared" si="67"/>
        <v>2.3540226421667838</v>
      </c>
    </row>
    <row r="334" spans="1:53" x14ac:dyDescent="0.25">
      <c r="A334" s="1">
        <v>59</v>
      </c>
      <c r="B334" s="3">
        <f t="shared" si="60"/>
        <v>31</v>
      </c>
      <c r="C334" s="3">
        <f t="shared" si="61"/>
        <v>54</v>
      </c>
      <c r="D334" s="3">
        <f t="shared" si="62"/>
        <v>6.25E-2</v>
      </c>
      <c r="E334" s="3">
        <f t="shared" si="63"/>
        <v>1.5625E-2</v>
      </c>
      <c r="F334" s="3">
        <f t="shared" si="66"/>
        <v>3.90625E-2</v>
      </c>
      <c r="G334" s="3">
        <f t="shared" si="68"/>
        <v>0.48046875</v>
      </c>
      <c r="H334" s="3">
        <f t="shared" si="67"/>
        <v>2.0813008130081303</v>
      </c>
    </row>
    <row r="335" spans="1:53" x14ac:dyDescent="0.25">
      <c r="A335" s="1">
        <v>60</v>
      </c>
      <c r="B335" s="68">
        <f t="shared" si="60"/>
        <v>49</v>
      </c>
      <c r="C335" s="68">
        <f t="shared" si="61"/>
        <v>48</v>
      </c>
      <c r="D335" s="68">
        <f t="shared" si="62"/>
        <v>0.11328099999999997</v>
      </c>
      <c r="E335" s="68">
        <f t="shared" si="63"/>
        <v>0</v>
      </c>
      <c r="F335" s="68">
        <f t="shared" si="66"/>
        <v>5.6640499999999983E-2</v>
      </c>
      <c r="G335" s="68">
        <f t="shared" si="68"/>
        <v>0.47167975000000001</v>
      </c>
      <c r="H335" s="68">
        <f t="shared" si="67"/>
        <v>2.1200825348130801</v>
      </c>
    </row>
    <row r="336" spans="1:53" x14ac:dyDescent="0.25">
      <c r="A336" s="1">
        <v>61</v>
      </c>
      <c r="B336" s="68">
        <f t="shared" si="60"/>
        <v>31</v>
      </c>
      <c r="C336" s="68">
        <f t="shared" si="61"/>
        <v>53</v>
      </c>
      <c r="D336" s="68">
        <f t="shared" si="62"/>
        <v>6.25E-2</v>
      </c>
      <c r="E336" s="68">
        <f t="shared" si="63"/>
        <v>0.1875</v>
      </c>
      <c r="F336" s="68">
        <f t="shared" si="66"/>
        <v>0.125</v>
      </c>
      <c r="G336" s="68">
        <f t="shared" si="68"/>
        <v>0.4375</v>
      </c>
      <c r="H336" s="68">
        <f t="shared" si="67"/>
        <v>2.2857142857142856</v>
      </c>
    </row>
    <row r="337" spans="1:18" x14ac:dyDescent="0.25">
      <c r="A337" s="1"/>
    </row>
    <row r="339" spans="1:18" x14ac:dyDescent="0.25">
      <c r="B339" s="1">
        <v>19</v>
      </c>
      <c r="C339" s="1">
        <v>31</v>
      </c>
      <c r="D339" s="1">
        <v>33</v>
      </c>
      <c r="E339" s="1">
        <v>39</v>
      </c>
      <c r="F339" s="1">
        <v>40</v>
      </c>
      <c r="G339" s="1">
        <v>41</v>
      </c>
      <c r="H339" s="1">
        <v>43</v>
      </c>
      <c r="I339" s="1">
        <v>45</v>
      </c>
      <c r="J339" s="1">
        <v>46</v>
      </c>
      <c r="K339" s="1">
        <v>47</v>
      </c>
      <c r="L339" s="1">
        <v>48</v>
      </c>
      <c r="M339" s="1">
        <v>49</v>
      </c>
      <c r="N339" s="1">
        <v>51</v>
      </c>
      <c r="O339" s="1">
        <v>52</v>
      </c>
      <c r="P339" s="1">
        <v>53</v>
      </c>
      <c r="Q339" s="1">
        <v>54</v>
      </c>
    </row>
    <row r="340" spans="1:18" x14ac:dyDescent="0.25">
      <c r="A340" s="1">
        <v>48</v>
      </c>
      <c r="B340" s="56">
        <v>0</v>
      </c>
      <c r="C340" s="43">
        <f t="shared" ref="C340:D343" si="69">IF(VLOOKUP($A340,$B$43:$D$104,2,FALSE) = C$339,0.5,IF(VLOOKUP($A340,$B$43:$D$104,3,FALSE) = C$339,0.5,0))</f>
        <v>0</v>
      </c>
      <c r="D340" s="43">
        <f t="shared" si="69"/>
        <v>0</v>
      </c>
      <c r="E340" s="56">
        <v>0</v>
      </c>
      <c r="F340" s="43">
        <f t="shared" ref="F340:K340" si="70">IF(VLOOKUP($A340,$B$43:$D$104,2,FALSE) = F$339,0.5,IF(VLOOKUP($A340,$B$43:$D$104,3,FALSE) = F$339,0.5,0))</f>
        <v>0</v>
      </c>
      <c r="G340" s="43">
        <f t="shared" si="70"/>
        <v>0</v>
      </c>
      <c r="H340" s="43">
        <f t="shared" si="70"/>
        <v>0</v>
      </c>
      <c r="I340" s="43">
        <f t="shared" si="70"/>
        <v>0</v>
      </c>
      <c r="J340" s="43">
        <f t="shared" si="70"/>
        <v>0</v>
      </c>
      <c r="K340" s="43">
        <f t="shared" si="70"/>
        <v>0</v>
      </c>
      <c r="L340" s="56">
        <v>1</v>
      </c>
      <c r="M340" s="43">
        <f>IF(VLOOKUP($A340,$B$43:$D$104,2,FALSE) = M$339,0.5,IF(VLOOKUP($A340,$B$43:$D$104,3,FALSE) = M$339,0.5,0))</f>
        <v>0</v>
      </c>
      <c r="N340" s="43">
        <f>IF(VLOOKUP($A340,$B$43:$D$104,2,FALSE) = N$339,0.5,IF(VLOOKUP($A340,$B$43:$D$104,3,FALSE) = N$339,0.5,0))</f>
        <v>0</v>
      </c>
      <c r="O340" s="43">
        <f>IF(VLOOKUP($A340,$B$43:$D$104,2,FALSE) = O$339,0.5,IF(VLOOKUP($A340,$B$43:$D$104,3,FALSE) = O$339,0.5,0))</f>
        <v>0</v>
      </c>
      <c r="P340" s="43">
        <f>IF(VLOOKUP($A340,$B$43:$D$104,2,FALSE) = P$339,0.5,IF(VLOOKUP($A340,$B$43:$D$104,3,FALSE) = P$339,0.5,0))</f>
        <v>0</v>
      </c>
      <c r="Q340" s="43">
        <f>IF(VLOOKUP($A340,$B$43:$D$104,2,FALSE) = Q$339,0.5,IF(VLOOKUP($A340,$B$43:$D$104,3,FALSE) = Q$339,0.5,0))</f>
        <v>0</v>
      </c>
      <c r="R340" s="4" t="s">
        <v>15</v>
      </c>
    </row>
    <row r="341" spans="1:18" x14ac:dyDescent="0.25">
      <c r="A341" s="1">
        <v>49</v>
      </c>
      <c r="B341" s="43">
        <f t="shared" ref="B341:B351" si="71">IF(VLOOKUP($A341,$B$43:$D$104,2,FALSE) = B$339,0.5,IF(VLOOKUP($A341,$B$43:$D$104,3,FALSE) = B$339,0.5,0))</f>
        <v>0</v>
      </c>
      <c r="C341" s="43">
        <f t="shared" si="69"/>
        <v>0</v>
      </c>
      <c r="D341" s="43">
        <f t="shared" si="69"/>
        <v>0</v>
      </c>
      <c r="E341" s="43">
        <f t="shared" ref="E341:E351" si="72">IF(VLOOKUP($A341,$B$43:$D$104,2,FALSE) = E$339,0.5,IF(VLOOKUP($A341,$B$43:$D$104,3,FALSE) = E$339,0.5,0))</f>
        <v>0</v>
      </c>
      <c r="F341" s="56">
        <v>0</v>
      </c>
      <c r="G341" s="43">
        <f t="shared" ref="G341:I342" si="73">IF(VLOOKUP($A341,$B$43:$D$104,2,FALSE) = G$339,0.5,IF(VLOOKUP($A341,$B$43:$D$104,3,FALSE) = G$339,0.5,0))</f>
        <v>0</v>
      </c>
      <c r="H341" s="43">
        <f t="shared" si="73"/>
        <v>0</v>
      </c>
      <c r="I341" s="43">
        <f t="shared" si="73"/>
        <v>0</v>
      </c>
      <c r="J341" s="56">
        <v>0</v>
      </c>
      <c r="K341" s="43">
        <f t="shared" ref="K341:L343" si="74">IF(VLOOKUP($A341,$B$43:$D$104,2,FALSE) = K$339,0.5,IF(VLOOKUP($A341,$B$43:$D$104,3,FALSE) = K$339,0.5,0))</f>
        <v>0</v>
      </c>
      <c r="L341" s="43">
        <f t="shared" si="74"/>
        <v>0</v>
      </c>
      <c r="M341" s="56">
        <v>1</v>
      </c>
      <c r="N341" s="43">
        <f t="shared" ref="N341:Q342" si="75">IF(VLOOKUP($A341,$B$43:$D$104,2,FALSE) = N$339,0.5,IF(VLOOKUP($A341,$B$43:$D$104,3,FALSE) = N$339,0.5,0))</f>
        <v>0</v>
      </c>
      <c r="O341" s="43">
        <f t="shared" si="75"/>
        <v>0</v>
      </c>
      <c r="P341" s="43">
        <f t="shared" si="75"/>
        <v>0</v>
      </c>
      <c r="Q341" s="43">
        <f t="shared" si="75"/>
        <v>0</v>
      </c>
      <c r="R341" s="4" t="s">
        <v>15</v>
      </c>
    </row>
    <row r="342" spans="1:18" x14ac:dyDescent="0.25">
      <c r="A342" s="1">
        <v>50</v>
      </c>
      <c r="B342" s="43">
        <f t="shared" si="71"/>
        <v>0</v>
      </c>
      <c r="C342" s="43">
        <f t="shared" si="69"/>
        <v>0</v>
      </c>
      <c r="D342" s="43">
        <f t="shared" si="69"/>
        <v>0</v>
      </c>
      <c r="E342" s="43">
        <f t="shared" si="72"/>
        <v>0</v>
      </c>
      <c r="F342" s="43">
        <f>IF(VLOOKUP($A342,$B$43:$D$104,2,FALSE) = F$339,0.5,IF(VLOOKUP($A342,$B$43:$D$104,3,FALSE) = F$339,0.5,0))</f>
        <v>0</v>
      </c>
      <c r="G342" s="43">
        <f t="shared" si="73"/>
        <v>0.5</v>
      </c>
      <c r="H342" s="43">
        <f t="shared" si="73"/>
        <v>0.5</v>
      </c>
      <c r="I342" s="43">
        <f t="shared" si="73"/>
        <v>0</v>
      </c>
      <c r="J342" s="43">
        <f t="shared" ref="J342:J351" si="76">IF(VLOOKUP($A342,$B$43:$D$104,2,FALSE) = J$339,0.5,IF(VLOOKUP($A342,$B$43:$D$104,3,FALSE) = J$339,0.5,0))</f>
        <v>0</v>
      </c>
      <c r="K342" s="43">
        <f t="shared" si="74"/>
        <v>0</v>
      </c>
      <c r="L342" s="43">
        <f t="shared" si="74"/>
        <v>0</v>
      </c>
      <c r="M342" s="43">
        <f t="shared" ref="M342:M351" si="77">IF(VLOOKUP($A342,$B$43:$D$104,2,FALSE) = M$339,0.5,IF(VLOOKUP($A342,$B$43:$D$104,3,FALSE) = M$339,0.5,0))</f>
        <v>0</v>
      </c>
      <c r="N342" s="43">
        <f t="shared" si="75"/>
        <v>0</v>
      </c>
      <c r="O342" s="43">
        <f t="shared" si="75"/>
        <v>0</v>
      </c>
      <c r="P342" s="43">
        <f t="shared" si="75"/>
        <v>0</v>
      </c>
      <c r="Q342" s="43">
        <f t="shared" si="75"/>
        <v>0</v>
      </c>
      <c r="R342" s="18"/>
    </row>
    <row r="343" spans="1:18" x14ac:dyDescent="0.25">
      <c r="A343" s="1">
        <v>51</v>
      </c>
      <c r="B343" s="43">
        <f t="shared" si="71"/>
        <v>0</v>
      </c>
      <c r="C343" s="43">
        <f t="shared" si="69"/>
        <v>0</v>
      </c>
      <c r="D343" s="43">
        <f t="shared" si="69"/>
        <v>0</v>
      </c>
      <c r="E343" s="43">
        <f t="shared" si="72"/>
        <v>0</v>
      </c>
      <c r="F343" s="56">
        <v>0</v>
      </c>
      <c r="G343" s="43">
        <f t="shared" ref="G343:H351" si="78">IF(VLOOKUP($A343,$B$43:$D$104,2,FALSE) = G$339,0.5,IF(VLOOKUP($A343,$B$43:$D$104,3,FALSE) = G$339,0.5,0))</f>
        <v>0</v>
      </c>
      <c r="H343" s="43">
        <f t="shared" si="78"/>
        <v>0</v>
      </c>
      <c r="I343" s="56">
        <v>0</v>
      </c>
      <c r="J343" s="43">
        <f t="shared" si="76"/>
        <v>0</v>
      </c>
      <c r="K343" s="43">
        <f t="shared" si="74"/>
        <v>0</v>
      </c>
      <c r="L343" s="43">
        <f t="shared" si="74"/>
        <v>0</v>
      </c>
      <c r="M343" s="43">
        <f t="shared" si="77"/>
        <v>0</v>
      </c>
      <c r="N343" s="56">
        <v>1</v>
      </c>
      <c r="O343" s="43">
        <f>IF(VLOOKUP($A343,$B$43:$D$104,2,FALSE) = O$339,0.5,IF(VLOOKUP($A343,$B$43:$D$104,3,FALSE) = O$339,0.5,0))</f>
        <v>0</v>
      </c>
      <c r="P343" s="43">
        <f>IF(VLOOKUP($A343,$B$43:$D$104,2,FALSE) = P$339,0.5,IF(VLOOKUP($A343,$B$43:$D$104,3,FALSE) = P$339,0.5,0))</f>
        <v>0</v>
      </c>
      <c r="Q343" s="43">
        <f>IF(VLOOKUP($A343,$B$43:$D$104,2,FALSE) = Q$339,0.5,IF(VLOOKUP($A343,$B$43:$D$104,3,FALSE) = Q$339,0.5,0))</f>
        <v>0</v>
      </c>
      <c r="R343" s="4" t="s">
        <v>15</v>
      </c>
    </row>
    <row r="344" spans="1:18" x14ac:dyDescent="0.25">
      <c r="A344" s="1">
        <v>54</v>
      </c>
      <c r="B344" s="43">
        <f t="shared" si="71"/>
        <v>0</v>
      </c>
      <c r="C344" s="56">
        <v>0</v>
      </c>
      <c r="D344" s="43">
        <f t="shared" ref="D344:D351" si="79">IF(VLOOKUP($A344,$B$43:$D$104,2,FALSE) = D$339,0.5,IF(VLOOKUP($A344,$B$43:$D$104,3,FALSE) = D$339,0.5,0))</f>
        <v>0</v>
      </c>
      <c r="E344" s="43">
        <f t="shared" si="72"/>
        <v>0</v>
      </c>
      <c r="F344" s="43">
        <f t="shared" ref="F344:F351" si="80">IF(VLOOKUP($A344,$B$43:$D$104,2,FALSE) = F$339,0.5,IF(VLOOKUP($A344,$B$43:$D$104,3,FALSE) = F$339,0.5,0))</f>
        <v>0</v>
      </c>
      <c r="G344" s="43">
        <f t="shared" si="78"/>
        <v>0</v>
      </c>
      <c r="H344" s="43">
        <f t="shared" si="78"/>
        <v>0</v>
      </c>
      <c r="I344" s="43">
        <f t="shared" ref="I344:I351" si="81">IF(VLOOKUP($A344,$B$43:$D$104,2,FALSE) = I$339,0.5,IF(VLOOKUP($A344,$B$43:$D$104,3,FALSE) = I$339,0.5,0))</f>
        <v>0</v>
      </c>
      <c r="J344" s="43">
        <f t="shared" si="76"/>
        <v>0</v>
      </c>
      <c r="K344" s="56">
        <v>0</v>
      </c>
      <c r="L344" s="43">
        <f t="shared" ref="L344:L351" si="82">IF(VLOOKUP($A344,$B$43:$D$104,2,FALSE) = L$339,0.5,IF(VLOOKUP($A344,$B$43:$D$104,3,FALSE) = L$339,0.5,0))</f>
        <v>0</v>
      </c>
      <c r="M344" s="43">
        <f t="shared" si="77"/>
        <v>0</v>
      </c>
      <c r="N344" s="43">
        <f t="shared" ref="N344:P351" si="83">IF(VLOOKUP($A344,$B$43:$D$104,2,FALSE) = N$339,0.5,IF(VLOOKUP($A344,$B$43:$D$104,3,FALSE) = N$339,0.5,0))</f>
        <v>0</v>
      </c>
      <c r="O344" s="43">
        <f t="shared" si="83"/>
        <v>0</v>
      </c>
      <c r="P344" s="43">
        <f t="shared" si="83"/>
        <v>0</v>
      </c>
      <c r="Q344" s="56">
        <v>1</v>
      </c>
      <c r="R344" s="4" t="s">
        <v>15</v>
      </c>
    </row>
    <row r="345" spans="1:18" x14ac:dyDescent="0.25">
      <c r="A345" s="1">
        <v>55</v>
      </c>
      <c r="B345" s="43">
        <f t="shared" si="71"/>
        <v>0</v>
      </c>
      <c r="C345" s="43">
        <f t="shared" ref="C345:C351" si="84">IF(VLOOKUP($A345,$B$43:$D$104,2,FALSE) = C$339,0.5,IF(VLOOKUP($A345,$B$43:$D$104,3,FALSE) = C$339,0.5,0))</f>
        <v>0</v>
      </c>
      <c r="D345" s="43">
        <f t="shared" si="79"/>
        <v>0.5</v>
      </c>
      <c r="E345" s="43">
        <f t="shared" si="72"/>
        <v>0</v>
      </c>
      <c r="F345" s="43">
        <f t="shared" si="80"/>
        <v>0</v>
      </c>
      <c r="G345" s="43">
        <f t="shared" si="78"/>
        <v>0</v>
      </c>
      <c r="H345" s="43">
        <f t="shared" si="78"/>
        <v>0</v>
      </c>
      <c r="I345" s="43">
        <f t="shared" si="81"/>
        <v>0</v>
      </c>
      <c r="J345" s="43">
        <f t="shared" si="76"/>
        <v>0</v>
      </c>
      <c r="K345" s="43">
        <f t="shared" ref="K345:K351" si="85">IF(VLOOKUP($A345,$B$43:$D$104,2,FALSE) = K$339,0.5,IF(VLOOKUP($A345,$B$43:$D$104,3,FALSE) = K$339,0.5,0))</f>
        <v>0</v>
      </c>
      <c r="L345" s="43">
        <f t="shared" si="82"/>
        <v>0.5</v>
      </c>
      <c r="M345" s="43">
        <f t="shared" si="77"/>
        <v>0</v>
      </c>
      <c r="N345" s="43">
        <f t="shared" si="83"/>
        <v>0</v>
      </c>
      <c r="O345" s="43">
        <f t="shared" si="83"/>
        <v>0</v>
      </c>
      <c r="P345" s="43">
        <f t="shared" si="83"/>
        <v>0</v>
      </c>
      <c r="Q345" s="43">
        <f t="shared" ref="Q345:Q351" si="86">IF(VLOOKUP($A345,$B$43:$D$104,2,FALSE) = Q$339,0.5,IF(VLOOKUP($A345,$B$43:$D$104,3,FALSE) = Q$339,0.5,0))</f>
        <v>0</v>
      </c>
      <c r="R345" s="42"/>
    </row>
    <row r="346" spans="1:18" x14ac:dyDescent="0.25">
      <c r="A346" s="1">
        <v>56</v>
      </c>
      <c r="B346" s="43">
        <f t="shared" si="71"/>
        <v>0</v>
      </c>
      <c r="C346" s="43">
        <f t="shared" si="84"/>
        <v>0</v>
      </c>
      <c r="D346" s="43">
        <f t="shared" si="79"/>
        <v>0</v>
      </c>
      <c r="E346" s="43">
        <f t="shared" si="72"/>
        <v>0</v>
      </c>
      <c r="F346" s="43">
        <f t="shared" si="80"/>
        <v>0</v>
      </c>
      <c r="G346" s="43">
        <f t="shared" si="78"/>
        <v>0</v>
      </c>
      <c r="H346" s="43">
        <f t="shared" si="78"/>
        <v>0</v>
      </c>
      <c r="I346" s="43">
        <f t="shared" si="81"/>
        <v>0</v>
      </c>
      <c r="J346" s="43">
        <f t="shared" si="76"/>
        <v>0</v>
      </c>
      <c r="K346" s="43">
        <f t="shared" si="85"/>
        <v>0</v>
      </c>
      <c r="L346" s="43">
        <f t="shared" si="82"/>
        <v>0</v>
      </c>
      <c r="M346" s="43">
        <f t="shared" si="77"/>
        <v>0.5</v>
      </c>
      <c r="N346" s="43">
        <f t="shared" si="83"/>
        <v>0.5</v>
      </c>
      <c r="O346" s="43">
        <f t="shared" si="83"/>
        <v>0</v>
      </c>
      <c r="P346" s="43">
        <f t="shared" si="83"/>
        <v>0</v>
      </c>
      <c r="Q346" s="43">
        <f t="shared" si="86"/>
        <v>0</v>
      </c>
      <c r="R346" s="42"/>
    </row>
    <row r="347" spans="1:18" x14ac:dyDescent="0.25">
      <c r="A347" s="1">
        <v>57</v>
      </c>
      <c r="B347" s="43">
        <f t="shared" si="71"/>
        <v>0</v>
      </c>
      <c r="C347" s="43">
        <f t="shared" si="84"/>
        <v>0</v>
      </c>
      <c r="D347" s="43">
        <f t="shared" si="79"/>
        <v>0</v>
      </c>
      <c r="E347" s="43">
        <f t="shared" si="72"/>
        <v>0</v>
      </c>
      <c r="F347" s="43">
        <f t="shared" si="80"/>
        <v>0</v>
      </c>
      <c r="G347" s="43">
        <f t="shared" si="78"/>
        <v>0</v>
      </c>
      <c r="H347" s="43">
        <f t="shared" si="78"/>
        <v>0</v>
      </c>
      <c r="I347" s="43">
        <f t="shared" si="81"/>
        <v>0</v>
      </c>
      <c r="J347" s="43">
        <f t="shared" si="76"/>
        <v>0</v>
      </c>
      <c r="K347" s="43">
        <f t="shared" si="85"/>
        <v>0</v>
      </c>
      <c r="L347" s="43">
        <f t="shared" si="82"/>
        <v>0</v>
      </c>
      <c r="M347" s="43">
        <f t="shared" si="77"/>
        <v>0.5</v>
      </c>
      <c r="N347" s="43">
        <f t="shared" si="83"/>
        <v>0</v>
      </c>
      <c r="O347" s="43">
        <f t="shared" si="83"/>
        <v>0.5</v>
      </c>
      <c r="P347" s="43">
        <f t="shared" si="83"/>
        <v>0</v>
      </c>
      <c r="Q347" s="43">
        <f t="shared" si="86"/>
        <v>0</v>
      </c>
    </row>
    <row r="348" spans="1:18" x14ac:dyDescent="0.25">
      <c r="A348" s="1">
        <v>58</v>
      </c>
      <c r="B348" s="43">
        <f t="shared" si="71"/>
        <v>0</v>
      </c>
      <c r="C348" s="43">
        <f t="shared" si="84"/>
        <v>0</v>
      </c>
      <c r="D348" s="43">
        <f t="shared" si="79"/>
        <v>0</v>
      </c>
      <c r="E348" s="43">
        <f t="shared" si="72"/>
        <v>0</v>
      </c>
      <c r="F348" s="43">
        <f t="shared" si="80"/>
        <v>0</v>
      </c>
      <c r="G348" s="43">
        <f t="shared" si="78"/>
        <v>0</v>
      </c>
      <c r="H348" s="43">
        <f t="shared" si="78"/>
        <v>0</v>
      </c>
      <c r="I348" s="43">
        <f t="shared" si="81"/>
        <v>0</v>
      </c>
      <c r="J348" s="43">
        <f t="shared" si="76"/>
        <v>0</v>
      </c>
      <c r="K348" s="43">
        <f t="shared" si="85"/>
        <v>0</v>
      </c>
      <c r="L348" s="43">
        <f t="shared" si="82"/>
        <v>0</v>
      </c>
      <c r="M348" s="43">
        <f t="shared" si="77"/>
        <v>0.5</v>
      </c>
      <c r="N348" s="43">
        <f t="shared" si="83"/>
        <v>0</v>
      </c>
      <c r="O348" s="43">
        <f t="shared" si="83"/>
        <v>0</v>
      </c>
      <c r="P348" s="43">
        <f t="shared" si="83"/>
        <v>0.5</v>
      </c>
      <c r="Q348" s="43">
        <f t="shared" si="86"/>
        <v>0</v>
      </c>
    </row>
    <row r="349" spans="1:18" x14ac:dyDescent="0.25">
      <c r="A349" s="1">
        <v>59</v>
      </c>
      <c r="B349" s="43">
        <f t="shared" si="71"/>
        <v>0</v>
      </c>
      <c r="C349" s="43">
        <f t="shared" si="84"/>
        <v>0.5</v>
      </c>
      <c r="D349" s="43">
        <f t="shared" si="79"/>
        <v>0</v>
      </c>
      <c r="E349" s="43">
        <f t="shared" si="72"/>
        <v>0</v>
      </c>
      <c r="F349" s="43">
        <f t="shared" si="80"/>
        <v>0</v>
      </c>
      <c r="G349" s="43">
        <f t="shared" si="78"/>
        <v>0</v>
      </c>
      <c r="H349" s="43">
        <f t="shared" si="78"/>
        <v>0</v>
      </c>
      <c r="I349" s="43">
        <f t="shared" si="81"/>
        <v>0</v>
      </c>
      <c r="J349" s="43">
        <f t="shared" si="76"/>
        <v>0</v>
      </c>
      <c r="K349" s="43">
        <f t="shared" si="85"/>
        <v>0</v>
      </c>
      <c r="L349" s="43">
        <f t="shared" si="82"/>
        <v>0</v>
      </c>
      <c r="M349" s="43">
        <f t="shared" si="77"/>
        <v>0</v>
      </c>
      <c r="N349" s="43">
        <f t="shared" si="83"/>
        <v>0</v>
      </c>
      <c r="O349" s="43">
        <f t="shared" si="83"/>
        <v>0</v>
      </c>
      <c r="P349" s="43">
        <f t="shared" si="83"/>
        <v>0</v>
      </c>
      <c r="Q349" s="43">
        <f t="shared" si="86"/>
        <v>0.5</v>
      </c>
    </row>
    <row r="350" spans="1:18" x14ac:dyDescent="0.25">
      <c r="A350" s="1">
        <v>60</v>
      </c>
      <c r="B350" s="54">
        <f t="shared" si="71"/>
        <v>0</v>
      </c>
      <c r="C350" s="54">
        <f t="shared" si="84"/>
        <v>0</v>
      </c>
      <c r="D350" s="54">
        <f t="shared" si="79"/>
        <v>0</v>
      </c>
      <c r="E350" s="54">
        <f t="shared" si="72"/>
        <v>0</v>
      </c>
      <c r="F350" s="54">
        <f t="shared" si="80"/>
        <v>0</v>
      </c>
      <c r="G350" s="54">
        <f t="shared" si="78"/>
        <v>0</v>
      </c>
      <c r="H350" s="54">
        <f t="shared" si="78"/>
        <v>0</v>
      </c>
      <c r="I350" s="54">
        <f t="shared" si="81"/>
        <v>0</v>
      </c>
      <c r="J350" s="54">
        <f t="shared" si="76"/>
        <v>0</v>
      </c>
      <c r="K350" s="54">
        <f t="shared" si="85"/>
        <v>0</v>
      </c>
      <c r="L350" s="54">
        <f t="shared" si="82"/>
        <v>0.5</v>
      </c>
      <c r="M350" s="54">
        <f t="shared" si="77"/>
        <v>0.5</v>
      </c>
      <c r="N350" s="54">
        <f t="shared" si="83"/>
        <v>0</v>
      </c>
      <c r="O350" s="54">
        <f t="shared" si="83"/>
        <v>0</v>
      </c>
      <c r="P350" s="54">
        <f t="shared" si="83"/>
        <v>0</v>
      </c>
      <c r="Q350" s="54">
        <f t="shared" si="86"/>
        <v>0</v>
      </c>
    </row>
    <row r="351" spans="1:18" x14ac:dyDescent="0.25">
      <c r="A351" s="1">
        <v>61</v>
      </c>
      <c r="B351" s="54">
        <f t="shared" si="71"/>
        <v>0</v>
      </c>
      <c r="C351" s="54">
        <f t="shared" si="84"/>
        <v>0.5</v>
      </c>
      <c r="D351" s="54">
        <f t="shared" si="79"/>
        <v>0</v>
      </c>
      <c r="E351" s="54">
        <f t="shared" si="72"/>
        <v>0</v>
      </c>
      <c r="F351" s="54">
        <f t="shared" si="80"/>
        <v>0</v>
      </c>
      <c r="G351" s="54">
        <f t="shared" si="78"/>
        <v>0</v>
      </c>
      <c r="H351" s="54">
        <f t="shared" si="78"/>
        <v>0</v>
      </c>
      <c r="I351" s="54">
        <f t="shared" si="81"/>
        <v>0</v>
      </c>
      <c r="J351" s="54">
        <f t="shared" si="76"/>
        <v>0</v>
      </c>
      <c r="K351" s="54">
        <f t="shared" si="85"/>
        <v>0</v>
      </c>
      <c r="L351" s="54">
        <f t="shared" si="82"/>
        <v>0</v>
      </c>
      <c r="M351" s="54">
        <f t="shared" si="77"/>
        <v>0</v>
      </c>
      <c r="N351" s="54">
        <f t="shared" si="83"/>
        <v>0</v>
      </c>
      <c r="O351" s="54">
        <f t="shared" si="83"/>
        <v>0</v>
      </c>
      <c r="P351" s="54">
        <f t="shared" si="83"/>
        <v>0.5</v>
      </c>
      <c r="Q351" s="54">
        <f t="shared" si="86"/>
        <v>0</v>
      </c>
    </row>
    <row r="352" spans="1:18" x14ac:dyDescent="0.25">
      <c r="B352" s="1"/>
    </row>
    <row r="353" spans="1:43" x14ac:dyDescent="0.25">
      <c r="B353" s="1"/>
    </row>
    <row r="354" spans="1:43" x14ac:dyDescent="0.25">
      <c r="B354" s="1">
        <v>48</v>
      </c>
      <c r="C354" s="1">
        <v>49</v>
      </c>
      <c r="D354" s="1">
        <v>50</v>
      </c>
      <c r="E354" s="1">
        <v>51</v>
      </c>
      <c r="F354" s="1">
        <v>54</v>
      </c>
      <c r="G354" s="1">
        <v>55</v>
      </c>
      <c r="H354" s="1">
        <v>56</v>
      </c>
      <c r="I354" s="1">
        <v>57</v>
      </c>
      <c r="J354" s="1">
        <v>58</v>
      </c>
      <c r="K354" s="1">
        <v>59</v>
      </c>
      <c r="L354" s="1">
        <v>60</v>
      </c>
      <c r="M354" s="1">
        <v>61</v>
      </c>
    </row>
    <row r="355" spans="1:43" x14ac:dyDescent="0.25">
      <c r="A355" s="1">
        <v>48</v>
      </c>
      <c r="B355" s="39">
        <f>G325</f>
        <v>9.9999999999999995E-8</v>
      </c>
      <c r="C355" s="39">
        <v>0</v>
      </c>
      <c r="D355" s="39">
        <v>0</v>
      </c>
      <c r="E355" s="39">
        <v>0</v>
      </c>
      <c r="F355" s="39">
        <v>0</v>
      </c>
      <c r="G355" s="39">
        <v>0</v>
      </c>
      <c r="H355" s="39">
        <v>0</v>
      </c>
      <c r="I355" s="39">
        <v>0</v>
      </c>
      <c r="J355" s="39">
        <v>0</v>
      </c>
      <c r="K355" s="39">
        <v>0</v>
      </c>
      <c r="L355" s="86">
        <v>0</v>
      </c>
      <c r="M355" s="86">
        <v>0</v>
      </c>
    </row>
    <row r="356" spans="1:43" x14ac:dyDescent="0.25">
      <c r="A356" s="1">
        <v>49</v>
      </c>
      <c r="B356" s="39">
        <v>0</v>
      </c>
      <c r="C356" s="39">
        <f>G326</f>
        <v>9.9999999999999995E-8</v>
      </c>
      <c r="D356" s="39">
        <v>0</v>
      </c>
      <c r="E356" s="39">
        <v>0</v>
      </c>
      <c r="F356" s="39">
        <v>0</v>
      </c>
      <c r="G356" s="39">
        <v>0</v>
      </c>
      <c r="H356" s="39">
        <v>0</v>
      </c>
      <c r="I356" s="39">
        <v>0</v>
      </c>
      <c r="J356" s="39">
        <v>0</v>
      </c>
      <c r="K356" s="39">
        <v>0</v>
      </c>
      <c r="L356" s="86">
        <v>0</v>
      </c>
      <c r="M356" s="86">
        <v>0</v>
      </c>
    </row>
    <row r="357" spans="1:43" x14ac:dyDescent="0.25">
      <c r="A357" s="1">
        <v>50</v>
      </c>
      <c r="B357" s="39">
        <v>0</v>
      </c>
      <c r="C357" s="39">
        <v>0</v>
      </c>
      <c r="D357" s="39">
        <f>G327</f>
        <v>0.47851549999999998</v>
      </c>
      <c r="E357" s="39">
        <v>0</v>
      </c>
      <c r="F357" s="39">
        <v>0</v>
      </c>
      <c r="G357" s="39">
        <v>0</v>
      </c>
      <c r="H357" s="39">
        <v>0</v>
      </c>
      <c r="I357" s="39">
        <v>0</v>
      </c>
      <c r="J357" s="39">
        <v>0</v>
      </c>
      <c r="K357" s="39">
        <v>0</v>
      </c>
      <c r="L357" s="86">
        <v>0</v>
      </c>
      <c r="M357" s="86">
        <v>0</v>
      </c>
    </row>
    <row r="358" spans="1:43" x14ac:dyDescent="0.25">
      <c r="A358" s="1">
        <v>51</v>
      </c>
      <c r="B358" s="39">
        <v>0</v>
      </c>
      <c r="C358" s="39">
        <v>0</v>
      </c>
      <c r="D358" s="39">
        <v>0</v>
      </c>
      <c r="E358" s="39">
        <f>G328</f>
        <v>9.9999999999999995E-8</v>
      </c>
      <c r="F358" s="39">
        <v>0</v>
      </c>
      <c r="G358" s="39">
        <v>0</v>
      </c>
      <c r="H358" s="39">
        <v>0</v>
      </c>
      <c r="I358" s="39">
        <v>0</v>
      </c>
      <c r="J358" s="39">
        <v>0</v>
      </c>
      <c r="K358" s="39">
        <v>0</v>
      </c>
      <c r="L358" s="86">
        <v>0</v>
      </c>
      <c r="M358" s="86">
        <v>0</v>
      </c>
    </row>
    <row r="359" spans="1:43" x14ac:dyDescent="0.25">
      <c r="A359" s="1">
        <v>54</v>
      </c>
      <c r="B359" s="39">
        <v>0</v>
      </c>
      <c r="C359" s="39">
        <v>0</v>
      </c>
      <c r="D359" s="39">
        <v>0</v>
      </c>
      <c r="E359" s="39">
        <v>0</v>
      </c>
      <c r="F359" s="39">
        <f>G329</f>
        <v>9.9999999999999995E-8</v>
      </c>
      <c r="G359" s="39">
        <v>0</v>
      </c>
      <c r="H359" s="39">
        <v>0</v>
      </c>
      <c r="I359" s="39">
        <v>0</v>
      </c>
      <c r="J359" s="39">
        <v>0</v>
      </c>
      <c r="K359" s="39">
        <v>0</v>
      </c>
      <c r="L359" s="86">
        <v>0</v>
      </c>
      <c r="M359" s="86">
        <v>0</v>
      </c>
    </row>
    <row r="360" spans="1:43" x14ac:dyDescent="0.25">
      <c r="A360" s="1">
        <v>55</v>
      </c>
      <c r="B360" s="39">
        <v>0</v>
      </c>
      <c r="C360" s="39">
        <v>0</v>
      </c>
      <c r="D360" s="39">
        <v>0</v>
      </c>
      <c r="E360" s="39">
        <v>0</v>
      </c>
      <c r="F360" s="39">
        <v>0</v>
      </c>
      <c r="G360" s="39">
        <f>G330</f>
        <v>0.5</v>
      </c>
      <c r="H360" s="39">
        <v>0</v>
      </c>
      <c r="I360" s="39">
        <v>0</v>
      </c>
      <c r="J360" s="39">
        <v>0</v>
      </c>
      <c r="K360" s="39">
        <v>0</v>
      </c>
      <c r="L360" s="86">
        <v>0</v>
      </c>
      <c r="M360" s="86">
        <v>0</v>
      </c>
    </row>
    <row r="361" spans="1:43" x14ac:dyDescent="0.25">
      <c r="A361" s="1">
        <v>56</v>
      </c>
      <c r="B361" s="39">
        <v>0</v>
      </c>
      <c r="C361" s="39">
        <v>0</v>
      </c>
      <c r="D361" s="39">
        <v>0</v>
      </c>
      <c r="E361" s="39">
        <v>0</v>
      </c>
      <c r="F361" s="39">
        <v>0</v>
      </c>
      <c r="G361" s="39">
        <v>0</v>
      </c>
      <c r="H361" s="39">
        <f>G331</f>
        <v>0.4375</v>
      </c>
      <c r="I361" s="39">
        <v>0</v>
      </c>
      <c r="J361" s="39">
        <v>0</v>
      </c>
      <c r="K361" s="39">
        <v>0</v>
      </c>
      <c r="L361" s="86">
        <v>0</v>
      </c>
      <c r="M361" s="86">
        <v>0</v>
      </c>
    </row>
    <row r="362" spans="1:43" x14ac:dyDescent="0.25">
      <c r="A362" s="1">
        <v>57</v>
      </c>
      <c r="B362" s="39">
        <v>0</v>
      </c>
      <c r="C362" s="39">
        <v>0</v>
      </c>
      <c r="D362" s="39">
        <v>0</v>
      </c>
      <c r="E362" s="39">
        <v>0</v>
      </c>
      <c r="F362" s="39">
        <v>0</v>
      </c>
      <c r="G362" s="39">
        <v>0</v>
      </c>
      <c r="H362" s="39">
        <v>0</v>
      </c>
      <c r="I362" s="39">
        <f>G332</f>
        <v>0.43115249999999999</v>
      </c>
      <c r="J362" s="39">
        <v>0</v>
      </c>
      <c r="K362" s="39">
        <v>0</v>
      </c>
      <c r="L362" s="86">
        <v>0</v>
      </c>
      <c r="M362" s="86">
        <v>0</v>
      </c>
    </row>
    <row r="363" spans="1:43" x14ac:dyDescent="0.25">
      <c r="A363" s="1">
        <v>58</v>
      </c>
      <c r="B363" s="39">
        <v>0</v>
      </c>
      <c r="C363" s="39">
        <v>0</v>
      </c>
      <c r="D363" s="39">
        <v>0</v>
      </c>
      <c r="E363" s="39">
        <v>0</v>
      </c>
      <c r="F363" s="39">
        <v>0</v>
      </c>
      <c r="G363" s="39">
        <v>0</v>
      </c>
      <c r="H363" s="39">
        <v>0</v>
      </c>
      <c r="I363" s="39">
        <v>0</v>
      </c>
      <c r="J363" s="39">
        <f>G333</f>
        <v>0.42480475000000001</v>
      </c>
      <c r="K363" s="39">
        <v>0</v>
      </c>
      <c r="L363" s="86">
        <v>0</v>
      </c>
      <c r="M363" s="86">
        <v>0</v>
      </c>
    </row>
    <row r="364" spans="1:43" x14ac:dyDescent="0.25">
      <c r="A364" s="1">
        <v>59</v>
      </c>
      <c r="B364" s="39">
        <v>0</v>
      </c>
      <c r="C364" s="39">
        <v>0</v>
      </c>
      <c r="D364" s="39">
        <v>0</v>
      </c>
      <c r="E364" s="39">
        <v>0</v>
      </c>
      <c r="F364" s="39">
        <v>0</v>
      </c>
      <c r="G364" s="39">
        <v>0</v>
      </c>
      <c r="H364" s="39">
        <v>0</v>
      </c>
      <c r="I364" s="39">
        <v>0</v>
      </c>
      <c r="J364" s="39">
        <v>0</v>
      </c>
      <c r="K364" s="39">
        <f>G334</f>
        <v>0.48046875</v>
      </c>
      <c r="L364" s="86">
        <v>0</v>
      </c>
      <c r="M364" s="86">
        <v>0</v>
      </c>
    </row>
    <row r="365" spans="1:43" x14ac:dyDescent="0.25">
      <c r="A365" s="1">
        <v>60</v>
      </c>
      <c r="B365" s="86">
        <v>0</v>
      </c>
      <c r="C365" s="86">
        <v>0</v>
      </c>
      <c r="D365" s="86">
        <v>0</v>
      </c>
      <c r="E365" s="86">
        <v>0</v>
      </c>
      <c r="F365" s="86">
        <v>0</v>
      </c>
      <c r="G365" s="86">
        <v>0</v>
      </c>
      <c r="H365" s="86">
        <v>0</v>
      </c>
      <c r="I365" s="86">
        <v>0</v>
      </c>
      <c r="J365" s="86">
        <v>0</v>
      </c>
      <c r="K365" s="86">
        <v>0</v>
      </c>
      <c r="L365" s="86">
        <f>G335</f>
        <v>0.47167975000000001</v>
      </c>
      <c r="M365" s="86">
        <v>0</v>
      </c>
    </row>
    <row r="366" spans="1:43" x14ac:dyDescent="0.25">
      <c r="A366" s="1">
        <v>61</v>
      </c>
      <c r="B366" s="86">
        <v>0</v>
      </c>
      <c r="C366" s="86">
        <v>0</v>
      </c>
      <c r="D366" s="86">
        <v>0</v>
      </c>
      <c r="E366" s="86">
        <v>0</v>
      </c>
      <c r="F366" s="86">
        <v>0</v>
      </c>
      <c r="G366" s="86">
        <v>0</v>
      </c>
      <c r="H366" s="86">
        <v>0</v>
      </c>
      <c r="I366" s="86">
        <v>0</v>
      </c>
      <c r="J366" s="86">
        <v>0</v>
      </c>
      <c r="K366" s="86">
        <v>0</v>
      </c>
      <c r="L366" s="86">
        <v>0</v>
      </c>
      <c r="M366" s="86">
        <f>G336</f>
        <v>0.4375</v>
      </c>
    </row>
    <row r="367" spans="1:43" x14ac:dyDescent="0.25">
      <c r="B367" s="1"/>
    </row>
    <row r="368" spans="1:43" x14ac:dyDescent="0.25">
      <c r="B368" s="1"/>
      <c r="C368" s="1"/>
      <c r="D368" s="1"/>
      <c r="P368" s="1" t="s">
        <v>64</v>
      </c>
      <c r="AC368" s="1" t="s">
        <v>16</v>
      </c>
      <c r="AQ368" s="38"/>
    </row>
    <row r="369" spans="1:43" x14ac:dyDescent="0.25">
      <c r="B369" s="1">
        <v>48</v>
      </c>
      <c r="C369" s="1">
        <v>49</v>
      </c>
      <c r="D369" s="1">
        <v>50</v>
      </c>
      <c r="E369" s="1">
        <v>51</v>
      </c>
      <c r="F369" s="1">
        <v>54</v>
      </c>
      <c r="G369" s="1">
        <v>55</v>
      </c>
      <c r="H369" s="1">
        <v>56</v>
      </c>
      <c r="I369" s="1">
        <v>57</v>
      </c>
      <c r="J369" s="1">
        <v>58</v>
      </c>
      <c r="K369" s="1">
        <v>59</v>
      </c>
      <c r="L369" s="1">
        <v>60</v>
      </c>
      <c r="M369" s="1">
        <v>61</v>
      </c>
      <c r="N369" s="1"/>
      <c r="P369" s="1">
        <v>48</v>
      </c>
      <c r="Q369" s="1">
        <v>49</v>
      </c>
      <c r="R369" s="1">
        <v>50</v>
      </c>
      <c r="S369" s="1">
        <v>51</v>
      </c>
      <c r="T369" s="1">
        <v>54</v>
      </c>
      <c r="U369" s="1">
        <v>55</v>
      </c>
      <c r="V369" s="1">
        <v>56</v>
      </c>
      <c r="W369" s="1">
        <v>57</v>
      </c>
      <c r="X369" s="1">
        <v>58</v>
      </c>
      <c r="Y369" s="1">
        <v>59</v>
      </c>
      <c r="Z369" s="1">
        <v>60</v>
      </c>
      <c r="AA369" s="1">
        <v>61</v>
      </c>
      <c r="AD369" s="1">
        <v>48</v>
      </c>
      <c r="AE369" s="1">
        <v>49</v>
      </c>
      <c r="AF369" s="1">
        <v>50</v>
      </c>
      <c r="AG369" s="1">
        <v>51</v>
      </c>
      <c r="AH369" s="1">
        <v>54</v>
      </c>
      <c r="AI369" s="1">
        <v>55</v>
      </c>
      <c r="AJ369" s="1">
        <v>56</v>
      </c>
      <c r="AK369" s="1">
        <v>57</v>
      </c>
      <c r="AL369" s="1">
        <v>58</v>
      </c>
      <c r="AM369" s="1">
        <v>59</v>
      </c>
      <c r="AN369" s="1">
        <v>60</v>
      </c>
      <c r="AO369" s="1">
        <v>61</v>
      </c>
      <c r="AQ369" s="38"/>
    </row>
    <row r="370" spans="1:43" x14ac:dyDescent="0.25">
      <c r="A370" s="1">
        <v>48</v>
      </c>
      <c r="B370" s="39">
        <f t="array" ref="B370:M381">MMULT(MMULT(Z_matrix,Ap_matrix),TRANSPOSE(Z_matrix)) + d_matrix</f>
        <v>1.0000001000000001</v>
      </c>
      <c r="C370" s="39">
        <v>0.15625</v>
      </c>
      <c r="D370" s="39">
        <v>0.109375</v>
      </c>
      <c r="E370" s="39">
        <v>0.1875</v>
      </c>
      <c r="F370" s="39">
        <v>9.375E-2</v>
      </c>
      <c r="G370" s="39">
        <v>0.53125</v>
      </c>
      <c r="H370" s="39">
        <v>0.171875</v>
      </c>
      <c r="I370" s="39">
        <v>0.1171875</v>
      </c>
      <c r="J370" s="39">
        <v>0.109375</v>
      </c>
      <c r="K370" s="39">
        <v>7.8125E-2</v>
      </c>
      <c r="L370" s="86">
        <v>0.578125</v>
      </c>
      <c r="M370" s="86">
        <v>6.25E-2</v>
      </c>
      <c r="N370" s="38"/>
      <c r="O370" s="1">
        <v>48</v>
      </c>
      <c r="P370" s="44">
        <v>1</v>
      </c>
      <c r="Q370" s="44">
        <v>0.15625</v>
      </c>
      <c r="R370" s="44">
        <v>0.109375</v>
      </c>
      <c r="S370" s="44">
        <v>0.1875</v>
      </c>
      <c r="T370" s="44">
        <v>9.375E-2</v>
      </c>
      <c r="U370" s="44">
        <v>0.53125</v>
      </c>
      <c r="V370" s="44">
        <v>0.171875</v>
      </c>
      <c r="W370" s="44">
        <v>0.1171875</v>
      </c>
      <c r="X370" s="44">
        <v>0.109375</v>
      </c>
      <c r="Y370" s="44">
        <v>7.8125E-2</v>
      </c>
      <c r="Z370" s="44">
        <v>0.578125</v>
      </c>
      <c r="AA370" s="44">
        <v>6.25E-2</v>
      </c>
      <c r="AC370" s="1">
        <v>48</v>
      </c>
      <c r="AD370" s="8">
        <f t="shared" ref="AD370" si="87">P370-B370</f>
        <v>-1.0000000005838672E-7</v>
      </c>
      <c r="AE370" s="8">
        <f t="shared" ref="AE370" si="88">Q370-C370</f>
        <v>0</v>
      </c>
      <c r="AF370" s="8">
        <f t="shared" ref="AF370:AF371" si="89">R370-D370</f>
        <v>0</v>
      </c>
      <c r="AG370" s="8">
        <f t="shared" ref="AG370:AG371" si="90">S370-E370</f>
        <v>0</v>
      </c>
      <c r="AH370" s="8">
        <f t="shared" ref="AH370:AH371" si="91">T370-F370</f>
        <v>0</v>
      </c>
      <c r="AI370" s="8">
        <f t="shared" ref="AI370:AI371" si="92">U370-G370</f>
        <v>0</v>
      </c>
      <c r="AJ370" s="8">
        <f t="shared" ref="AJ370:AJ371" si="93">V370-H370</f>
        <v>0</v>
      </c>
      <c r="AK370" s="8">
        <f t="shared" ref="AK370:AK371" si="94">W370-I370</f>
        <v>0</v>
      </c>
      <c r="AL370" s="8">
        <f t="shared" ref="AL370:AL371" si="95">X370-J370</f>
        <v>0</v>
      </c>
      <c r="AM370" s="8">
        <f t="shared" ref="AM370:AM371" si="96">Y370-K370</f>
        <v>0</v>
      </c>
      <c r="AN370" s="8">
        <f t="shared" ref="AN370:AN371" si="97">Z370-L370</f>
        <v>0</v>
      </c>
      <c r="AO370" s="8">
        <f t="shared" ref="AO370:AO371" si="98">AA370-M370</f>
        <v>0</v>
      </c>
      <c r="AQ370" s="38"/>
    </row>
    <row r="371" spans="1:43" x14ac:dyDescent="0.25">
      <c r="A371" s="1">
        <v>49</v>
      </c>
      <c r="B371" s="39">
        <v>0.15625</v>
      </c>
      <c r="C371" s="39">
        <v>1.1132813500000001</v>
      </c>
      <c r="D371" s="39">
        <v>0.267578125</v>
      </c>
      <c r="E371" s="39">
        <v>0.466796875</v>
      </c>
      <c r="F371" s="39">
        <v>0.279296875</v>
      </c>
      <c r="G371" s="39">
        <v>0.12890625</v>
      </c>
      <c r="H371" s="39">
        <v>0.7900390625</v>
      </c>
      <c r="I371" s="39">
        <v>0.70654296875</v>
      </c>
      <c r="J371" s="39">
        <v>0.734375</v>
      </c>
      <c r="K371" s="39">
        <v>0.3564453125</v>
      </c>
      <c r="L371" s="86">
        <v>0.634765625</v>
      </c>
      <c r="M371" s="86">
        <v>0.39453125</v>
      </c>
      <c r="N371" s="38"/>
      <c r="O371" s="1">
        <v>49</v>
      </c>
      <c r="P371" s="44">
        <v>0.15625</v>
      </c>
      <c r="Q371" s="44">
        <v>1.1132812999999999</v>
      </c>
      <c r="R371" s="44">
        <v>0.26757809999999999</v>
      </c>
      <c r="S371" s="44">
        <v>0.46679690000000001</v>
      </c>
      <c r="T371" s="44">
        <v>0.27929690000000001</v>
      </c>
      <c r="U371" s="44">
        <v>0.1289062</v>
      </c>
      <c r="V371" s="44">
        <v>0.79003909999999999</v>
      </c>
      <c r="W371" s="44">
        <v>0.70654300000000003</v>
      </c>
      <c r="X371" s="44">
        <v>0.734375</v>
      </c>
      <c r="Y371" s="44">
        <v>0.35644530000000002</v>
      </c>
      <c r="Z371" s="44">
        <v>0.63476560000000004</v>
      </c>
      <c r="AA371" s="44">
        <v>0.39453125</v>
      </c>
      <c r="AC371" s="1">
        <v>49</v>
      </c>
      <c r="AD371" s="8">
        <f t="shared" ref="AD371:AD374" si="99">P371-B371</f>
        <v>0</v>
      </c>
      <c r="AE371" s="8">
        <f t="shared" ref="AE371:AE374" si="100">Q371-C371</f>
        <v>-5.0000000140215661E-8</v>
      </c>
      <c r="AF371" s="8">
        <f t="shared" si="89"/>
        <v>-2.5000000014596679E-8</v>
      </c>
      <c r="AG371" s="8">
        <f t="shared" si="90"/>
        <v>2.5000000014596679E-8</v>
      </c>
      <c r="AH371" s="8">
        <f t="shared" si="91"/>
        <v>2.5000000014596679E-8</v>
      </c>
      <c r="AI371" s="8">
        <f t="shared" si="92"/>
        <v>-5.0000000001437783E-8</v>
      </c>
      <c r="AJ371" s="8">
        <f t="shared" si="93"/>
        <v>3.7499999994139444E-8</v>
      </c>
      <c r="AK371" s="8">
        <f t="shared" si="94"/>
        <v>3.1250000032123637E-8</v>
      </c>
      <c r="AL371" s="8">
        <f t="shared" si="95"/>
        <v>0</v>
      </c>
      <c r="AM371" s="8">
        <f t="shared" si="96"/>
        <v>-1.2499999979542764E-8</v>
      </c>
      <c r="AN371" s="8">
        <f t="shared" si="97"/>
        <v>-2.4999999959085528E-8</v>
      </c>
      <c r="AO371" s="8">
        <f t="shared" si="98"/>
        <v>0</v>
      </c>
      <c r="AQ371" s="38"/>
    </row>
    <row r="372" spans="1:43" x14ac:dyDescent="0.25">
      <c r="A372" s="1">
        <v>50</v>
      </c>
      <c r="B372" s="39">
        <v>0.109375</v>
      </c>
      <c r="C372" s="39">
        <v>0.267578125</v>
      </c>
      <c r="D372" s="39">
        <v>1.0703123749999999</v>
      </c>
      <c r="E372" s="39">
        <v>0.205078125</v>
      </c>
      <c r="F372" s="39">
        <v>0.2578125</v>
      </c>
      <c r="G372" s="39">
        <v>0.2265625</v>
      </c>
      <c r="H372" s="39">
        <v>0.236328125</v>
      </c>
      <c r="I372" s="39">
        <v>0.326171875</v>
      </c>
      <c r="J372" s="39">
        <v>0.24609375</v>
      </c>
      <c r="K372" s="39">
        <v>0.28515625</v>
      </c>
      <c r="L372" s="86">
        <v>0.1884765625</v>
      </c>
      <c r="M372" s="86">
        <v>0.2685546875</v>
      </c>
      <c r="N372" s="38"/>
      <c r="O372" s="1">
        <v>50</v>
      </c>
      <c r="P372" s="44">
        <v>0.109375</v>
      </c>
      <c r="Q372" s="44">
        <v>0.26757809999999999</v>
      </c>
      <c r="R372" s="44">
        <v>1.0703125</v>
      </c>
      <c r="S372" s="44">
        <v>0.20507810000000001</v>
      </c>
      <c r="T372" s="44">
        <v>0.2578125</v>
      </c>
      <c r="U372" s="44">
        <v>0.2265625</v>
      </c>
      <c r="V372" s="44">
        <v>0.23632810000000001</v>
      </c>
      <c r="W372" s="44">
        <v>0.32617190000000001</v>
      </c>
      <c r="X372" s="44">
        <v>0.2460937</v>
      </c>
      <c r="Y372" s="44">
        <v>0.28515620000000003</v>
      </c>
      <c r="Z372" s="44">
        <v>0.18847659999999999</v>
      </c>
      <c r="AA372" s="44">
        <v>0.26855468999999998</v>
      </c>
      <c r="AC372" s="1">
        <v>50</v>
      </c>
      <c r="AD372" s="8">
        <f t="shared" si="99"/>
        <v>0</v>
      </c>
      <c r="AE372" s="8">
        <f t="shared" si="100"/>
        <v>-2.5000000014596679E-8</v>
      </c>
      <c r="AF372" s="8">
        <f t="shared" ref="AF372:AF381" si="101">R372-D372</f>
        <v>1.2500000012849455E-7</v>
      </c>
      <c r="AG372" s="8">
        <f t="shared" ref="AG372:AG381" si="102">S372-E372</f>
        <v>-2.4999999986841104E-8</v>
      </c>
      <c r="AH372" s="8">
        <f t="shared" ref="AH372:AH381" si="103">T372-F372</f>
        <v>0</v>
      </c>
      <c r="AI372" s="8">
        <f t="shared" ref="AI372:AI381" si="104">U372-G372</f>
        <v>0</v>
      </c>
      <c r="AJ372" s="8">
        <f t="shared" ref="AJ372:AJ381" si="105">V372-H372</f>
        <v>-2.4999999986841104E-8</v>
      </c>
      <c r="AK372" s="8">
        <f t="shared" ref="AK372:AK381" si="106">W372-I372</f>
        <v>2.5000000014596679E-8</v>
      </c>
      <c r="AL372" s="8">
        <f t="shared" ref="AL372:AL381" si="107">X372-J372</f>
        <v>-5.0000000001437783E-8</v>
      </c>
      <c r="AM372" s="8">
        <f t="shared" ref="AM372:AM381" si="108">Y372-K372</f>
        <v>-4.9999999973682208E-8</v>
      </c>
      <c r="AN372" s="8">
        <f t="shared" ref="AN372:AN381" si="109">Z372-L372</f>
        <v>3.7499999994139444E-8</v>
      </c>
      <c r="AO372" s="8">
        <f t="shared" ref="AO372:AO381" si="110">AA372-M372</f>
        <v>2.4999999848063226E-9</v>
      </c>
      <c r="AQ372" s="38"/>
    </row>
    <row r="373" spans="1:43" x14ac:dyDescent="0.25">
      <c r="A373" s="1">
        <v>51</v>
      </c>
      <c r="B373" s="39">
        <v>0.1875</v>
      </c>
      <c r="C373" s="39">
        <v>0.466796875</v>
      </c>
      <c r="D373" s="39">
        <v>0.205078125</v>
      </c>
      <c r="E373" s="39">
        <v>1.1367188500000001</v>
      </c>
      <c r="F373" s="39">
        <v>0.267578125</v>
      </c>
      <c r="G373" s="39">
        <v>0.13671875</v>
      </c>
      <c r="H373" s="39">
        <v>0.8017578125</v>
      </c>
      <c r="I373" s="39">
        <v>0.38232421875</v>
      </c>
      <c r="J373" s="39">
        <v>0.4150390625</v>
      </c>
      <c r="K373" s="39">
        <v>0.3544921875</v>
      </c>
      <c r="L373" s="86">
        <v>0.3271484375</v>
      </c>
      <c r="M373" s="86">
        <v>0.40234375</v>
      </c>
      <c r="N373" s="38"/>
      <c r="O373" s="1">
        <v>51</v>
      </c>
      <c r="P373" s="44">
        <v>0.1875</v>
      </c>
      <c r="Q373" s="44">
        <v>0.46679690000000001</v>
      </c>
      <c r="R373" s="44">
        <v>0.20507810000000001</v>
      </c>
      <c r="S373" s="44">
        <v>1.1367187999999999</v>
      </c>
      <c r="T373" s="44">
        <v>0.26757809999999999</v>
      </c>
      <c r="U373" s="44">
        <v>0.1367188</v>
      </c>
      <c r="V373" s="44">
        <v>0.80175779999999996</v>
      </c>
      <c r="W373" s="44">
        <v>0.3823242</v>
      </c>
      <c r="X373" s="44">
        <v>0.41503909999999999</v>
      </c>
      <c r="Y373" s="44">
        <v>0.35449219999999998</v>
      </c>
      <c r="Z373" s="44">
        <v>0.32714840000000001</v>
      </c>
      <c r="AA373" s="44">
        <v>0.40234375</v>
      </c>
      <c r="AC373" s="1">
        <v>51</v>
      </c>
      <c r="AD373" s="8">
        <f t="shared" si="99"/>
        <v>0</v>
      </c>
      <c r="AE373" s="8">
        <f t="shared" si="100"/>
        <v>2.5000000014596679E-8</v>
      </c>
      <c r="AF373" s="8">
        <f t="shared" si="101"/>
        <v>-2.4999999986841104E-8</v>
      </c>
      <c r="AG373" s="8">
        <f t="shared" si="102"/>
        <v>-5.0000000140215661E-8</v>
      </c>
      <c r="AH373" s="8">
        <f t="shared" si="103"/>
        <v>-2.5000000014596679E-8</v>
      </c>
      <c r="AI373" s="8">
        <f t="shared" si="104"/>
        <v>5.0000000001437783E-8</v>
      </c>
      <c r="AJ373" s="8">
        <f t="shared" si="105"/>
        <v>-1.2500000035053915E-8</v>
      </c>
      <c r="AK373" s="8">
        <f t="shared" si="106"/>
        <v>-1.8749999997069722E-8</v>
      </c>
      <c r="AL373" s="8">
        <f t="shared" si="107"/>
        <v>3.7499999994139444E-8</v>
      </c>
      <c r="AM373" s="8">
        <f t="shared" si="108"/>
        <v>1.2499999979542764E-8</v>
      </c>
      <c r="AN373" s="8">
        <f t="shared" si="109"/>
        <v>-3.7499999994139444E-8</v>
      </c>
      <c r="AO373" s="8">
        <f t="shared" si="110"/>
        <v>0</v>
      </c>
      <c r="AQ373" s="38"/>
    </row>
    <row r="374" spans="1:43" x14ac:dyDescent="0.25">
      <c r="A374" s="1">
        <v>54</v>
      </c>
      <c r="B374" s="39">
        <v>9.375E-2</v>
      </c>
      <c r="C374" s="39">
        <v>0.279296875</v>
      </c>
      <c r="D374" s="39">
        <v>0.2578125</v>
      </c>
      <c r="E374" s="39">
        <v>0.267578125</v>
      </c>
      <c r="F374" s="39">
        <v>1.0156251000000001</v>
      </c>
      <c r="G374" s="39">
        <v>0.13671875</v>
      </c>
      <c r="H374" s="39">
        <v>0.2734375</v>
      </c>
      <c r="I374" s="39">
        <v>0.30859375</v>
      </c>
      <c r="J374" s="39">
        <v>0.3310546875</v>
      </c>
      <c r="K374" s="39">
        <v>0.78125</v>
      </c>
      <c r="L374" s="86">
        <v>0.1865234375</v>
      </c>
      <c r="M374" s="86">
        <v>0.46484375</v>
      </c>
      <c r="N374" s="38"/>
      <c r="O374" s="1">
        <v>54</v>
      </c>
      <c r="P374" s="44">
        <v>9.375E-2</v>
      </c>
      <c r="Q374" s="44">
        <v>0.27929690000000001</v>
      </c>
      <c r="R374" s="44">
        <v>0.2578125</v>
      </c>
      <c r="S374" s="44">
        <v>0.26757809999999999</v>
      </c>
      <c r="T374" s="44">
        <v>1.015625</v>
      </c>
      <c r="U374" s="44">
        <v>0.1367188</v>
      </c>
      <c r="V374" s="44">
        <v>0.2734375</v>
      </c>
      <c r="W374" s="44">
        <v>0.30859379999999997</v>
      </c>
      <c r="X374" s="44">
        <v>0.33105469999999998</v>
      </c>
      <c r="Y374" s="44">
        <v>0.78125</v>
      </c>
      <c r="Z374" s="44">
        <v>0.18652340000000001</v>
      </c>
      <c r="AA374" s="44">
        <v>0.46484375</v>
      </c>
      <c r="AC374" s="1">
        <v>54</v>
      </c>
      <c r="AD374" s="8">
        <f t="shared" si="99"/>
        <v>0</v>
      </c>
      <c r="AE374" s="8">
        <f t="shared" si="100"/>
        <v>2.5000000014596679E-8</v>
      </c>
      <c r="AF374" s="8">
        <f t="shared" si="101"/>
        <v>0</v>
      </c>
      <c r="AG374" s="8">
        <f t="shared" si="102"/>
        <v>-2.5000000014596679E-8</v>
      </c>
      <c r="AH374" s="8">
        <f t="shared" si="103"/>
        <v>-1.0000000005838672E-7</v>
      </c>
      <c r="AI374" s="8">
        <f t="shared" si="104"/>
        <v>5.0000000001437783E-8</v>
      </c>
      <c r="AJ374" s="8">
        <f t="shared" si="105"/>
        <v>0</v>
      </c>
      <c r="AK374" s="8">
        <f t="shared" si="106"/>
        <v>4.9999999973682208E-8</v>
      </c>
      <c r="AL374" s="8">
        <f t="shared" si="107"/>
        <v>1.2499999979542764E-8</v>
      </c>
      <c r="AM374" s="8">
        <f t="shared" si="108"/>
        <v>0</v>
      </c>
      <c r="AN374" s="8">
        <f t="shared" si="109"/>
        <v>-3.7499999994139444E-8</v>
      </c>
      <c r="AO374" s="8">
        <f t="shared" si="110"/>
        <v>0</v>
      </c>
      <c r="AQ374" s="38"/>
    </row>
    <row r="375" spans="1:43" x14ac:dyDescent="0.25">
      <c r="A375" s="1">
        <v>55</v>
      </c>
      <c r="B375" s="39">
        <v>0.53125</v>
      </c>
      <c r="C375" s="39">
        <v>0.12890625</v>
      </c>
      <c r="D375" s="39">
        <v>0.2265625</v>
      </c>
      <c r="E375" s="39">
        <v>0.13671875</v>
      </c>
      <c r="F375" s="39">
        <v>0.13671875</v>
      </c>
      <c r="G375" s="39">
        <v>1.03125</v>
      </c>
      <c r="H375" s="39">
        <v>0.1328125</v>
      </c>
      <c r="I375" s="39">
        <v>0.1103515625</v>
      </c>
      <c r="J375" s="39">
        <v>0.10546875</v>
      </c>
      <c r="K375" s="39">
        <v>0.111328125</v>
      </c>
      <c r="L375" s="86">
        <v>0.330078125</v>
      </c>
      <c r="M375" s="86">
        <v>8.3984375E-2</v>
      </c>
      <c r="N375" s="38"/>
      <c r="O375" s="1">
        <v>55</v>
      </c>
      <c r="P375" s="44">
        <v>0.53125</v>
      </c>
      <c r="Q375" s="44">
        <v>0.1289062</v>
      </c>
      <c r="R375" s="44">
        <v>0.2265625</v>
      </c>
      <c r="S375" s="44">
        <v>0.1367188</v>
      </c>
      <c r="T375" s="44">
        <v>0.1367188</v>
      </c>
      <c r="U375" s="44">
        <v>1.03125</v>
      </c>
      <c r="V375" s="44">
        <v>0.1328125</v>
      </c>
      <c r="W375" s="44">
        <v>0.11035159999999999</v>
      </c>
      <c r="X375" s="44">
        <v>0.1054688</v>
      </c>
      <c r="Y375" s="44">
        <v>0.1113281</v>
      </c>
      <c r="Z375" s="44">
        <v>0.33007809999999999</v>
      </c>
      <c r="AA375" s="44">
        <v>8.3984379999999997E-2</v>
      </c>
      <c r="AC375" s="1">
        <v>55</v>
      </c>
      <c r="AD375" s="8">
        <f t="shared" ref="AD375:AD381" si="111">P375-B375</f>
        <v>0</v>
      </c>
      <c r="AE375" s="8">
        <f t="shared" ref="AE375:AE381" si="112">Q375-C375</f>
        <v>-5.0000000001437783E-8</v>
      </c>
      <c r="AF375" s="8">
        <f t="shared" si="101"/>
        <v>0</v>
      </c>
      <c r="AG375" s="8">
        <f t="shared" si="102"/>
        <v>5.0000000001437783E-8</v>
      </c>
      <c r="AH375" s="8">
        <f t="shared" si="103"/>
        <v>5.0000000001437783E-8</v>
      </c>
      <c r="AI375" s="8">
        <f t="shared" si="104"/>
        <v>0</v>
      </c>
      <c r="AJ375" s="8">
        <f t="shared" si="105"/>
        <v>0</v>
      </c>
      <c r="AK375" s="8">
        <f t="shared" si="106"/>
        <v>3.7499999994139444E-8</v>
      </c>
      <c r="AL375" s="8">
        <f t="shared" si="107"/>
        <v>5.0000000001437783E-8</v>
      </c>
      <c r="AM375" s="8">
        <f t="shared" si="108"/>
        <v>-2.5000000000718892E-8</v>
      </c>
      <c r="AN375" s="8">
        <f t="shared" si="109"/>
        <v>-2.5000000014596679E-8</v>
      </c>
      <c r="AO375" s="8">
        <f t="shared" si="110"/>
        <v>4.9999999973682208E-9</v>
      </c>
      <c r="AQ375" s="38"/>
    </row>
    <row r="376" spans="1:43" x14ac:dyDescent="0.25">
      <c r="A376" s="1">
        <v>56</v>
      </c>
      <c r="B376" s="39">
        <v>0.171875</v>
      </c>
      <c r="C376" s="39">
        <v>0.7900390625</v>
      </c>
      <c r="D376" s="39">
        <v>0.236328125</v>
      </c>
      <c r="E376" s="39">
        <v>0.8017578125</v>
      </c>
      <c r="F376" s="39">
        <v>0.2734375</v>
      </c>
      <c r="G376" s="39">
        <v>0.1328125</v>
      </c>
      <c r="H376" s="39">
        <v>1.2333984375</v>
      </c>
      <c r="I376" s="39">
        <v>0.54443359375</v>
      </c>
      <c r="J376" s="39">
        <v>0.57470703125</v>
      </c>
      <c r="K376" s="39">
        <v>0.35546875</v>
      </c>
      <c r="L376" s="86">
        <v>0.48095703125</v>
      </c>
      <c r="M376" s="86">
        <v>0.3984375</v>
      </c>
      <c r="N376" s="38"/>
      <c r="O376" s="1">
        <v>56</v>
      </c>
      <c r="P376" s="44">
        <v>0.171875</v>
      </c>
      <c r="Q376" s="44">
        <v>0.79003909999999999</v>
      </c>
      <c r="R376" s="44">
        <v>0.23632810000000001</v>
      </c>
      <c r="S376" s="44">
        <v>0.80175779999999996</v>
      </c>
      <c r="T376" s="44">
        <v>0.2734375</v>
      </c>
      <c r="U376" s="44">
        <v>0.1328125</v>
      </c>
      <c r="V376" s="44">
        <v>1.2333984</v>
      </c>
      <c r="W376" s="44">
        <v>0.54443359999999996</v>
      </c>
      <c r="X376" s="44">
        <v>0.57470699999999997</v>
      </c>
      <c r="Y376" s="44">
        <v>0.35546879999999997</v>
      </c>
      <c r="Z376" s="44">
        <v>0.48095700000000002</v>
      </c>
      <c r="AA376" s="44">
        <v>0.3984375</v>
      </c>
      <c r="AC376" s="1">
        <v>56</v>
      </c>
      <c r="AD376" s="8">
        <f t="shared" si="111"/>
        <v>0</v>
      </c>
      <c r="AE376" s="8">
        <f t="shared" si="112"/>
        <v>3.7499999994139444E-8</v>
      </c>
      <c r="AF376" s="8">
        <f t="shared" si="101"/>
        <v>-2.4999999986841104E-8</v>
      </c>
      <c r="AG376" s="8">
        <f t="shared" si="102"/>
        <v>-1.2500000035053915E-8</v>
      </c>
      <c r="AH376" s="8">
        <f t="shared" si="103"/>
        <v>0</v>
      </c>
      <c r="AI376" s="8">
        <f t="shared" si="104"/>
        <v>0</v>
      </c>
      <c r="AJ376" s="8">
        <f t="shared" si="105"/>
        <v>-3.7499999994139444E-8</v>
      </c>
      <c r="AK376" s="8">
        <f t="shared" si="106"/>
        <v>6.2499999620158064E-9</v>
      </c>
      <c r="AL376" s="8">
        <f t="shared" si="107"/>
        <v>-3.1250000032123637E-8</v>
      </c>
      <c r="AM376" s="8">
        <f t="shared" si="108"/>
        <v>4.9999999973682208E-8</v>
      </c>
      <c r="AN376" s="8">
        <f t="shared" si="109"/>
        <v>-3.1249999976612486E-8</v>
      </c>
      <c r="AO376" s="8">
        <f t="shared" si="110"/>
        <v>0</v>
      </c>
      <c r="AQ376" s="38"/>
    </row>
    <row r="377" spans="1:43" x14ac:dyDescent="0.25">
      <c r="A377" s="1">
        <v>57</v>
      </c>
      <c r="B377" s="39">
        <v>0.1171875</v>
      </c>
      <c r="C377" s="39">
        <v>0.70654296875</v>
      </c>
      <c r="D377" s="39">
        <v>0.326171875</v>
      </c>
      <c r="E377" s="39">
        <v>0.38232421875</v>
      </c>
      <c r="F377" s="39">
        <v>0.30859375</v>
      </c>
      <c r="G377" s="39">
        <v>0.1103515625</v>
      </c>
      <c r="H377" s="39">
        <v>0.54443359375</v>
      </c>
      <c r="I377" s="39">
        <v>1.1499025</v>
      </c>
      <c r="J377" s="39">
        <v>0.548583984375</v>
      </c>
      <c r="K377" s="39">
        <v>0.41015625</v>
      </c>
      <c r="L377" s="86">
        <v>0.411865234375</v>
      </c>
      <c r="M377" s="86">
        <v>0.451171875</v>
      </c>
      <c r="N377" s="38"/>
      <c r="O377" s="1">
        <v>57</v>
      </c>
      <c r="P377" s="44">
        <v>0.1171875</v>
      </c>
      <c r="Q377" s="44">
        <v>0.70654300000000003</v>
      </c>
      <c r="R377" s="44">
        <v>0.32617190000000001</v>
      </c>
      <c r="S377" s="44">
        <v>0.3823242</v>
      </c>
      <c r="T377" s="44">
        <v>0.30859379999999997</v>
      </c>
      <c r="U377" s="44">
        <v>0.11035159999999999</v>
      </c>
      <c r="V377" s="44">
        <v>0.54443359999999996</v>
      </c>
      <c r="W377" s="44">
        <v>1.1499022999999999</v>
      </c>
      <c r="X377" s="44">
        <v>0.54858399999999996</v>
      </c>
      <c r="Y377" s="44">
        <v>0.41015620000000003</v>
      </c>
      <c r="Z377" s="44">
        <v>0.41186519999999999</v>
      </c>
      <c r="AA377" s="44">
        <v>0.45117188000000003</v>
      </c>
      <c r="AC377" s="1">
        <v>57</v>
      </c>
      <c r="AD377" s="8">
        <f t="shared" si="111"/>
        <v>0</v>
      </c>
      <c r="AE377" s="8">
        <f t="shared" si="112"/>
        <v>3.1250000032123637E-8</v>
      </c>
      <c r="AF377" s="8">
        <f t="shared" si="101"/>
        <v>2.5000000014596679E-8</v>
      </c>
      <c r="AG377" s="8">
        <f t="shared" si="102"/>
        <v>-1.8749999997069722E-8</v>
      </c>
      <c r="AH377" s="8">
        <f t="shared" si="103"/>
        <v>4.9999999973682208E-8</v>
      </c>
      <c r="AI377" s="8">
        <f t="shared" si="104"/>
        <v>3.7499999994139444E-8</v>
      </c>
      <c r="AJ377" s="8">
        <f t="shared" si="105"/>
        <v>6.2499999620158064E-9</v>
      </c>
      <c r="AK377" s="8">
        <f t="shared" si="106"/>
        <v>-2.0000000011677344E-7</v>
      </c>
      <c r="AL377" s="8">
        <f t="shared" si="107"/>
        <v>1.5624999960550667E-8</v>
      </c>
      <c r="AM377" s="8">
        <f t="shared" si="108"/>
        <v>-4.9999999973682208E-8</v>
      </c>
      <c r="AN377" s="8">
        <f t="shared" si="109"/>
        <v>-3.437500001313154E-8</v>
      </c>
      <c r="AO377" s="8">
        <f t="shared" si="110"/>
        <v>5.0000000251237964E-9</v>
      </c>
      <c r="AQ377" s="38"/>
    </row>
    <row r="378" spans="1:43" x14ac:dyDescent="0.25">
      <c r="A378" s="1">
        <v>58</v>
      </c>
      <c r="B378" s="39">
        <v>0.109375</v>
      </c>
      <c r="C378" s="39">
        <v>0.734375</v>
      </c>
      <c r="D378" s="39">
        <v>0.24609375</v>
      </c>
      <c r="E378" s="39">
        <v>0.4150390625</v>
      </c>
      <c r="F378" s="39">
        <v>0.3310546875</v>
      </c>
      <c r="G378" s="39">
        <v>0.10546875</v>
      </c>
      <c r="H378" s="39">
        <v>0.57470703125</v>
      </c>
      <c r="I378" s="39">
        <v>0.548583984375</v>
      </c>
      <c r="J378" s="39">
        <v>1.1777344375000001</v>
      </c>
      <c r="K378" s="39">
        <v>0.45361328125</v>
      </c>
      <c r="L378" s="86">
        <v>0.421875</v>
      </c>
      <c r="M378" s="86">
        <v>0.673828125</v>
      </c>
      <c r="N378" s="38"/>
      <c r="O378" s="1">
        <v>58</v>
      </c>
      <c r="P378" s="44">
        <v>0.109375</v>
      </c>
      <c r="Q378" s="44">
        <v>0.734375</v>
      </c>
      <c r="R378" s="44">
        <v>0.2460938</v>
      </c>
      <c r="S378" s="44">
        <v>0.41503909999999999</v>
      </c>
      <c r="T378" s="44">
        <v>0.33105469999999998</v>
      </c>
      <c r="U378" s="44">
        <v>0.1054688</v>
      </c>
      <c r="V378" s="44">
        <v>0.57470699999999997</v>
      </c>
      <c r="W378" s="44">
        <v>0.54858399999999996</v>
      </c>
      <c r="X378" s="44">
        <v>1.1777344000000001</v>
      </c>
      <c r="Y378" s="44">
        <v>0.4536133</v>
      </c>
      <c r="Z378" s="44">
        <v>0.421875</v>
      </c>
      <c r="AA378" s="44">
        <v>0.67382812000000003</v>
      </c>
      <c r="AC378" s="1">
        <v>58</v>
      </c>
      <c r="AD378" s="8">
        <f t="shared" si="111"/>
        <v>0</v>
      </c>
      <c r="AE378" s="8">
        <f t="shared" si="112"/>
        <v>0</v>
      </c>
      <c r="AF378" s="8">
        <f t="shared" si="101"/>
        <v>5.0000000001437783E-8</v>
      </c>
      <c r="AG378" s="8">
        <f t="shared" si="102"/>
        <v>3.7499999994139444E-8</v>
      </c>
      <c r="AH378" s="8">
        <f t="shared" si="103"/>
        <v>1.2499999979542764E-8</v>
      </c>
      <c r="AI378" s="8">
        <f t="shared" si="104"/>
        <v>5.0000000001437783E-8</v>
      </c>
      <c r="AJ378" s="8">
        <f t="shared" si="105"/>
        <v>-3.1250000032123637E-8</v>
      </c>
      <c r="AK378" s="8">
        <f t="shared" si="106"/>
        <v>1.5624999960550667E-8</v>
      </c>
      <c r="AL378" s="8">
        <f t="shared" si="107"/>
        <v>-3.7499999994139444E-8</v>
      </c>
      <c r="AM378" s="8">
        <f t="shared" si="108"/>
        <v>1.8749999997069722E-8</v>
      </c>
      <c r="AN378" s="8">
        <f t="shared" si="109"/>
        <v>0</v>
      </c>
      <c r="AO378" s="8">
        <f t="shared" si="110"/>
        <v>-4.9999999696126451E-9</v>
      </c>
      <c r="AQ378" s="40"/>
    </row>
    <row r="379" spans="1:43" x14ac:dyDescent="0.25">
      <c r="A379" s="1">
        <v>59</v>
      </c>
      <c r="B379" s="39">
        <v>7.8125E-2</v>
      </c>
      <c r="C379" s="39">
        <v>0.3564453125</v>
      </c>
      <c r="D379" s="39">
        <v>0.28515625</v>
      </c>
      <c r="E379" s="39">
        <v>0.3544921875</v>
      </c>
      <c r="F379" s="39">
        <v>0.78125</v>
      </c>
      <c r="G379" s="39">
        <v>0.111328125</v>
      </c>
      <c r="H379" s="39">
        <v>0.35546875</v>
      </c>
      <c r="I379" s="39">
        <v>0.41015625</v>
      </c>
      <c r="J379" s="39">
        <v>0.45361328125</v>
      </c>
      <c r="K379" s="39">
        <v>1.2734375</v>
      </c>
      <c r="L379" s="86">
        <v>0.21728515625</v>
      </c>
      <c r="M379" s="86">
        <v>0.677734375</v>
      </c>
      <c r="N379" s="38"/>
      <c r="O379" s="1">
        <v>59</v>
      </c>
      <c r="P379" s="44">
        <v>7.8125E-2</v>
      </c>
      <c r="Q379" s="44">
        <v>0.35644530000000002</v>
      </c>
      <c r="R379" s="44">
        <v>0.28515620000000003</v>
      </c>
      <c r="S379" s="44">
        <v>0.35449219999999998</v>
      </c>
      <c r="T379" s="44">
        <v>0.78125</v>
      </c>
      <c r="U379" s="44">
        <v>0.1113281</v>
      </c>
      <c r="V379" s="44">
        <v>0.35546870000000003</v>
      </c>
      <c r="W379" s="44">
        <v>0.41015620000000003</v>
      </c>
      <c r="X379" s="44">
        <v>0.4536133</v>
      </c>
      <c r="Y379" s="44">
        <v>1.2734375</v>
      </c>
      <c r="Z379" s="44">
        <v>0.21728520000000001</v>
      </c>
      <c r="AA379" s="44">
        <v>0.67773437999999997</v>
      </c>
      <c r="AC379" s="1">
        <v>59</v>
      </c>
      <c r="AD379" s="8">
        <f t="shared" si="111"/>
        <v>0</v>
      </c>
      <c r="AE379" s="8">
        <f t="shared" si="112"/>
        <v>-1.2499999979542764E-8</v>
      </c>
      <c r="AF379" s="8">
        <f t="shared" si="101"/>
        <v>-4.9999999973682208E-8</v>
      </c>
      <c r="AG379" s="8">
        <f t="shared" si="102"/>
        <v>1.2499999979542764E-8</v>
      </c>
      <c r="AH379" s="8">
        <f t="shared" si="103"/>
        <v>0</v>
      </c>
      <c r="AI379" s="8">
        <f t="shared" si="104"/>
        <v>-2.5000000000718892E-8</v>
      </c>
      <c r="AJ379" s="8">
        <f t="shared" si="105"/>
        <v>-4.9999999973682208E-8</v>
      </c>
      <c r="AK379" s="8">
        <f t="shared" si="106"/>
        <v>-4.9999999973682208E-8</v>
      </c>
      <c r="AL379" s="8">
        <f t="shared" si="107"/>
        <v>1.8749999997069722E-8</v>
      </c>
      <c r="AM379" s="8">
        <f t="shared" si="108"/>
        <v>0</v>
      </c>
      <c r="AN379" s="8">
        <f t="shared" si="109"/>
        <v>4.3750000011666401E-8</v>
      </c>
      <c r="AO379" s="8">
        <f t="shared" si="110"/>
        <v>4.9999999696126451E-9</v>
      </c>
    </row>
    <row r="380" spans="1:43" x14ac:dyDescent="0.25">
      <c r="A380" s="1">
        <v>60</v>
      </c>
      <c r="B380" s="86">
        <v>0.578125</v>
      </c>
      <c r="C380" s="86">
        <v>0.634765625</v>
      </c>
      <c r="D380" s="86">
        <v>0.1884765625</v>
      </c>
      <c r="E380" s="86">
        <v>0.3271484375</v>
      </c>
      <c r="F380" s="86">
        <v>0.1865234375</v>
      </c>
      <c r="G380" s="86">
        <v>0.330078125</v>
      </c>
      <c r="H380" s="86">
        <v>0.48095703125</v>
      </c>
      <c r="I380" s="86">
        <v>0.411865234375</v>
      </c>
      <c r="J380" s="86">
        <v>0.421875</v>
      </c>
      <c r="K380" s="86">
        <v>0.21728515625</v>
      </c>
      <c r="L380" s="86">
        <v>1.0781250625000001</v>
      </c>
      <c r="M380" s="86">
        <v>0.228515625</v>
      </c>
      <c r="N380" s="38"/>
      <c r="O380" s="1">
        <v>60</v>
      </c>
      <c r="P380" s="44">
        <v>0.578125</v>
      </c>
      <c r="Q380" s="44">
        <v>0.63476560000000004</v>
      </c>
      <c r="R380" s="44">
        <v>0.18847659999999999</v>
      </c>
      <c r="S380" s="44">
        <v>0.32714840000000001</v>
      </c>
      <c r="T380" s="44">
        <v>0.18652340000000001</v>
      </c>
      <c r="U380" s="44">
        <v>0.33007809999999999</v>
      </c>
      <c r="V380" s="44">
        <v>0.48095700000000002</v>
      </c>
      <c r="W380" s="44">
        <v>0.41186519999999999</v>
      </c>
      <c r="X380" s="44">
        <v>0.421875</v>
      </c>
      <c r="Y380" s="44">
        <v>0.21728520000000001</v>
      </c>
      <c r="Z380" s="44">
        <v>1.078125</v>
      </c>
      <c r="AA380" s="44">
        <v>0.22851560000000001</v>
      </c>
      <c r="AC380" s="1">
        <v>60</v>
      </c>
      <c r="AD380" s="8">
        <f t="shared" si="111"/>
        <v>0</v>
      </c>
      <c r="AE380" s="8">
        <f t="shared" si="112"/>
        <v>-2.4999999959085528E-8</v>
      </c>
      <c r="AF380" s="8">
        <f t="shared" si="101"/>
        <v>3.7499999994139444E-8</v>
      </c>
      <c r="AG380" s="8">
        <f t="shared" si="102"/>
        <v>-3.7499999994139444E-8</v>
      </c>
      <c r="AH380" s="8">
        <f t="shared" si="103"/>
        <v>-3.7499999994139444E-8</v>
      </c>
      <c r="AI380" s="8">
        <f t="shared" si="104"/>
        <v>-2.5000000014596679E-8</v>
      </c>
      <c r="AJ380" s="8">
        <f t="shared" si="105"/>
        <v>-3.1249999976612486E-8</v>
      </c>
      <c r="AK380" s="8">
        <f t="shared" si="106"/>
        <v>-3.437500001313154E-8</v>
      </c>
      <c r="AL380" s="8">
        <f t="shared" si="107"/>
        <v>0</v>
      </c>
      <c r="AM380" s="8">
        <f t="shared" si="108"/>
        <v>4.3750000011666401E-8</v>
      </c>
      <c r="AN380" s="8">
        <f t="shared" si="109"/>
        <v>-6.2500000064247274E-8</v>
      </c>
      <c r="AO380" s="8">
        <f t="shared" si="110"/>
        <v>-2.4999999986841104E-8</v>
      </c>
    </row>
    <row r="381" spans="1:43" x14ac:dyDescent="0.25">
      <c r="A381" s="1">
        <v>61</v>
      </c>
      <c r="B381" s="86">
        <v>6.25E-2</v>
      </c>
      <c r="C381" s="86">
        <v>0.39453125</v>
      </c>
      <c r="D381" s="86">
        <v>0.2685546875</v>
      </c>
      <c r="E381" s="86">
        <v>0.40234375</v>
      </c>
      <c r="F381" s="86">
        <v>0.46484375</v>
      </c>
      <c r="G381" s="86">
        <v>8.3984375E-2</v>
      </c>
      <c r="H381" s="86">
        <v>0.3984375</v>
      </c>
      <c r="I381" s="86">
        <v>0.451171875</v>
      </c>
      <c r="J381" s="86">
        <v>0.673828125</v>
      </c>
      <c r="K381" s="86">
        <v>0.677734375</v>
      </c>
      <c r="L381" s="86">
        <v>0.228515625</v>
      </c>
      <c r="M381" s="86">
        <v>1.359375</v>
      </c>
      <c r="O381" s="1">
        <v>61</v>
      </c>
      <c r="P381" s="44">
        <v>6.25E-2</v>
      </c>
      <c r="Q381" s="44">
        <v>0.39453125</v>
      </c>
      <c r="R381" s="44">
        <v>0.26855468999999998</v>
      </c>
      <c r="S381" s="44">
        <v>0.40234375</v>
      </c>
      <c r="T381" s="44">
        <v>0.46484375</v>
      </c>
      <c r="U381" s="44">
        <v>8.3984379999999997E-2</v>
      </c>
      <c r="V381" s="44">
        <v>0.3984375</v>
      </c>
      <c r="W381" s="44">
        <v>0.45117188000000003</v>
      </c>
      <c r="X381" s="44">
        <v>0.67382812000000003</v>
      </c>
      <c r="Y381" s="44">
        <v>0.67773437999999997</v>
      </c>
      <c r="Z381" s="44">
        <v>0.22851560000000001</v>
      </c>
      <c r="AA381" s="44">
        <v>1.359375</v>
      </c>
      <c r="AC381" s="1">
        <v>61</v>
      </c>
      <c r="AD381" s="8">
        <f t="shared" si="111"/>
        <v>0</v>
      </c>
      <c r="AE381" s="8">
        <f t="shared" si="112"/>
        <v>0</v>
      </c>
      <c r="AF381" s="8">
        <f t="shared" si="101"/>
        <v>2.4999999848063226E-9</v>
      </c>
      <c r="AG381" s="8">
        <f t="shared" si="102"/>
        <v>0</v>
      </c>
      <c r="AH381" s="8">
        <f t="shared" si="103"/>
        <v>0</v>
      </c>
      <c r="AI381" s="8">
        <f t="shared" si="104"/>
        <v>4.9999999973682208E-9</v>
      </c>
      <c r="AJ381" s="8">
        <f t="shared" si="105"/>
        <v>0</v>
      </c>
      <c r="AK381" s="8">
        <f t="shared" si="106"/>
        <v>5.0000000251237964E-9</v>
      </c>
      <c r="AL381" s="8">
        <f t="shared" si="107"/>
        <v>-4.9999999696126451E-9</v>
      </c>
      <c r="AM381" s="8">
        <f t="shared" si="108"/>
        <v>4.9999999696126451E-9</v>
      </c>
      <c r="AN381" s="8">
        <f t="shared" si="109"/>
        <v>-2.4999999986841104E-8</v>
      </c>
      <c r="AO381" s="8">
        <f t="shared" si="110"/>
        <v>0</v>
      </c>
    </row>
    <row r="382" spans="1:43" x14ac:dyDescent="0.25">
      <c r="B382" s="1"/>
    </row>
    <row r="383" spans="1:43" x14ac:dyDescent="0.25">
      <c r="B383" s="1"/>
      <c r="O383" s="38"/>
    </row>
    <row r="384" spans="1:43" x14ac:dyDescent="0.25">
      <c r="B384" s="1">
        <v>48</v>
      </c>
      <c r="C384" s="1">
        <v>49</v>
      </c>
      <c r="D384" s="1">
        <v>50</v>
      </c>
      <c r="E384" s="1">
        <v>51</v>
      </c>
      <c r="F384" s="1">
        <v>54</v>
      </c>
      <c r="G384" s="1">
        <v>55</v>
      </c>
      <c r="H384" s="1">
        <v>56</v>
      </c>
      <c r="I384" s="1">
        <v>57</v>
      </c>
      <c r="J384" s="1">
        <v>58</v>
      </c>
      <c r="K384" s="1">
        <v>59</v>
      </c>
      <c r="L384" s="1">
        <v>60</v>
      </c>
      <c r="M384" s="1">
        <v>61</v>
      </c>
    </row>
    <row r="385" spans="1:18" x14ac:dyDescent="0.25">
      <c r="A385" s="1">
        <v>48</v>
      </c>
      <c r="B385" s="39">
        <f t="array" ref="B385:M396">MINVERSE(d_matrix)</f>
        <v>10000000</v>
      </c>
      <c r="C385" s="39">
        <v>0</v>
      </c>
      <c r="D385" s="39">
        <v>0</v>
      </c>
      <c r="E385" s="39">
        <v>0</v>
      </c>
      <c r="F385" s="39">
        <v>0</v>
      </c>
      <c r="G385" s="39">
        <v>0</v>
      </c>
      <c r="H385" s="39">
        <v>0</v>
      </c>
      <c r="I385" s="39">
        <v>0</v>
      </c>
      <c r="J385" s="39">
        <v>0</v>
      </c>
      <c r="K385" s="39">
        <v>0</v>
      </c>
      <c r="L385" s="86">
        <v>0</v>
      </c>
      <c r="M385" s="86">
        <v>0</v>
      </c>
    </row>
    <row r="386" spans="1:18" x14ac:dyDescent="0.25">
      <c r="A386" s="1">
        <v>49</v>
      </c>
      <c r="B386" s="39">
        <v>0</v>
      </c>
      <c r="C386" s="39">
        <v>10000000</v>
      </c>
      <c r="D386" s="39">
        <v>0</v>
      </c>
      <c r="E386" s="39">
        <v>0</v>
      </c>
      <c r="F386" s="39">
        <v>0</v>
      </c>
      <c r="G386" s="39">
        <v>0</v>
      </c>
      <c r="H386" s="39">
        <v>0</v>
      </c>
      <c r="I386" s="39">
        <v>0</v>
      </c>
      <c r="J386" s="39">
        <v>0</v>
      </c>
      <c r="K386" s="39">
        <v>0</v>
      </c>
      <c r="L386" s="86">
        <v>0</v>
      </c>
      <c r="M386" s="86">
        <v>0</v>
      </c>
    </row>
    <row r="387" spans="1:18" x14ac:dyDescent="0.25">
      <c r="A387" s="1">
        <v>50</v>
      </c>
      <c r="B387" s="39">
        <v>0</v>
      </c>
      <c r="C387" s="39">
        <v>0</v>
      </c>
      <c r="D387" s="39">
        <v>2.0897964642733622</v>
      </c>
      <c r="E387" s="39">
        <v>0</v>
      </c>
      <c r="F387" s="39">
        <v>0</v>
      </c>
      <c r="G387" s="39">
        <v>0</v>
      </c>
      <c r="H387" s="39">
        <v>0</v>
      </c>
      <c r="I387" s="39">
        <v>0</v>
      </c>
      <c r="J387" s="39">
        <v>0</v>
      </c>
      <c r="K387" s="39">
        <v>0</v>
      </c>
      <c r="L387" s="86">
        <v>0</v>
      </c>
      <c r="M387" s="86">
        <v>0</v>
      </c>
    </row>
    <row r="388" spans="1:18" x14ac:dyDescent="0.25">
      <c r="A388" s="1">
        <v>51</v>
      </c>
      <c r="B388" s="39">
        <v>0</v>
      </c>
      <c r="C388" s="39">
        <v>0</v>
      </c>
      <c r="D388" s="39">
        <v>0</v>
      </c>
      <c r="E388" s="39">
        <v>10000000</v>
      </c>
      <c r="F388" s="39">
        <v>0</v>
      </c>
      <c r="G388" s="39">
        <v>0</v>
      </c>
      <c r="H388" s="39">
        <v>0</v>
      </c>
      <c r="I388" s="39">
        <v>0</v>
      </c>
      <c r="J388" s="39">
        <v>0</v>
      </c>
      <c r="K388" s="39">
        <v>0</v>
      </c>
      <c r="L388" s="86">
        <v>0</v>
      </c>
      <c r="M388" s="86">
        <v>0</v>
      </c>
    </row>
    <row r="389" spans="1:18" x14ac:dyDescent="0.25">
      <c r="A389" s="1">
        <v>54</v>
      </c>
      <c r="B389" s="39">
        <v>0</v>
      </c>
      <c r="C389" s="39">
        <v>0</v>
      </c>
      <c r="D389" s="39">
        <v>0</v>
      </c>
      <c r="E389" s="39">
        <v>0</v>
      </c>
      <c r="F389" s="39">
        <v>10000000</v>
      </c>
      <c r="G389" s="39">
        <v>0</v>
      </c>
      <c r="H389" s="39">
        <v>0</v>
      </c>
      <c r="I389" s="39">
        <v>0</v>
      </c>
      <c r="J389" s="39">
        <v>0</v>
      </c>
      <c r="K389" s="39">
        <v>0</v>
      </c>
      <c r="L389" s="86">
        <v>0</v>
      </c>
      <c r="M389" s="86">
        <v>0</v>
      </c>
    </row>
    <row r="390" spans="1:18" x14ac:dyDescent="0.25">
      <c r="A390" s="1">
        <v>55</v>
      </c>
      <c r="B390" s="39">
        <v>0</v>
      </c>
      <c r="C390" s="39">
        <v>0</v>
      </c>
      <c r="D390" s="39">
        <v>0</v>
      </c>
      <c r="E390" s="39">
        <v>0</v>
      </c>
      <c r="F390" s="39">
        <v>0</v>
      </c>
      <c r="G390" s="39">
        <v>2</v>
      </c>
      <c r="H390" s="39">
        <v>0</v>
      </c>
      <c r="I390" s="39">
        <v>0</v>
      </c>
      <c r="J390" s="39">
        <v>0</v>
      </c>
      <c r="K390" s="39">
        <v>0</v>
      </c>
      <c r="L390" s="86">
        <v>0</v>
      </c>
      <c r="M390" s="86">
        <v>0</v>
      </c>
    </row>
    <row r="391" spans="1:18" x14ac:dyDescent="0.25">
      <c r="A391" s="1">
        <v>56</v>
      </c>
      <c r="B391" s="39">
        <v>0</v>
      </c>
      <c r="C391" s="39">
        <v>0</v>
      </c>
      <c r="D391" s="39">
        <v>0</v>
      </c>
      <c r="E391" s="39">
        <v>0</v>
      </c>
      <c r="F391" s="39">
        <v>0</v>
      </c>
      <c r="G391" s="39">
        <v>0</v>
      </c>
      <c r="H391" s="39">
        <v>2.2857142857142856</v>
      </c>
      <c r="I391" s="39">
        <v>0</v>
      </c>
      <c r="J391" s="39">
        <v>0</v>
      </c>
      <c r="K391" s="39">
        <v>0</v>
      </c>
      <c r="L391" s="86">
        <v>0</v>
      </c>
      <c r="M391" s="86">
        <v>0</v>
      </c>
    </row>
    <row r="392" spans="1:18" x14ac:dyDescent="0.25">
      <c r="A392" s="1">
        <v>57</v>
      </c>
      <c r="B392" s="39">
        <v>0</v>
      </c>
      <c r="C392" s="39">
        <v>0</v>
      </c>
      <c r="D392" s="39">
        <v>0</v>
      </c>
      <c r="E392" s="39">
        <v>0</v>
      </c>
      <c r="F392" s="39">
        <v>0</v>
      </c>
      <c r="G392" s="39">
        <v>0</v>
      </c>
      <c r="H392" s="39">
        <v>0</v>
      </c>
      <c r="I392" s="39">
        <v>2.3193649578745341</v>
      </c>
      <c r="J392" s="39">
        <v>0</v>
      </c>
      <c r="K392" s="39">
        <v>0</v>
      </c>
      <c r="L392" s="86">
        <v>0</v>
      </c>
      <c r="M392" s="86">
        <v>0</v>
      </c>
    </row>
    <row r="393" spans="1:18" x14ac:dyDescent="0.25">
      <c r="A393" s="1">
        <v>58</v>
      </c>
      <c r="B393" s="39">
        <v>0</v>
      </c>
      <c r="C393" s="39">
        <v>0</v>
      </c>
      <c r="D393" s="39">
        <v>0</v>
      </c>
      <c r="E393" s="39">
        <v>0</v>
      </c>
      <c r="F393" s="39">
        <v>0</v>
      </c>
      <c r="G393" s="39">
        <v>0</v>
      </c>
      <c r="H393" s="39">
        <v>0</v>
      </c>
      <c r="I393" s="39">
        <v>0</v>
      </c>
      <c r="J393" s="39">
        <v>2.3540226421667838</v>
      </c>
      <c r="K393" s="39">
        <v>0</v>
      </c>
      <c r="L393" s="86">
        <v>0</v>
      </c>
      <c r="M393" s="86">
        <v>0</v>
      </c>
    </row>
    <row r="394" spans="1:18" x14ac:dyDescent="0.25">
      <c r="A394" s="1">
        <v>59</v>
      </c>
      <c r="B394" s="39">
        <v>0</v>
      </c>
      <c r="C394" s="39">
        <v>0</v>
      </c>
      <c r="D394" s="39">
        <v>0</v>
      </c>
      <c r="E394" s="39">
        <v>0</v>
      </c>
      <c r="F394" s="39">
        <v>0</v>
      </c>
      <c r="G394" s="39">
        <v>0</v>
      </c>
      <c r="H394" s="39">
        <v>0</v>
      </c>
      <c r="I394" s="39">
        <v>0</v>
      </c>
      <c r="J394" s="39">
        <v>0</v>
      </c>
      <c r="K394" s="39">
        <v>2.0813008130081303</v>
      </c>
      <c r="L394" s="86">
        <v>0</v>
      </c>
      <c r="M394" s="86">
        <v>0</v>
      </c>
    </row>
    <row r="395" spans="1:18" x14ac:dyDescent="0.25">
      <c r="A395" s="1">
        <v>60</v>
      </c>
      <c r="B395" s="86">
        <v>0</v>
      </c>
      <c r="C395" s="86">
        <v>0</v>
      </c>
      <c r="D395" s="86">
        <v>0</v>
      </c>
      <c r="E395" s="86">
        <v>0</v>
      </c>
      <c r="F395" s="86">
        <v>0</v>
      </c>
      <c r="G395" s="86">
        <v>0</v>
      </c>
      <c r="H395" s="86">
        <v>0</v>
      </c>
      <c r="I395" s="86">
        <v>0</v>
      </c>
      <c r="J395" s="86">
        <v>0</v>
      </c>
      <c r="K395" s="86">
        <v>0</v>
      </c>
      <c r="L395" s="86">
        <v>2.1200825348130801</v>
      </c>
      <c r="M395" s="86">
        <v>0</v>
      </c>
    </row>
    <row r="396" spans="1:18" x14ac:dyDescent="0.25">
      <c r="A396" s="1">
        <v>61</v>
      </c>
      <c r="B396" s="86">
        <v>0</v>
      </c>
      <c r="C396" s="86">
        <v>0</v>
      </c>
      <c r="D396" s="86">
        <v>0</v>
      </c>
      <c r="E396" s="86">
        <v>0</v>
      </c>
      <c r="F396" s="86">
        <v>0</v>
      </c>
      <c r="G396" s="86">
        <v>0</v>
      </c>
      <c r="H396" s="86">
        <v>0</v>
      </c>
      <c r="I396" s="86">
        <v>0</v>
      </c>
      <c r="J396" s="86">
        <v>0</v>
      </c>
      <c r="K396" s="86">
        <v>0</v>
      </c>
      <c r="L396" s="86">
        <v>0</v>
      </c>
      <c r="M396" s="86">
        <v>2.2857142857142856</v>
      </c>
    </row>
    <row r="397" spans="1:18" x14ac:dyDescent="0.25">
      <c r="B397" s="1"/>
    </row>
    <row r="398" spans="1:18" x14ac:dyDescent="0.25">
      <c r="Q398" s="1"/>
      <c r="R398" s="1"/>
    </row>
    <row r="399" spans="1:18" x14ac:dyDescent="0.25">
      <c r="B399" s="5">
        <f>B339</f>
        <v>19</v>
      </c>
      <c r="C399" s="5">
        <f t="shared" ref="C399:Q399" si="113">C339</f>
        <v>31</v>
      </c>
      <c r="D399" s="5">
        <f t="shared" si="113"/>
        <v>33</v>
      </c>
      <c r="E399" s="5">
        <f t="shared" si="113"/>
        <v>39</v>
      </c>
      <c r="F399" s="5">
        <f t="shared" si="113"/>
        <v>40</v>
      </c>
      <c r="G399" s="5">
        <f t="shared" si="113"/>
        <v>41</v>
      </c>
      <c r="H399" s="5">
        <f t="shared" si="113"/>
        <v>43</v>
      </c>
      <c r="I399" s="5">
        <f t="shared" si="113"/>
        <v>45</v>
      </c>
      <c r="J399" s="5">
        <f t="shared" si="113"/>
        <v>46</v>
      </c>
      <c r="K399" s="5">
        <f t="shared" si="113"/>
        <v>47</v>
      </c>
      <c r="L399" s="5">
        <f t="shared" si="113"/>
        <v>48</v>
      </c>
      <c r="M399" s="5">
        <f t="shared" si="113"/>
        <v>49</v>
      </c>
      <c r="N399" s="5">
        <f t="shared" si="113"/>
        <v>51</v>
      </c>
      <c r="O399" s="5">
        <f t="shared" si="113"/>
        <v>52</v>
      </c>
      <c r="P399" s="5">
        <f>P339</f>
        <v>53</v>
      </c>
      <c r="Q399" s="5">
        <f t="shared" si="113"/>
        <v>54</v>
      </c>
    </row>
    <row r="400" spans="1:18" x14ac:dyDescent="0.25">
      <c r="A400" s="1">
        <f t="array" ref="A400:A415">TRANSPOSE(B399:Q399)</f>
        <v>19</v>
      </c>
      <c r="B400" s="39">
        <f t="array" ref="B400:Q415">MINVERSE(MMULT(MMULT(TRANSPOSE(Z_1_matrix),d_1_inv_matrix),Z_1_matrix) + Ap_11_inv_matrix)</f>
        <v>0.64790257420912933</v>
      </c>
      <c r="C400" s="39">
        <v>-5.8110046332734276E-2</v>
      </c>
      <c r="D400" s="39">
        <v>2.2265398338986088E-2</v>
      </c>
      <c r="E400" s="39">
        <v>-0.21596749668289156</v>
      </c>
      <c r="F400" s="39">
        <v>7.1105429176593793E-2</v>
      </c>
      <c r="G400" s="39">
        <v>4.3860019204595195E-2</v>
      </c>
      <c r="H400" s="39">
        <v>3.9940852609034481E-2</v>
      </c>
      <c r="I400" s="39">
        <v>0.115113458829691</v>
      </c>
      <c r="J400" s="39">
        <v>4.1974132378334576E-2</v>
      </c>
      <c r="K400" s="39">
        <v>0.11416009903851027</v>
      </c>
      <c r="L400" s="3">
        <v>4.2080227315617631E-8</v>
      </c>
      <c r="M400" s="3">
        <v>1.3041825735397577E-8</v>
      </c>
      <c r="N400" s="3">
        <v>1.9618115535007266E-8</v>
      </c>
      <c r="O400" s="3">
        <v>-1.4137504492850062E-3</v>
      </c>
      <c r="P400" s="3">
        <v>-2.106810323316511E-2</v>
      </c>
      <c r="Q400" s="3">
        <v>8.8094217820198762E-9</v>
      </c>
    </row>
    <row r="401" spans="1:17" x14ac:dyDescent="0.25">
      <c r="A401" s="1">
        <v>31</v>
      </c>
      <c r="B401" s="39">
        <v>-5.8110046332734276E-2</v>
      </c>
      <c r="C401" s="39">
        <v>0.42699090028366377</v>
      </c>
      <c r="D401" s="39">
        <v>-1.7144657939790326E-2</v>
      </c>
      <c r="E401" s="39">
        <v>1.9370013433064995E-2</v>
      </c>
      <c r="F401" s="39">
        <v>0.11345447589425163</v>
      </c>
      <c r="G401" s="39">
        <v>0.1288547912621576</v>
      </c>
      <c r="H401" s="39">
        <v>-6.8747507045412479E-2</v>
      </c>
      <c r="I401" s="39">
        <v>1.0184733586412247E-2</v>
      </c>
      <c r="J401" s="39">
        <v>-3.4817195661667076E-3</v>
      </c>
      <c r="K401" s="39">
        <v>-0.16128778942132171</v>
      </c>
      <c r="L401" s="3">
        <v>-3.0167696387850017E-9</v>
      </c>
      <c r="M401" s="3">
        <v>-7.5706150078559429E-9</v>
      </c>
      <c r="N401" s="3">
        <v>1.3025362222483092E-8</v>
      </c>
      <c r="O401" s="3">
        <v>0.13465993353058522</v>
      </c>
      <c r="P401" s="3">
        <v>0.1896407409937392</v>
      </c>
      <c r="Q401" s="3">
        <v>5.2100038510776662E-9</v>
      </c>
    </row>
    <row r="402" spans="1:17" x14ac:dyDescent="0.25">
      <c r="A402" s="1">
        <v>33</v>
      </c>
      <c r="B402" s="39">
        <v>2.2265398338986084E-2</v>
      </c>
      <c r="C402" s="39">
        <v>-1.7144657939790347E-2</v>
      </c>
      <c r="D402" s="39">
        <v>0.61023024045383301</v>
      </c>
      <c r="E402" s="39">
        <v>-7.4218187977598991E-3</v>
      </c>
      <c r="F402" s="39">
        <v>-6.8428521825211301E-3</v>
      </c>
      <c r="G402" s="39">
        <v>-5.2424288884092403E-2</v>
      </c>
      <c r="H402" s="39">
        <v>0.25311192257391946</v>
      </c>
      <c r="I402" s="39">
        <v>7.8971083782235461E-3</v>
      </c>
      <c r="J402" s="39">
        <v>3.8971475165346667E-3</v>
      </c>
      <c r="K402" s="39">
        <v>9.1203057476614793E-2</v>
      </c>
      <c r="L402" s="3">
        <v>-2.9027146811782317E-8</v>
      </c>
      <c r="M402" s="3">
        <v>5.4496558569891252E-10</v>
      </c>
      <c r="N402" s="3">
        <v>1.110656124031312E-10</v>
      </c>
      <c r="O402" s="3">
        <v>-1.7463667143890148E-2</v>
      </c>
      <c r="P402" s="3">
        <v>2.7586113076391605E-3</v>
      </c>
      <c r="Q402" s="3">
        <v>8.5368155727938855E-9</v>
      </c>
    </row>
    <row r="403" spans="1:17" x14ac:dyDescent="0.25">
      <c r="A403" s="1">
        <v>39</v>
      </c>
      <c r="B403" s="39">
        <v>-0.21596749668289145</v>
      </c>
      <c r="C403" s="39">
        <v>1.9370013433065002E-2</v>
      </c>
      <c r="D403" s="39">
        <v>-7.4218187977599026E-3</v>
      </c>
      <c r="E403" s="39">
        <v>0.73865586732090704</v>
      </c>
      <c r="F403" s="39">
        <v>-2.3701806337195517E-2</v>
      </c>
      <c r="G403" s="39">
        <v>-1.4620002704721918E-2</v>
      </c>
      <c r="H403" s="39">
        <v>-1.3313624198258687E-2</v>
      </c>
      <c r="I403" s="39">
        <v>-3.837114809031443E-2</v>
      </c>
      <c r="J403" s="39">
        <v>-1.3991375723833096E-2</v>
      </c>
      <c r="K403" s="39">
        <v>-3.8053364312490186E-2</v>
      </c>
      <c r="L403" s="3">
        <v>5.2639914843710811E-8</v>
      </c>
      <c r="M403" s="3">
        <v>-4.3472746836614482E-9</v>
      </c>
      <c r="N403" s="3">
        <v>-6.5393709767885194E-9</v>
      </c>
      <c r="O403" s="3">
        <v>4.7125066905045907E-4</v>
      </c>
      <c r="P403" s="3">
        <v>7.0227000494080391E-3</v>
      </c>
      <c r="Q403" s="3">
        <v>-2.9364738203706397E-9</v>
      </c>
    </row>
    <row r="404" spans="1:17" x14ac:dyDescent="0.25">
      <c r="A404" s="1">
        <v>40</v>
      </c>
      <c r="B404" s="39">
        <v>7.1105429176593835E-2</v>
      </c>
      <c r="C404" s="39">
        <v>0.11345447589425171</v>
      </c>
      <c r="D404" s="39">
        <v>-6.8428521825211154E-3</v>
      </c>
      <c r="E404" s="39">
        <v>-2.370180633719552E-2</v>
      </c>
      <c r="F404" s="39">
        <v>0.48642072035018669</v>
      </c>
      <c r="G404" s="39">
        <v>7.6263556779777517E-2</v>
      </c>
      <c r="H404" s="39">
        <v>-5.0105286375868779E-2</v>
      </c>
      <c r="I404" s="39">
        <v>-0.13578910417594139</v>
      </c>
      <c r="J404" s="39">
        <v>-0.15286566614628144</v>
      </c>
      <c r="K404" s="39">
        <v>-3.9195358381153997E-2</v>
      </c>
      <c r="L404" s="3">
        <v>5.0825036224399803E-9</v>
      </c>
      <c r="M404" s="3">
        <v>3.0174632166234893E-8</v>
      </c>
      <c r="N404" s="3">
        <v>3.6938956999448416E-8</v>
      </c>
      <c r="O404" s="3">
        <v>4.6308159885937242E-2</v>
      </c>
      <c r="P404" s="3">
        <v>2.9075410137464897E-2</v>
      </c>
      <c r="Q404" s="3">
        <v>1.7621345132378548E-9</v>
      </c>
    </row>
    <row r="405" spans="1:17" x14ac:dyDescent="0.25">
      <c r="A405" s="1">
        <v>41</v>
      </c>
      <c r="B405" s="39">
        <v>4.386001920459523E-2</v>
      </c>
      <c r="C405" s="39">
        <v>0.12885479126215768</v>
      </c>
      <c r="D405" s="39">
        <v>-5.2424288884092375E-2</v>
      </c>
      <c r="E405" s="39">
        <v>-1.4620002704721941E-2</v>
      </c>
      <c r="F405" s="39">
        <v>7.6263556779777544E-2</v>
      </c>
      <c r="G405" s="39">
        <v>0.55555152808398134</v>
      </c>
      <c r="H405" s="39">
        <v>-0.15592037945195777</v>
      </c>
      <c r="I405" s="39">
        <v>1.5658204677847956E-3</v>
      </c>
      <c r="J405" s="39">
        <v>-2.0879389712185635E-2</v>
      </c>
      <c r="K405" s="39">
        <v>-1.565476353417054E-2</v>
      </c>
      <c r="L405" s="3">
        <v>5.5452147078882673E-9</v>
      </c>
      <c r="M405" s="3">
        <v>-1.0553270157841437E-8</v>
      </c>
      <c r="N405" s="3">
        <v>8.1993072856770334E-9</v>
      </c>
      <c r="O405" s="3">
        <v>0.2267799374327916</v>
      </c>
      <c r="P405" s="3">
        <v>5.3421050756485483E-2</v>
      </c>
      <c r="Q405" s="3">
        <v>4.9805233198321171E-9</v>
      </c>
    </row>
    <row r="406" spans="1:17" x14ac:dyDescent="0.25">
      <c r="A406" s="1">
        <v>43</v>
      </c>
      <c r="B406" s="39">
        <v>3.9940852609034488E-2</v>
      </c>
      <c r="C406" s="39">
        <v>-6.8747507045412534E-2</v>
      </c>
      <c r="D406" s="39">
        <v>0.25311192257391957</v>
      </c>
      <c r="E406" s="39">
        <v>-1.3313624198258682E-2</v>
      </c>
      <c r="F406" s="39">
        <v>-5.0105286375868793E-2</v>
      </c>
      <c r="G406" s="39">
        <v>-0.15592037945195786</v>
      </c>
      <c r="H406" s="39">
        <v>0.6609251994870341</v>
      </c>
      <c r="I406" s="39">
        <v>1.1068657605207777E-2</v>
      </c>
      <c r="J406" s="39">
        <v>0.13201266728708919</v>
      </c>
      <c r="K406" s="39">
        <v>9.3361227321774945E-2</v>
      </c>
      <c r="L406" s="3">
        <v>-9.9928707894006936E-9</v>
      </c>
      <c r="M406" s="3">
        <v>1.4204809273396029E-8</v>
      </c>
      <c r="N406" s="3">
        <v>-4.1125005189621889E-9</v>
      </c>
      <c r="O406" s="3">
        <v>-6.9454882412787508E-2</v>
      </c>
      <c r="P406" s="3">
        <v>-2.8688728403028409E-2</v>
      </c>
      <c r="Q406" s="3">
        <v>6.1178756015756383E-9</v>
      </c>
    </row>
    <row r="407" spans="1:17" x14ac:dyDescent="0.25">
      <c r="A407" s="1">
        <v>45</v>
      </c>
      <c r="B407" s="39">
        <v>0.11511345882969101</v>
      </c>
      <c r="C407" s="39">
        <v>1.0184733586412264E-2</v>
      </c>
      <c r="D407" s="39">
        <v>7.8971083782235305E-3</v>
      </c>
      <c r="E407" s="39">
        <v>-3.8371148090314451E-2</v>
      </c>
      <c r="F407" s="39">
        <v>-0.13578910417594134</v>
      </c>
      <c r="G407" s="39">
        <v>1.5658204677847993E-3</v>
      </c>
      <c r="H407" s="39">
        <v>1.1068657605207761E-2</v>
      </c>
      <c r="I407" s="39">
        <v>0.65755270406451871</v>
      </c>
      <c r="J407" s="39">
        <v>0.13964671988784555</v>
      </c>
      <c r="K407" s="39">
        <v>1.3453318825916095E-2</v>
      </c>
      <c r="L407" s="3">
        <v>7.2793738351830217E-9</v>
      </c>
      <c r="M407" s="3">
        <v>-3.8440339714454693E-9</v>
      </c>
      <c r="N407" s="3">
        <v>5.4967673386479248E-8</v>
      </c>
      <c r="O407" s="3">
        <v>1.1776092103475558E-2</v>
      </c>
      <c r="P407" s="3">
        <v>6.0509589142179424E-2</v>
      </c>
      <c r="Q407" s="3">
        <v>1.910119172130813E-9</v>
      </c>
    </row>
    <row r="408" spans="1:17" x14ac:dyDescent="0.25">
      <c r="A408" s="1">
        <v>46</v>
      </c>
      <c r="B408" s="39">
        <v>4.1974132378334597E-2</v>
      </c>
      <c r="C408" s="39">
        <v>-3.4817195661666837E-3</v>
      </c>
      <c r="D408" s="39">
        <v>3.8971475165346207E-3</v>
      </c>
      <c r="E408" s="39">
        <v>-1.3991375723833105E-2</v>
      </c>
      <c r="F408" s="39">
        <v>-0.15286566614628136</v>
      </c>
      <c r="G408" s="39">
        <v>-2.0879389712185621E-2</v>
      </c>
      <c r="H408" s="39">
        <v>0.13201266728708919</v>
      </c>
      <c r="I408" s="39">
        <v>0.13964671988784558</v>
      </c>
      <c r="J408" s="39">
        <v>0.65369213748567456</v>
      </c>
      <c r="K408" s="39">
        <v>4.2732983078538671E-2</v>
      </c>
      <c r="L408" s="3">
        <v>2.6034176387690079E-9</v>
      </c>
      <c r="M408" s="3">
        <v>4.8701403866590759E-8</v>
      </c>
      <c r="N408" s="3">
        <v>-1.3926156783141969E-9</v>
      </c>
      <c r="O408" s="3">
        <v>1.222592915953705E-3</v>
      </c>
      <c r="P408" s="3">
        <v>5.3274042919711134E-2</v>
      </c>
      <c r="Q408" s="3">
        <v>4.232904880263842E-9</v>
      </c>
    </row>
    <row r="409" spans="1:17" x14ac:dyDescent="0.25">
      <c r="A409" s="1">
        <v>47</v>
      </c>
      <c r="B409" s="39">
        <v>0.11416009903851022</v>
      </c>
      <c r="C409" s="39">
        <v>-0.16128778942132169</v>
      </c>
      <c r="D409" s="39">
        <v>9.1203057476614793E-2</v>
      </c>
      <c r="E409" s="39">
        <v>-3.8053364312490172E-2</v>
      </c>
      <c r="F409" s="39">
        <v>-3.9195358381153983E-2</v>
      </c>
      <c r="G409" s="39">
        <v>-1.5654763534170512E-2</v>
      </c>
      <c r="H409" s="39">
        <v>9.3361227321774917E-2</v>
      </c>
      <c r="I409" s="39">
        <v>1.3453318825916096E-2</v>
      </c>
      <c r="J409" s="39">
        <v>4.2732983078538671E-2</v>
      </c>
      <c r="K409" s="39">
        <v>0.68980384349872781</v>
      </c>
      <c r="L409" s="3">
        <v>3.0505198361413059E-9</v>
      </c>
      <c r="M409" s="3">
        <v>6.544851724666319E-9</v>
      </c>
      <c r="N409" s="3">
        <v>-2.7119182180530751E-9</v>
      </c>
      <c r="O409" s="3">
        <v>-4.0376592268624507E-2</v>
      </c>
      <c r="P409" s="3">
        <v>-6.5199035309532499E-2</v>
      </c>
      <c r="Q409" s="3">
        <v>6.294868981479899E-8</v>
      </c>
    </row>
    <row r="410" spans="1:17" x14ac:dyDescent="0.25">
      <c r="A410" s="1">
        <v>48</v>
      </c>
      <c r="B410" s="39">
        <v>4.2080227315617638E-8</v>
      </c>
      <c r="C410" s="39">
        <v>-3.0167696387850021E-9</v>
      </c>
      <c r="D410" s="39">
        <v>-2.9027146811782327E-8</v>
      </c>
      <c r="E410" s="39">
        <v>5.2639914843710824E-8</v>
      </c>
      <c r="F410" s="39">
        <v>5.082503622439982E-9</v>
      </c>
      <c r="G410" s="39">
        <v>5.5452147078882681E-9</v>
      </c>
      <c r="H410" s="39">
        <v>-9.9928707894006953E-9</v>
      </c>
      <c r="I410" s="39">
        <v>7.2793738351830183E-9</v>
      </c>
      <c r="J410" s="39">
        <v>2.6034176387690054E-9</v>
      </c>
      <c r="K410" s="39">
        <v>3.0505198361413063E-9</v>
      </c>
      <c r="L410" s="3">
        <v>9.9999985923375041E-8</v>
      </c>
      <c r="M410" s="3">
        <v>8.4220661533701306E-16</v>
      </c>
      <c r="N410" s="3">
        <v>1.302320849621505E-15</v>
      </c>
      <c r="O410" s="3">
        <v>7.7893318443775649E-10</v>
      </c>
      <c r="P410" s="3">
        <v>-1.5424704981400409E-9</v>
      </c>
      <c r="Q410" s="3">
        <v>1.6045397741173509E-16</v>
      </c>
    </row>
    <row r="411" spans="1:17" x14ac:dyDescent="0.25">
      <c r="A411" s="1">
        <v>49</v>
      </c>
      <c r="B411" s="39">
        <v>1.3041825735397577E-8</v>
      </c>
      <c r="C411" s="39">
        <v>-7.5706150078559478E-9</v>
      </c>
      <c r="D411" s="39">
        <v>5.4496558569891035E-10</v>
      </c>
      <c r="E411" s="39">
        <v>-4.3472746836614473E-9</v>
      </c>
      <c r="F411" s="39">
        <v>3.0174632166234887E-8</v>
      </c>
      <c r="G411" s="39">
        <v>-1.055327015784144E-8</v>
      </c>
      <c r="H411" s="39">
        <v>1.4204809273396031E-8</v>
      </c>
      <c r="I411" s="39">
        <v>-3.8440339714454652E-9</v>
      </c>
      <c r="J411" s="39">
        <v>4.8701403866590786E-8</v>
      </c>
      <c r="K411" s="39">
        <v>6.5448517246663198E-9</v>
      </c>
      <c r="L411" s="3">
        <v>8.4220661533701336E-16</v>
      </c>
      <c r="M411" s="3">
        <v>9.9999973694680456E-8</v>
      </c>
      <c r="N411" s="3">
        <v>-2.9403603215687898E-15</v>
      </c>
      <c r="O411" s="3">
        <v>-3.2963192430041185E-8</v>
      </c>
      <c r="P411" s="3">
        <v>-2.9478423874083133E-8</v>
      </c>
      <c r="Q411" s="3">
        <v>2.8803286268292511E-16</v>
      </c>
    </row>
    <row r="412" spans="1:17" x14ac:dyDescent="0.25">
      <c r="A412" s="1">
        <v>51</v>
      </c>
      <c r="B412" s="39">
        <v>1.9618115535007266E-8</v>
      </c>
      <c r="C412" s="39">
        <v>1.3025362222483094E-8</v>
      </c>
      <c r="D412" s="39">
        <v>1.1106561240313106E-10</v>
      </c>
      <c r="E412" s="39">
        <v>-6.5393709767885244E-9</v>
      </c>
      <c r="F412" s="39">
        <v>3.693895699944843E-8</v>
      </c>
      <c r="G412" s="39">
        <v>8.1993072856770334E-9</v>
      </c>
      <c r="H412" s="39">
        <v>-4.1125005189621905E-9</v>
      </c>
      <c r="I412" s="39">
        <v>5.4967673386479268E-8</v>
      </c>
      <c r="J412" s="39">
        <v>-1.3926156783142087E-9</v>
      </c>
      <c r="K412" s="39">
        <v>-2.7119182180530764E-9</v>
      </c>
      <c r="L412" s="3">
        <v>1.302320849621506E-15</v>
      </c>
      <c r="M412" s="3">
        <v>-2.9403603215687886E-15</v>
      </c>
      <c r="N412" s="3">
        <v>9.9999982898104795E-8</v>
      </c>
      <c r="O412" s="3">
        <v>6.1191642402315474E-9</v>
      </c>
      <c r="P412" s="3">
        <v>9.4377603976316458E-9</v>
      </c>
      <c r="Q412" s="3">
        <v>3.8687105006632611E-16</v>
      </c>
    </row>
    <row r="413" spans="1:17" x14ac:dyDescent="0.25">
      <c r="A413" s="1">
        <v>52</v>
      </c>
      <c r="B413" s="39">
        <v>-1.4137504492849871E-3</v>
      </c>
      <c r="C413" s="39">
        <v>0.13465993353058522</v>
      </c>
      <c r="D413" s="39">
        <v>-1.7463667143890148E-2</v>
      </c>
      <c r="E413" s="39">
        <v>4.7125066905045131E-4</v>
      </c>
      <c r="F413" s="39">
        <v>4.6308159885937242E-2</v>
      </c>
      <c r="G413" s="39">
        <v>0.22677993743279165</v>
      </c>
      <c r="H413" s="39">
        <v>-6.9454882412787508E-2</v>
      </c>
      <c r="I413" s="39">
        <v>1.1776092103475555E-2</v>
      </c>
      <c r="J413" s="39">
        <v>1.2225929159536976E-3</v>
      </c>
      <c r="K413" s="39">
        <v>-4.0376592268624514E-2</v>
      </c>
      <c r="L413" s="3">
        <v>7.7893318443775762E-10</v>
      </c>
      <c r="M413" s="3">
        <v>-3.2963192430041179E-8</v>
      </c>
      <c r="N413" s="3">
        <v>6.1191642402315474E-9</v>
      </c>
      <c r="O413" s="3">
        <v>0.5825822454909344</v>
      </c>
      <c r="P413" s="3">
        <v>6.982002128111095E-2</v>
      </c>
      <c r="Q413" s="3">
        <v>2.725777503727594E-9</v>
      </c>
    </row>
    <row r="414" spans="1:17" x14ac:dyDescent="0.25">
      <c r="A414" s="1">
        <v>53</v>
      </c>
      <c r="B414" s="39">
        <v>-2.1068103233165117E-2</v>
      </c>
      <c r="C414" s="39">
        <v>0.18964074099373932</v>
      </c>
      <c r="D414" s="39">
        <v>2.75861130763916E-3</v>
      </c>
      <c r="E414" s="39">
        <v>7.0227000494080373E-3</v>
      </c>
      <c r="F414" s="39">
        <v>2.9075410137464879E-2</v>
      </c>
      <c r="G414" s="39">
        <v>5.3421050756485483E-2</v>
      </c>
      <c r="H414" s="39">
        <v>-2.8688728403028413E-2</v>
      </c>
      <c r="I414" s="39">
        <v>6.0509589142179424E-2</v>
      </c>
      <c r="J414" s="39">
        <v>5.3274042919711127E-2</v>
      </c>
      <c r="K414" s="39">
        <v>-6.5199035309532527E-2</v>
      </c>
      <c r="L414" s="3">
        <v>-1.5424704981400405E-9</v>
      </c>
      <c r="M414" s="3">
        <v>-2.9478423874083146E-8</v>
      </c>
      <c r="N414" s="3">
        <v>9.4377603976316508E-9</v>
      </c>
      <c r="O414" s="3">
        <v>6.9820021281110978E-2</v>
      </c>
      <c r="P414" s="3">
        <v>0.5771394928678717</v>
      </c>
      <c r="Q414" s="3">
        <v>2.9781089454292475E-9</v>
      </c>
    </row>
    <row r="415" spans="1:17" x14ac:dyDescent="0.25">
      <c r="A415" s="1">
        <v>54</v>
      </c>
      <c r="B415" s="39">
        <v>8.8094217820198762E-9</v>
      </c>
      <c r="C415" s="39">
        <v>5.2100038510776629E-9</v>
      </c>
      <c r="D415" s="39">
        <v>8.5368155727938838E-9</v>
      </c>
      <c r="E415" s="39">
        <v>-2.9364738203706401E-9</v>
      </c>
      <c r="F415" s="39">
        <v>1.7621345132378538E-9</v>
      </c>
      <c r="G415" s="39">
        <v>4.9805233198321195E-9</v>
      </c>
      <c r="H415" s="39">
        <v>6.1178756015756374E-9</v>
      </c>
      <c r="I415" s="39">
        <v>1.910119172130813E-9</v>
      </c>
      <c r="J415" s="39">
        <v>4.2329048802638437E-9</v>
      </c>
      <c r="K415" s="39">
        <v>6.2948689814799016E-8</v>
      </c>
      <c r="L415" s="3">
        <v>1.6045397741173509E-16</v>
      </c>
      <c r="M415" s="3">
        <v>2.880328626829252E-16</v>
      </c>
      <c r="N415" s="3">
        <v>3.8687105006632607E-16</v>
      </c>
      <c r="O415" s="3">
        <v>2.7257775037275944E-9</v>
      </c>
      <c r="P415" s="3">
        <v>2.9781089454292459E-9</v>
      </c>
      <c r="Q415" s="3">
        <v>9.9999980916238096E-8</v>
      </c>
    </row>
    <row r="417" spans="1:43" x14ac:dyDescent="0.25">
      <c r="B417" s="5"/>
      <c r="D417" s="5"/>
      <c r="E417" s="5"/>
      <c r="F417" s="5"/>
      <c r="G417" s="5"/>
      <c r="H417" s="5"/>
      <c r="I417" s="5"/>
      <c r="J417" s="5"/>
      <c r="K417" s="5"/>
      <c r="R417" t="s">
        <v>66</v>
      </c>
      <c r="AE417" s="1" t="s">
        <v>16</v>
      </c>
    </row>
    <row r="418" spans="1:43" x14ac:dyDescent="0.25">
      <c r="C418" s="1" t="s">
        <v>60</v>
      </c>
      <c r="D418" s="24">
        <f t="array" ref="D418:O418">TRANSPOSE(B420:B431)</f>
        <v>3</v>
      </c>
      <c r="E418" s="24">
        <v>3</v>
      </c>
      <c r="F418" s="24">
        <v>3</v>
      </c>
      <c r="G418" s="24">
        <v>3</v>
      </c>
      <c r="H418" s="24">
        <v>2</v>
      </c>
      <c r="I418" s="24">
        <v>2</v>
      </c>
      <c r="J418" s="24">
        <v>2</v>
      </c>
      <c r="K418" s="24">
        <v>2</v>
      </c>
      <c r="L418" s="24">
        <v>1</v>
      </c>
      <c r="M418" s="24">
        <v>1</v>
      </c>
      <c r="N418" s="24">
        <v>1</v>
      </c>
      <c r="O418" s="24">
        <v>1</v>
      </c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43" x14ac:dyDescent="0.25">
      <c r="A419" s="1" t="s">
        <v>4</v>
      </c>
      <c r="B419" s="1" t="s">
        <v>60</v>
      </c>
      <c r="C419" s="1" t="s">
        <v>10</v>
      </c>
      <c r="D419" s="1">
        <f t="array" ref="D419:O419">TRANSPOSE(C420:C431)</f>
        <v>48</v>
      </c>
      <c r="E419" s="1">
        <v>49</v>
      </c>
      <c r="F419" s="1">
        <v>50</v>
      </c>
      <c r="G419" s="1">
        <v>51</v>
      </c>
      <c r="H419" s="1">
        <v>54</v>
      </c>
      <c r="I419" s="1">
        <v>55</v>
      </c>
      <c r="J419" s="1">
        <v>56</v>
      </c>
      <c r="K419" s="1">
        <v>57</v>
      </c>
      <c r="L419" s="1">
        <v>58</v>
      </c>
      <c r="M419" s="1">
        <v>59</v>
      </c>
      <c r="N419" s="1">
        <v>60</v>
      </c>
      <c r="O419" s="1">
        <v>61</v>
      </c>
      <c r="Q419" s="1" t="str">
        <f t="shared" ref="Q419:S419" si="114">C419</f>
        <v>id</v>
      </c>
      <c r="R419" s="1">
        <f>D419</f>
        <v>48</v>
      </c>
      <c r="S419" s="1">
        <f t="shared" si="114"/>
        <v>49</v>
      </c>
      <c r="T419" s="1">
        <f>F419</f>
        <v>50</v>
      </c>
      <c r="U419" s="1">
        <f t="shared" ref="U419:AC419" si="115">G419</f>
        <v>51</v>
      </c>
      <c r="V419" s="1">
        <f t="shared" si="115"/>
        <v>54</v>
      </c>
      <c r="W419" s="1">
        <f t="shared" si="115"/>
        <v>55</v>
      </c>
      <c r="X419" s="1">
        <f t="shared" si="115"/>
        <v>56</v>
      </c>
      <c r="Y419" s="1">
        <f t="shared" si="115"/>
        <v>57</v>
      </c>
      <c r="Z419" s="1">
        <f t="shared" si="115"/>
        <v>58</v>
      </c>
      <c r="AA419" s="1">
        <f t="shared" si="115"/>
        <v>59</v>
      </c>
      <c r="AB419" s="1">
        <f t="shared" si="115"/>
        <v>60</v>
      </c>
      <c r="AC419" s="1">
        <f t="shared" si="115"/>
        <v>61</v>
      </c>
      <c r="AF419" s="1">
        <f>D419</f>
        <v>48</v>
      </c>
      <c r="AG419" s="1">
        <f t="shared" ref="AG419:AQ419" si="116">E419</f>
        <v>49</v>
      </c>
      <c r="AH419" s="1">
        <f t="shared" si="116"/>
        <v>50</v>
      </c>
      <c r="AI419" s="1">
        <f t="shared" si="116"/>
        <v>51</v>
      </c>
      <c r="AJ419" s="1">
        <f t="shared" si="116"/>
        <v>54</v>
      </c>
      <c r="AK419" s="1">
        <f t="shared" si="116"/>
        <v>55</v>
      </c>
      <c r="AL419" s="1">
        <f t="shared" si="116"/>
        <v>56</v>
      </c>
      <c r="AM419" s="1">
        <f t="shared" si="116"/>
        <v>57</v>
      </c>
      <c r="AN419" s="1">
        <f t="shared" si="116"/>
        <v>58</v>
      </c>
      <c r="AO419" s="1">
        <f t="shared" si="116"/>
        <v>59</v>
      </c>
      <c r="AP419" s="1">
        <f t="shared" si="116"/>
        <v>60</v>
      </c>
      <c r="AQ419" s="1">
        <f t="shared" si="116"/>
        <v>61</v>
      </c>
    </row>
    <row r="420" spans="1:43" x14ac:dyDescent="0.25">
      <c r="A420" s="1" t="str">
        <f t="shared" ref="A420:A431" si="117">E27</f>
        <v>female</v>
      </c>
      <c r="B420" s="24">
        <f t="shared" ref="B420:B431" si="118">D27</f>
        <v>3</v>
      </c>
      <c r="C420" s="1">
        <f t="shared" ref="C420:C431" si="119">B27</f>
        <v>48</v>
      </c>
      <c r="D420" s="9">
        <f t="array" ref="D420:M429">d_1_inv_matrix - MMULT(MMULT(MMULT(MMULT(d_1_inv_matrix,Z_1_matrix),V_inv_matrix),TRANSPOSE(Z_1_matrix)),d_1_inv_matrix)</f>
        <v>1.407662495970726</v>
      </c>
      <c r="E420" s="10">
        <v>-8.4220661533701308E-2</v>
      </c>
      <c r="F420" s="10">
        <v>4.6473479767242941E-2</v>
      </c>
      <c r="G420" s="10">
        <v>-0.1302320849621505</v>
      </c>
      <c r="H420" s="9">
        <v>-1.6045397741173511E-2</v>
      </c>
      <c r="I420" s="10">
        <v>-0.70972839111592712</v>
      </c>
      <c r="J420" s="10">
        <v>-2.4508885313811633E-8</v>
      </c>
      <c r="K420" s="11">
        <v>-9.033161429475323E-3</v>
      </c>
      <c r="L420" s="10">
        <v>1.815504247461246E-2</v>
      </c>
      <c r="M420" s="10">
        <v>3.1394023839542373E-2</v>
      </c>
      <c r="N420" s="59"/>
      <c r="O420" s="64"/>
      <c r="Q420" s="1">
        <f t="shared" ref="Q420:Q421" si="120">C420</f>
        <v>48</v>
      </c>
      <c r="R420" s="9">
        <f t="array" ref="R420:AA429">MINVERSE(A_11_matrix)</f>
        <v>1.4076624924321801</v>
      </c>
      <c r="S420" s="10">
        <v>-8.4220661533701321E-2</v>
      </c>
      <c r="T420" s="10">
        <v>4.647347976724292E-2</v>
      </c>
      <c r="U420" s="10">
        <v>-0.13023208496215047</v>
      </c>
      <c r="V420" s="9">
        <v>-1.6045397741173462E-2</v>
      </c>
      <c r="W420" s="10">
        <v>-0.70972839111592745</v>
      </c>
      <c r="X420" s="10">
        <v>-2.4508885295144194E-8</v>
      </c>
      <c r="Y420" s="11">
        <v>-9.0331614294753247E-3</v>
      </c>
      <c r="Z420" s="10">
        <v>1.8155042474612363E-2</v>
      </c>
      <c r="AA420" s="10">
        <v>3.1394023839542311E-2</v>
      </c>
      <c r="AB420" s="59"/>
      <c r="AC420" s="64"/>
      <c r="AE420" s="1">
        <f>Q420</f>
        <v>48</v>
      </c>
      <c r="AF420" s="9">
        <f>R420-D420</f>
        <v>-3.5385459007386544E-9</v>
      </c>
      <c r="AG420" s="10">
        <f t="shared" ref="AG420:AO429" si="121">S420-E420</f>
        <v>0</v>
      </c>
      <c r="AH420" s="10">
        <f t="shared" si="121"/>
        <v>0</v>
      </c>
      <c r="AI420" s="10">
        <f t="shared" si="121"/>
        <v>0</v>
      </c>
      <c r="AJ420" s="9">
        <f t="shared" si="121"/>
        <v>4.8572257327350599E-17</v>
      </c>
      <c r="AK420" s="10">
        <f t="shared" si="121"/>
        <v>0</v>
      </c>
      <c r="AL420" s="10">
        <f t="shared" si="121"/>
        <v>1.8667438178459855E-17</v>
      </c>
      <c r="AM420" s="11">
        <f t="shared" si="121"/>
        <v>0</v>
      </c>
      <c r="AN420" s="10">
        <f t="shared" si="121"/>
        <v>-9.7144514654701197E-17</v>
      </c>
      <c r="AO420" s="10">
        <f t="shared" si="121"/>
        <v>-6.2450045135165055E-17</v>
      </c>
      <c r="AP420" s="59"/>
      <c r="AQ420" s="64"/>
    </row>
    <row r="421" spans="1:43" x14ac:dyDescent="0.25">
      <c r="A421" s="1" t="str">
        <f t="shared" si="117"/>
        <v>male</v>
      </c>
      <c r="B421" s="24">
        <f t="shared" si="118"/>
        <v>3</v>
      </c>
      <c r="C421" s="1">
        <f t="shared" si="119"/>
        <v>49</v>
      </c>
      <c r="D421" s="12">
        <v>-8.4220661533701335E-2</v>
      </c>
      <c r="E421" s="13">
        <v>2.6305319536477327</v>
      </c>
      <c r="F421" s="13">
        <v>-3.8154867664209328E-2</v>
      </c>
      <c r="G421" s="13">
        <v>0.29403603215687901</v>
      </c>
      <c r="H421" s="12">
        <v>-2.8803286268292507E-2</v>
      </c>
      <c r="I421" s="13">
        <v>-5.4496642790552562E-3</v>
      </c>
      <c r="J421" s="13">
        <v>-1.1428568086208015</v>
      </c>
      <c r="K421" s="14">
        <v>-0.77741380676952221</v>
      </c>
      <c r="L421" s="13">
        <v>-0.83004662519189498</v>
      </c>
      <c r="M421" s="13">
        <v>7.8783632856695526E-2</v>
      </c>
      <c r="N421" s="61"/>
      <c r="O421" s="65"/>
      <c r="Q421" s="1">
        <f t="shared" si="120"/>
        <v>49</v>
      </c>
      <c r="R421" s="12">
        <v>-8.4220661533701377E-2</v>
      </c>
      <c r="S421" s="13">
        <v>2.6305319525693691</v>
      </c>
      <c r="T421" s="13">
        <v>-3.8154867664209245E-2</v>
      </c>
      <c r="U421" s="13">
        <v>0.29403603215687912</v>
      </c>
      <c r="V421" s="12">
        <v>-2.8803286268292351E-2</v>
      </c>
      <c r="W421" s="13">
        <v>-5.4496642790553169E-3</v>
      </c>
      <c r="X421" s="13">
        <v>-1.1428568086208017</v>
      </c>
      <c r="Y421" s="14">
        <v>-0.77741380676952221</v>
      </c>
      <c r="Z421" s="13">
        <v>-0.83004662519189454</v>
      </c>
      <c r="AA421" s="13">
        <v>7.8783632856695332E-2</v>
      </c>
      <c r="AB421" s="61"/>
      <c r="AC421" s="65"/>
      <c r="AE421" s="1">
        <f t="shared" ref="AE421:AE431" si="122">Q421</f>
        <v>49</v>
      </c>
      <c r="AF421" s="12">
        <f t="shared" ref="AF421:AF429" si="123">R421-D421</f>
        <v>0</v>
      </c>
      <c r="AG421" s="13">
        <f t="shared" si="121"/>
        <v>-1.0783636206213032E-9</v>
      </c>
      <c r="AH421" s="13">
        <f t="shared" si="121"/>
        <v>8.3266726846886741E-17</v>
      </c>
      <c r="AI421" s="13">
        <f t="shared" si="121"/>
        <v>0</v>
      </c>
      <c r="AJ421" s="12">
        <f t="shared" si="121"/>
        <v>1.5612511283791264E-16</v>
      </c>
      <c r="AK421" s="13">
        <f t="shared" si="121"/>
        <v>-6.0715321659188248E-17</v>
      </c>
      <c r="AL421" s="13">
        <f t="shared" si="121"/>
        <v>0</v>
      </c>
      <c r="AM421" s="14">
        <f t="shared" si="121"/>
        <v>0</v>
      </c>
      <c r="AN421" s="13">
        <f t="shared" si="121"/>
        <v>0</v>
      </c>
      <c r="AO421" s="13">
        <f t="shared" si="121"/>
        <v>-1.9428902930940239E-16</v>
      </c>
      <c r="AP421" s="61"/>
      <c r="AQ421" s="65"/>
    </row>
    <row r="422" spans="1:43" x14ac:dyDescent="0.25">
      <c r="A422" s="1" t="str">
        <f t="shared" si="117"/>
        <v>female</v>
      </c>
      <c r="B422" s="24">
        <f t="shared" si="118"/>
        <v>3</v>
      </c>
      <c r="C422" s="1">
        <f t="shared" si="119"/>
        <v>50</v>
      </c>
      <c r="D422" s="12">
        <v>4.6473479767242927E-2</v>
      </c>
      <c r="E422" s="13">
        <v>-3.8154867664209335E-2</v>
      </c>
      <c r="F422" s="13">
        <v>1.1021037726181215</v>
      </c>
      <c r="G422" s="13">
        <v>-4.2702971656245675E-2</v>
      </c>
      <c r="H422" s="12">
        <v>-0.11596697412526612</v>
      </c>
      <c r="I422" s="13">
        <v>-0.20969814900684627</v>
      </c>
      <c r="J422" s="13">
        <v>-9.2408959223377144E-9</v>
      </c>
      <c r="K422" s="14">
        <v>-0.19063866691796422</v>
      </c>
      <c r="L422" s="13">
        <v>-3.0417225465638725E-2</v>
      </c>
      <c r="M422" s="13">
        <v>-6.5359096313039572E-2</v>
      </c>
      <c r="N422" s="61"/>
      <c r="O422" s="65"/>
      <c r="Q422" s="1">
        <f>C422</f>
        <v>50</v>
      </c>
      <c r="R422" s="12">
        <v>4.647347976724292E-2</v>
      </c>
      <c r="S422" s="13">
        <v>-3.815486766420928E-2</v>
      </c>
      <c r="T422" s="13">
        <v>1.1021037726181211</v>
      </c>
      <c r="U422" s="13">
        <v>-4.2702971656245613E-2</v>
      </c>
      <c r="V422" s="12">
        <v>-0.11596697412526616</v>
      </c>
      <c r="W422" s="13">
        <v>-0.20969814900684633</v>
      </c>
      <c r="X422" s="13">
        <v>-9.2408960617699056E-9</v>
      </c>
      <c r="Y422" s="14">
        <v>-0.19063866691796427</v>
      </c>
      <c r="Z422" s="13">
        <v>-3.0417225465638808E-2</v>
      </c>
      <c r="AA422" s="13">
        <v>-6.5359096313039489E-2</v>
      </c>
      <c r="AB422" s="61"/>
      <c r="AC422" s="65"/>
      <c r="AE422" s="1">
        <f t="shared" si="122"/>
        <v>50</v>
      </c>
      <c r="AF422" s="12">
        <f t="shared" si="123"/>
        <v>0</v>
      </c>
      <c r="AG422" s="13">
        <f t="shared" si="121"/>
        <v>5.5511151231257827E-17</v>
      </c>
      <c r="AH422" s="13">
        <f t="shared" si="121"/>
        <v>0</v>
      </c>
      <c r="AI422" s="13">
        <f t="shared" si="121"/>
        <v>6.2450045135165055E-17</v>
      </c>
      <c r="AJ422" s="12">
        <f t="shared" si="121"/>
        <v>0</v>
      </c>
      <c r="AK422" s="13">
        <f t="shared" si="121"/>
        <v>0</v>
      </c>
      <c r="AL422" s="13">
        <f t="shared" si="121"/>
        <v>-1.3943219117756381E-16</v>
      </c>
      <c r="AM422" s="14">
        <f t="shared" si="121"/>
        <v>0</v>
      </c>
      <c r="AN422" s="13">
        <f t="shared" si="121"/>
        <v>-8.3266726846886741E-17</v>
      </c>
      <c r="AO422" s="13">
        <f t="shared" si="121"/>
        <v>0</v>
      </c>
      <c r="AP422" s="61"/>
      <c r="AQ422" s="65"/>
    </row>
    <row r="423" spans="1:43" x14ac:dyDescent="0.25">
      <c r="A423" s="1" t="str">
        <f t="shared" si="117"/>
        <v>male</v>
      </c>
      <c r="B423" s="24">
        <f t="shared" si="118"/>
        <v>3</v>
      </c>
      <c r="C423" s="1">
        <f t="shared" si="119"/>
        <v>51</v>
      </c>
      <c r="D423" s="12">
        <v>-0.13023208496215061</v>
      </c>
      <c r="E423" s="13">
        <v>0.29403603215687885</v>
      </c>
      <c r="F423" s="13">
        <v>-4.2702971656245647E-2</v>
      </c>
      <c r="G423" s="13">
        <v>1.7101895194500685</v>
      </c>
      <c r="H423" s="12">
        <v>-3.8687105006632611E-2</v>
      </c>
      <c r="I423" s="13">
        <v>-1.1106691472398068E-3</v>
      </c>
      <c r="J423" s="13">
        <v>-1.142856913802794</v>
      </c>
      <c r="K423" s="14">
        <v>-7.0962841452516523E-2</v>
      </c>
      <c r="L423" s="13">
        <v>-0.11108347372847555</v>
      </c>
      <c r="M423" s="13">
        <v>-0.13554848894287241</v>
      </c>
      <c r="N423" s="61"/>
      <c r="O423" s="65"/>
      <c r="Q423" s="1">
        <f t="shared" ref="Q423:Q431" si="124">C423</f>
        <v>51</v>
      </c>
      <c r="R423" s="12">
        <v>-0.13023208496215052</v>
      </c>
      <c r="S423" s="13">
        <v>0.29403603215687907</v>
      </c>
      <c r="T423" s="13">
        <v>-4.270297165624562E-2</v>
      </c>
      <c r="U423" s="13">
        <v>1.7101895213060128</v>
      </c>
      <c r="V423" s="12">
        <v>-3.8687105006632777E-2</v>
      </c>
      <c r="W423" s="13">
        <v>-1.1106691472398122E-3</v>
      </c>
      <c r="X423" s="13">
        <v>-1.1428569138027935</v>
      </c>
      <c r="Y423" s="14">
        <v>-7.0962841452516426E-2</v>
      </c>
      <c r="Z423" s="13">
        <v>-0.11108347372847557</v>
      </c>
      <c r="AA423" s="13">
        <v>-0.13554848894287219</v>
      </c>
      <c r="AB423" s="61"/>
      <c r="AC423" s="65"/>
      <c r="AE423" s="1">
        <f t="shared" si="122"/>
        <v>51</v>
      </c>
      <c r="AF423" s="12">
        <f t="shared" si="123"/>
        <v>0</v>
      </c>
      <c r="AG423" s="13">
        <f t="shared" si="121"/>
        <v>0</v>
      </c>
      <c r="AH423" s="13">
        <f t="shared" si="121"/>
        <v>0</v>
      </c>
      <c r="AI423" s="13">
        <f t="shared" si="121"/>
        <v>1.8559442871435294E-9</v>
      </c>
      <c r="AJ423" s="12">
        <f t="shared" si="121"/>
        <v>-1.6653345369377348E-16</v>
      </c>
      <c r="AK423" s="13">
        <f t="shared" si="121"/>
        <v>-5.4210108624275222E-18</v>
      </c>
      <c r="AL423" s="13">
        <f t="shared" si="121"/>
        <v>0</v>
      </c>
      <c r="AM423" s="14">
        <f t="shared" si="121"/>
        <v>0</v>
      </c>
      <c r="AN423" s="13">
        <f t="shared" si="121"/>
        <v>0</v>
      </c>
      <c r="AO423" s="13">
        <f t="shared" si="121"/>
        <v>2.2204460492503131E-16</v>
      </c>
      <c r="AP423" s="61"/>
      <c r="AQ423" s="65"/>
    </row>
    <row r="424" spans="1:43" x14ac:dyDescent="0.25">
      <c r="A424" s="1" t="str">
        <f t="shared" si="117"/>
        <v>female</v>
      </c>
      <c r="B424" s="24">
        <f t="shared" si="118"/>
        <v>2</v>
      </c>
      <c r="C424" s="1">
        <f t="shared" si="119"/>
        <v>54</v>
      </c>
      <c r="D424" s="9">
        <v>-1.6045397741173511E-2</v>
      </c>
      <c r="E424" s="10">
        <v>-2.8803286268292521E-2</v>
      </c>
      <c r="F424" s="10">
        <v>-0.11596697412526613</v>
      </c>
      <c r="G424" s="10">
        <v>-3.8687105006632611E-2</v>
      </c>
      <c r="H424" s="9">
        <v>1.9083761908113956</v>
      </c>
      <c r="I424" s="10">
        <v>-8.5368157332478614E-2</v>
      </c>
      <c r="J424" s="10">
        <v>-7.7131875742771574E-9</v>
      </c>
      <c r="K424" s="11">
        <v>-3.1610367465809169E-2</v>
      </c>
      <c r="L424" s="10">
        <v>-3.5052682832078838E-2</v>
      </c>
      <c r="M424" s="10">
        <v>-1.0948681341639364</v>
      </c>
      <c r="N424" s="59"/>
      <c r="O424" s="64"/>
      <c r="Q424" s="1">
        <f t="shared" si="124"/>
        <v>54</v>
      </c>
      <c r="R424" s="9">
        <v>-1.604539774117349E-2</v>
      </c>
      <c r="S424" s="10">
        <v>-2.8803286268292507E-2</v>
      </c>
      <c r="T424" s="10">
        <v>-0.11596697412526617</v>
      </c>
      <c r="U424" s="10">
        <v>-3.8687105006632826E-2</v>
      </c>
      <c r="V424" s="9">
        <v>1.9083761900920277</v>
      </c>
      <c r="W424" s="10">
        <v>-8.53681573324786E-2</v>
      </c>
      <c r="X424" s="10">
        <v>-7.7131874333368439E-9</v>
      </c>
      <c r="Y424" s="11">
        <v>-3.1610367465809183E-2</v>
      </c>
      <c r="Z424" s="10">
        <v>-3.5052682832079088E-2</v>
      </c>
      <c r="AA424" s="10">
        <v>-1.0948681341639357</v>
      </c>
      <c r="AB424" s="59"/>
      <c r="AC424" s="64"/>
      <c r="AE424" s="1">
        <f t="shared" si="122"/>
        <v>54</v>
      </c>
      <c r="AF424" s="9">
        <f t="shared" si="123"/>
        <v>0</v>
      </c>
      <c r="AG424" s="10">
        <f t="shared" si="121"/>
        <v>0</v>
      </c>
      <c r="AH424" s="10">
        <f t="shared" si="121"/>
        <v>0</v>
      </c>
      <c r="AI424" s="10">
        <f t="shared" si="121"/>
        <v>-2.1510571102112408E-16</v>
      </c>
      <c r="AJ424" s="9">
        <f t="shared" si="121"/>
        <v>-7.1936789858284556E-10</v>
      </c>
      <c r="AK424" s="10">
        <f t="shared" si="121"/>
        <v>0</v>
      </c>
      <c r="AL424" s="10">
        <f t="shared" si="121"/>
        <v>1.4094031348781539E-16</v>
      </c>
      <c r="AM424" s="11">
        <f t="shared" si="121"/>
        <v>0</v>
      </c>
      <c r="AN424" s="10">
        <f t="shared" si="121"/>
        <v>-2.4980018054066022E-16</v>
      </c>
      <c r="AO424" s="10">
        <f t="shared" si="121"/>
        <v>0</v>
      </c>
      <c r="AP424" s="59"/>
      <c r="AQ424" s="64"/>
    </row>
    <row r="425" spans="1:43" x14ac:dyDescent="0.25">
      <c r="A425" s="1" t="str">
        <f t="shared" si="117"/>
        <v>male</v>
      </c>
      <c r="B425" s="24">
        <f t="shared" si="118"/>
        <v>2</v>
      </c>
      <c r="C425" s="1">
        <f t="shared" si="119"/>
        <v>55</v>
      </c>
      <c r="D425" s="12">
        <v>-0.70972839111592723</v>
      </c>
      <c r="E425" s="13">
        <v>-5.4496642790552788E-3</v>
      </c>
      <c r="F425" s="13">
        <v>-0.20969814900684614</v>
      </c>
      <c r="G425" s="13">
        <v>-1.1106691472398081E-3</v>
      </c>
      <c r="H425" s="12">
        <v>-8.5368157332478628E-2</v>
      </c>
      <c r="I425" s="13">
        <v>1.3897697176004746</v>
      </c>
      <c r="J425" s="13">
        <v>-7.4975239157658135E-10</v>
      </c>
      <c r="K425" s="14">
        <v>2.0252307269458644E-2</v>
      </c>
      <c r="L425" s="13">
        <v>-3.2469155654863682E-3</v>
      </c>
      <c r="M425" s="13">
        <v>1.7841589509977763E-2</v>
      </c>
      <c r="N425" s="61"/>
      <c r="O425" s="65"/>
      <c r="Q425" s="1">
        <f t="shared" si="124"/>
        <v>55</v>
      </c>
      <c r="R425" s="12">
        <v>-0.70972839111592712</v>
      </c>
      <c r="S425" s="13">
        <v>-5.4496642790553057E-3</v>
      </c>
      <c r="T425" s="13">
        <v>-0.20969814900684622</v>
      </c>
      <c r="U425" s="13">
        <v>-1.1106691472398387E-3</v>
      </c>
      <c r="V425" s="12">
        <v>-8.5368157332478614E-2</v>
      </c>
      <c r="W425" s="13">
        <v>1.3897697176004746</v>
      </c>
      <c r="X425" s="13">
        <v>-7.4975236729485628E-10</v>
      </c>
      <c r="Y425" s="14">
        <v>2.0252307269458654E-2</v>
      </c>
      <c r="Z425" s="13">
        <v>-3.2469155654863539E-3</v>
      </c>
      <c r="AA425" s="13">
        <v>1.7841589509977735E-2</v>
      </c>
      <c r="AB425" s="61"/>
      <c r="AC425" s="65"/>
      <c r="AE425" s="1">
        <f t="shared" si="122"/>
        <v>55</v>
      </c>
      <c r="AF425" s="12">
        <f t="shared" si="123"/>
        <v>0</v>
      </c>
      <c r="AG425" s="13">
        <f t="shared" si="121"/>
        <v>-2.688821387764051E-17</v>
      </c>
      <c r="AH425" s="13">
        <f t="shared" si="121"/>
        <v>0</v>
      </c>
      <c r="AI425" s="13">
        <f t="shared" si="121"/>
        <v>-3.0574501264091225E-17</v>
      </c>
      <c r="AJ425" s="12">
        <f t="shared" si="121"/>
        <v>0</v>
      </c>
      <c r="AK425" s="13">
        <f t="shared" si="121"/>
        <v>0</v>
      </c>
      <c r="AL425" s="13">
        <f t="shared" si="121"/>
        <v>2.4281725064286797E-17</v>
      </c>
      <c r="AM425" s="14">
        <f t="shared" si="121"/>
        <v>0</v>
      </c>
      <c r="AN425" s="13">
        <f t="shared" si="121"/>
        <v>1.4311468676808659E-17</v>
      </c>
      <c r="AO425" s="13">
        <f t="shared" si="121"/>
        <v>-2.7755575615628914E-17</v>
      </c>
      <c r="AP425" s="61"/>
      <c r="AQ425" s="65"/>
    </row>
    <row r="426" spans="1:43" x14ac:dyDescent="0.25">
      <c r="A426" s="1" t="str">
        <f t="shared" si="117"/>
        <v>female</v>
      </c>
      <c r="B426" s="24">
        <f t="shared" si="118"/>
        <v>2</v>
      </c>
      <c r="C426" s="1">
        <f t="shared" si="119"/>
        <v>56</v>
      </c>
      <c r="D426" s="12">
        <v>-2.4508885313811646E-8</v>
      </c>
      <c r="E426" s="13">
        <v>-1.1428568086208015</v>
      </c>
      <c r="F426" s="13">
        <v>-9.2408959223377094E-9</v>
      </c>
      <c r="G426" s="13">
        <v>-1.1428569138027938</v>
      </c>
      <c r="H426" s="12">
        <v>-7.7131875742771558E-9</v>
      </c>
      <c r="I426" s="13">
        <v>-7.4975239157657866E-10</v>
      </c>
      <c r="J426" s="13">
        <v>2.2857140244898604</v>
      </c>
      <c r="K426" s="14">
        <v>-9.6957331225375822E-8</v>
      </c>
      <c r="L426" s="13">
        <v>-1.0755772559089947E-7</v>
      </c>
      <c r="M426" s="13">
        <v>-6.4874121241345001E-9</v>
      </c>
      <c r="N426" s="61"/>
      <c r="O426" s="65"/>
      <c r="Q426" s="1">
        <f t="shared" si="124"/>
        <v>56</v>
      </c>
      <c r="R426" s="12">
        <v>-2.4508885331979014E-8</v>
      </c>
      <c r="S426" s="13">
        <v>-1.1428568086208017</v>
      </c>
      <c r="T426" s="13">
        <v>-9.240896031029237E-9</v>
      </c>
      <c r="U426" s="13">
        <v>-1.142856913802794</v>
      </c>
      <c r="V426" s="12">
        <v>-7.713187525092267E-9</v>
      </c>
      <c r="W426" s="13">
        <v>-7.4975236626943336E-10</v>
      </c>
      <c r="X426" s="13">
        <v>2.2857140244898599</v>
      </c>
      <c r="Y426" s="14">
        <v>-9.6957331333033194E-8</v>
      </c>
      <c r="Z426" s="13">
        <v>-1.0755772552860384E-7</v>
      </c>
      <c r="AA426" s="13">
        <v>-6.4874121884478622E-9</v>
      </c>
      <c r="AB426" s="61"/>
      <c r="AC426" s="65"/>
      <c r="AE426" s="1">
        <f t="shared" si="122"/>
        <v>56</v>
      </c>
      <c r="AF426" s="12">
        <f t="shared" si="123"/>
        <v>-1.8167367793502147E-17</v>
      </c>
      <c r="AG426" s="13">
        <f t="shared" si="121"/>
        <v>0</v>
      </c>
      <c r="AH426" s="13">
        <f t="shared" si="121"/>
        <v>-1.0869152752638416E-16</v>
      </c>
      <c r="AI426" s="13">
        <f t="shared" si="121"/>
        <v>0</v>
      </c>
      <c r="AJ426" s="12">
        <f t="shared" si="121"/>
        <v>4.9184888795703297E-17</v>
      </c>
      <c r="AK426" s="13">
        <f t="shared" si="121"/>
        <v>2.5307145300902445E-17</v>
      </c>
      <c r="AL426" s="13">
        <f t="shared" si="121"/>
        <v>0</v>
      </c>
      <c r="AM426" s="14">
        <f t="shared" si="121"/>
        <v>-1.0765737143531934E-16</v>
      </c>
      <c r="AN426" s="13">
        <f t="shared" si="121"/>
        <v>6.2295633675858557E-17</v>
      </c>
      <c r="AO426" s="13">
        <f t="shared" si="121"/>
        <v>-6.4313362109169356E-17</v>
      </c>
      <c r="AP426" s="61"/>
      <c r="AQ426" s="65"/>
    </row>
    <row r="427" spans="1:43" x14ac:dyDescent="0.25">
      <c r="A427" s="1" t="str">
        <f t="shared" si="117"/>
        <v>male</v>
      </c>
      <c r="B427" s="24">
        <f t="shared" si="118"/>
        <v>2</v>
      </c>
      <c r="C427" s="1">
        <f t="shared" si="119"/>
        <v>57</v>
      </c>
      <c r="D427" s="15">
        <v>-9.0331614294753369E-3</v>
      </c>
      <c r="E427" s="16">
        <v>-0.7774138067695221</v>
      </c>
      <c r="F427" s="16">
        <v>-0.19063866691796433</v>
      </c>
      <c r="G427" s="16">
        <v>-7.0962841452516523E-2</v>
      </c>
      <c r="H427" s="15">
        <v>-3.1610367465809162E-2</v>
      </c>
      <c r="I427" s="16">
        <v>2.0252307269458644E-2</v>
      </c>
      <c r="J427" s="16">
        <v>-9.6957331225375836E-8</v>
      </c>
      <c r="K427" s="17">
        <v>1.5358713423321095</v>
      </c>
      <c r="L427" s="16">
        <v>-9.5301546080288055E-2</v>
      </c>
      <c r="M427" s="16">
        <v>-0.1625108395830154</v>
      </c>
      <c r="N427" s="63"/>
      <c r="O427" s="87"/>
      <c r="Q427" s="1">
        <f t="shared" si="124"/>
        <v>57</v>
      </c>
      <c r="R427" s="15">
        <v>-9.033161429475323E-3</v>
      </c>
      <c r="S427" s="16">
        <v>-0.7774138067695221</v>
      </c>
      <c r="T427" s="16">
        <v>-0.19063866691796419</v>
      </c>
      <c r="U427" s="16">
        <v>-7.0962841452516495E-2</v>
      </c>
      <c r="V427" s="15">
        <v>-3.1610367465809197E-2</v>
      </c>
      <c r="W427" s="16">
        <v>2.025230726945865E-2</v>
      </c>
      <c r="X427" s="16">
        <v>-9.6957331158364981E-8</v>
      </c>
      <c r="Y427" s="17">
        <v>1.5358713423321095</v>
      </c>
      <c r="Z427" s="16">
        <v>-9.5301546080287972E-2</v>
      </c>
      <c r="AA427" s="16">
        <v>-0.16251083958301524</v>
      </c>
      <c r="AB427" s="63"/>
      <c r="AC427" s="87"/>
      <c r="AE427" s="1">
        <f t="shared" si="122"/>
        <v>57</v>
      </c>
      <c r="AF427" s="15">
        <f t="shared" si="123"/>
        <v>1.3877787807814457E-17</v>
      </c>
      <c r="AG427" s="16">
        <f t="shared" si="121"/>
        <v>0</v>
      </c>
      <c r="AH427" s="16">
        <f t="shared" si="121"/>
        <v>0</v>
      </c>
      <c r="AI427" s="16">
        <f t="shared" si="121"/>
        <v>0</v>
      </c>
      <c r="AJ427" s="15">
        <f t="shared" si="121"/>
        <v>0</v>
      </c>
      <c r="AK427" s="16">
        <f t="shared" si="121"/>
        <v>0</v>
      </c>
      <c r="AL427" s="16">
        <f t="shared" si="121"/>
        <v>6.7010854334986433E-17</v>
      </c>
      <c r="AM427" s="17">
        <f t="shared" si="121"/>
        <v>0</v>
      </c>
      <c r="AN427" s="16">
        <f t="shared" si="121"/>
        <v>0</v>
      </c>
      <c r="AO427" s="16">
        <f t="shared" si="121"/>
        <v>0</v>
      </c>
      <c r="AP427" s="63"/>
      <c r="AQ427" s="87"/>
    </row>
    <row r="428" spans="1:43" x14ac:dyDescent="0.25">
      <c r="A428" s="1" t="str">
        <f t="shared" si="117"/>
        <v>female</v>
      </c>
      <c r="B428" s="24">
        <f t="shared" si="118"/>
        <v>1</v>
      </c>
      <c r="C428" s="1">
        <f t="shared" si="119"/>
        <v>58</v>
      </c>
      <c r="D428" s="12">
        <v>1.8155042474612457E-2</v>
      </c>
      <c r="E428" s="13">
        <v>-0.83004662519189476</v>
      </c>
      <c r="F428" s="13">
        <v>-3.0417225465638714E-2</v>
      </c>
      <c r="G428" s="13">
        <v>-0.1110834737284756</v>
      </c>
      <c r="H428" s="12">
        <v>-3.5052682832078859E-2</v>
      </c>
      <c r="I428" s="13">
        <v>-3.2469155654863673E-3</v>
      </c>
      <c r="J428" s="13">
        <v>-1.0755772559089946E-7</v>
      </c>
      <c r="K428" s="14">
        <v>-9.5301546080288083E-2</v>
      </c>
      <c r="L428" s="13">
        <v>1.5544791280487844</v>
      </c>
      <c r="M428" s="13">
        <v>-0.232282842206536</v>
      </c>
      <c r="N428" s="61"/>
      <c r="O428" s="65"/>
      <c r="Q428" s="1">
        <f t="shared" si="124"/>
        <v>58</v>
      </c>
      <c r="R428" s="12">
        <v>1.8155042474612439E-2</v>
      </c>
      <c r="S428" s="13">
        <v>-0.83004662519189443</v>
      </c>
      <c r="T428" s="13">
        <v>-3.0417225465638825E-2</v>
      </c>
      <c r="U428" s="13">
        <v>-0.11108347372847562</v>
      </c>
      <c r="V428" s="12">
        <v>-3.5052682832079123E-2</v>
      </c>
      <c r="W428" s="13">
        <v>-3.2469155654863417E-3</v>
      </c>
      <c r="X428" s="13">
        <v>-1.0755772553292814E-7</v>
      </c>
      <c r="Y428" s="14">
        <v>-9.5301546080288138E-2</v>
      </c>
      <c r="Z428" s="13">
        <v>1.5544791280487837</v>
      </c>
      <c r="AA428" s="13">
        <v>-0.23228284220653564</v>
      </c>
      <c r="AB428" s="61"/>
      <c r="AC428" s="65"/>
      <c r="AE428" s="1">
        <f t="shared" si="122"/>
        <v>58</v>
      </c>
      <c r="AF428" s="12">
        <f t="shared" si="123"/>
        <v>0</v>
      </c>
      <c r="AG428" s="13">
        <f t="shared" si="121"/>
        <v>0</v>
      </c>
      <c r="AH428" s="13">
        <f t="shared" si="121"/>
        <v>-1.1102230246251565E-16</v>
      </c>
      <c r="AI428" s="13">
        <f t="shared" si="121"/>
        <v>0</v>
      </c>
      <c r="AJ428" s="12">
        <f t="shared" si="121"/>
        <v>-2.6367796834847468E-16</v>
      </c>
      <c r="AK428" s="13">
        <f t="shared" si="121"/>
        <v>2.5587171270657905E-17</v>
      </c>
      <c r="AL428" s="13">
        <f t="shared" si="121"/>
        <v>5.797131872188854E-17</v>
      </c>
      <c r="AM428" s="14">
        <f t="shared" si="121"/>
        <v>0</v>
      </c>
      <c r="AN428" s="13">
        <f t="shared" si="121"/>
        <v>0</v>
      </c>
      <c r="AO428" s="13">
        <f t="shared" si="121"/>
        <v>3.6082248300317588E-16</v>
      </c>
      <c r="AP428" s="61"/>
      <c r="AQ428" s="65"/>
    </row>
    <row r="429" spans="1:43" x14ac:dyDescent="0.25">
      <c r="A429" s="1" t="str">
        <f t="shared" si="117"/>
        <v>male</v>
      </c>
      <c r="B429" s="24">
        <f t="shared" si="118"/>
        <v>1</v>
      </c>
      <c r="C429" s="1">
        <f t="shared" si="119"/>
        <v>59</v>
      </c>
      <c r="D429" s="12">
        <v>3.1394023839542366E-2</v>
      </c>
      <c r="E429" s="13">
        <v>7.8783632856695471E-2</v>
      </c>
      <c r="F429" s="13">
        <v>-6.5359096313039544E-2</v>
      </c>
      <c r="G429" s="13">
        <v>-0.13554848894287239</v>
      </c>
      <c r="H429" s="12">
        <v>-1.0948681341639366</v>
      </c>
      <c r="I429" s="13">
        <v>1.7841589509977739E-2</v>
      </c>
      <c r="J429" s="13">
        <v>-6.4874121241345043E-9</v>
      </c>
      <c r="K429" s="14">
        <v>-0.16251083958301538</v>
      </c>
      <c r="L429" s="13">
        <v>-0.23228284220653586</v>
      </c>
      <c r="M429" s="13">
        <v>1.6188895023221206</v>
      </c>
      <c r="N429" s="61"/>
      <c r="O429" s="65"/>
      <c r="Q429" s="1">
        <f t="shared" si="124"/>
        <v>59</v>
      </c>
      <c r="R429" s="12">
        <v>3.1394023839542318E-2</v>
      </c>
      <c r="S429" s="13">
        <v>7.8783632856695388E-2</v>
      </c>
      <c r="T429" s="13">
        <v>-6.5359096313039475E-2</v>
      </c>
      <c r="U429" s="13">
        <v>-0.13554848894287208</v>
      </c>
      <c r="V429" s="12">
        <v>-1.0948681341639359</v>
      </c>
      <c r="W429" s="13">
        <v>1.7841589509977707E-2</v>
      </c>
      <c r="X429" s="13">
        <v>-6.4874122925723478E-9</v>
      </c>
      <c r="Y429" s="14">
        <v>-0.16251083958301521</v>
      </c>
      <c r="Z429" s="13">
        <v>-0.23228284220653567</v>
      </c>
      <c r="AA429" s="13">
        <v>1.6188895023221195</v>
      </c>
      <c r="AB429" s="61"/>
      <c r="AC429" s="65"/>
      <c r="AE429" s="1">
        <f t="shared" si="122"/>
        <v>59</v>
      </c>
      <c r="AF429" s="12">
        <f t="shared" si="123"/>
        <v>0</v>
      </c>
      <c r="AG429" s="13">
        <f t="shared" si="121"/>
        <v>0</v>
      </c>
      <c r="AH429" s="13">
        <f t="shared" si="121"/>
        <v>0</v>
      </c>
      <c r="AI429" s="13">
        <f t="shared" si="121"/>
        <v>3.0531133177191805E-16</v>
      </c>
      <c r="AJ429" s="12">
        <f t="shared" si="121"/>
        <v>0</v>
      </c>
      <c r="AK429" s="13">
        <f t="shared" si="121"/>
        <v>-3.1225022567582528E-17</v>
      </c>
      <c r="AL429" s="13">
        <f t="shared" si="121"/>
        <v>-1.6843784349391349E-16</v>
      </c>
      <c r="AM429" s="14">
        <f t="shared" si="121"/>
        <v>0</v>
      </c>
      <c r="AN429" s="13">
        <f t="shared" si="121"/>
        <v>0</v>
      </c>
      <c r="AO429" s="13">
        <f t="shared" si="121"/>
        <v>0</v>
      </c>
      <c r="AP429" s="61"/>
      <c r="AQ429" s="65"/>
    </row>
    <row r="430" spans="1:43" x14ac:dyDescent="0.25">
      <c r="A430" s="1" t="str">
        <f t="shared" si="117"/>
        <v>female</v>
      </c>
      <c r="B430" s="24">
        <f t="shared" si="118"/>
        <v>1</v>
      </c>
      <c r="C430" s="1">
        <f t="shared" si="119"/>
        <v>60</v>
      </c>
      <c r="D430" s="60"/>
      <c r="E430" s="61"/>
      <c r="F430" s="61"/>
      <c r="G430" s="61"/>
      <c r="H430" s="60"/>
      <c r="I430" s="61"/>
      <c r="J430" s="61"/>
      <c r="K430" s="65"/>
      <c r="L430" s="61"/>
      <c r="M430" s="61"/>
      <c r="N430" s="61"/>
      <c r="O430" s="65"/>
      <c r="Q430" s="1">
        <f t="shared" si="124"/>
        <v>60</v>
      </c>
      <c r="R430" s="60"/>
      <c r="S430" s="61"/>
      <c r="T430" s="61"/>
      <c r="U430" s="61"/>
      <c r="V430" s="60"/>
      <c r="W430" s="61"/>
      <c r="X430" s="61"/>
      <c r="Y430" s="65"/>
      <c r="Z430" s="61"/>
      <c r="AA430" s="61"/>
      <c r="AB430" s="61"/>
      <c r="AC430" s="65"/>
      <c r="AE430" s="1">
        <f t="shared" si="122"/>
        <v>60</v>
      </c>
      <c r="AF430" s="60"/>
      <c r="AG430" s="61"/>
      <c r="AH430" s="61"/>
      <c r="AI430" s="61"/>
      <c r="AJ430" s="60"/>
      <c r="AK430" s="61"/>
      <c r="AL430" s="61"/>
      <c r="AM430" s="65"/>
      <c r="AN430" s="61"/>
      <c r="AO430" s="61"/>
      <c r="AP430" s="61"/>
      <c r="AQ430" s="65"/>
    </row>
    <row r="431" spans="1:43" x14ac:dyDescent="0.25">
      <c r="A431" s="1" t="str">
        <f t="shared" si="117"/>
        <v>male</v>
      </c>
      <c r="B431" s="24">
        <f t="shared" si="118"/>
        <v>1</v>
      </c>
      <c r="C431" s="1">
        <f t="shared" si="119"/>
        <v>61</v>
      </c>
      <c r="D431" s="62"/>
      <c r="E431" s="63"/>
      <c r="F431" s="63"/>
      <c r="G431" s="63"/>
      <c r="H431" s="62"/>
      <c r="I431" s="63"/>
      <c r="J431" s="63"/>
      <c r="K431" s="87"/>
      <c r="L431" s="63"/>
      <c r="M431" s="63"/>
      <c r="N431" s="63"/>
      <c r="O431" s="87"/>
      <c r="Q431" s="1">
        <f t="shared" si="124"/>
        <v>61</v>
      </c>
      <c r="R431" s="62"/>
      <c r="S431" s="63"/>
      <c r="T431" s="63"/>
      <c r="U431" s="63"/>
      <c r="V431" s="62"/>
      <c r="W431" s="63"/>
      <c r="X431" s="63"/>
      <c r="Y431" s="87"/>
      <c r="Z431" s="63"/>
      <c r="AA431" s="63"/>
      <c r="AB431" s="63"/>
      <c r="AC431" s="87"/>
      <c r="AE431" s="1">
        <f t="shared" si="122"/>
        <v>61</v>
      </c>
      <c r="AF431" s="62"/>
      <c r="AG431" s="63"/>
      <c r="AH431" s="63"/>
      <c r="AI431" s="63"/>
      <c r="AJ431" s="62"/>
      <c r="AK431" s="63"/>
      <c r="AL431" s="63"/>
      <c r="AM431" s="87"/>
      <c r="AN431" s="63"/>
      <c r="AO431" s="63"/>
      <c r="AP431" s="63"/>
      <c r="AQ431" s="87"/>
    </row>
    <row r="432" spans="1:43" x14ac:dyDescent="0.25">
      <c r="A432" s="4"/>
    </row>
    <row r="433" spans="1:16" s="28" customFormat="1" ht="18" x14ac:dyDescent="0.35">
      <c r="A433" s="29" t="s">
        <v>6</v>
      </c>
    </row>
    <row r="435" spans="1:16" s="21" customFormat="1" x14ac:dyDescent="0.25">
      <c r="A435"/>
    </row>
    <row r="436" spans="1:16" s="21" customFormat="1" x14ac:dyDescent="0.25">
      <c r="A436" s="21" t="s">
        <v>2</v>
      </c>
    </row>
    <row r="437" spans="1:16" s="21" customFormat="1" x14ac:dyDescent="0.25">
      <c r="A437"/>
    </row>
    <row r="438" spans="1:16" s="21" customFormat="1" x14ac:dyDescent="0.25">
      <c r="A438"/>
    </row>
    <row r="439" spans="1:16" s="21" customFormat="1" x14ac:dyDescent="0.25">
      <c r="A439"/>
    </row>
    <row r="440" spans="1:16" x14ac:dyDescent="0.25">
      <c r="A440" s="1"/>
    </row>
    <row r="441" spans="1:16" x14ac:dyDescent="0.25">
      <c r="A441" s="1"/>
    </row>
    <row r="442" spans="1:16" s="21" customFormat="1" x14ac:dyDescent="0.25">
      <c r="B442"/>
      <c r="J442"/>
    </row>
    <row r="443" spans="1:16" s="21" customFormat="1" x14ac:dyDescent="0.25">
      <c r="B443" s="7"/>
      <c r="C443" t="str">
        <f t="array" ref="C443:H443">TRANSPOSE(B444:B449)</f>
        <v>male_3</v>
      </c>
      <c r="D443" t="str">
        <v>male_2</v>
      </c>
      <c r="E443" t="str">
        <v>male_1</v>
      </c>
      <c r="F443" t="str">
        <v>female_3</v>
      </c>
      <c r="G443" t="str">
        <v>female_2</v>
      </c>
      <c r="H443" t="str">
        <v>female_1</v>
      </c>
      <c r="J443" s="7"/>
      <c r="K443" t="str">
        <f>C443</f>
        <v>male_3</v>
      </c>
      <c r="L443" t="str">
        <f t="shared" ref="L443:P443" si="125">D443</f>
        <v>male_2</v>
      </c>
      <c r="M443" t="str">
        <f t="shared" si="125"/>
        <v>male_1</v>
      </c>
      <c r="N443" t="str">
        <f t="shared" si="125"/>
        <v>female_3</v>
      </c>
      <c r="O443" t="str">
        <f t="shared" si="125"/>
        <v>female_2</v>
      </c>
      <c r="P443" t="str">
        <f t="shared" si="125"/>
        <v>female_1</v>
      </c>
    </row>
    <row r="444" spans="1:16" x14ac:dyDescent="0.25">
      <c r="B444" t="str">
        <f t="shared" ref="B444:B449" si="126">B271</f>
        <v>male_3</v>
      </c>
      <c r="C444" s="3">
        <f t="array" ref="C444:H449">MMULT(MMULT(TRANSPOSE(Q_1_matrix),A_inv_11_matrix),Q_1_matrix)</f>
        <v>4.9287935374115595</v>
      </c>
      <c r="D444" s="3">
        <v>-0.85493698164833376</v>
      </c>
      <c r="E444" s="3">
        <v>-5.6764856086176887E-2</v>
      </c>
      <c r="F444" s="3">
        <v>-0.29531058581630693</v>
      </c>
      <c r="G444" s="3">
        <v>-2.3532041136985207</v>
      </c>
      <c r="H444" s="3">
        <v>-0.94113009892037058</v>
      </c>
      <c r="J444" t="str">
        <f>B444</f>
        <v>male_3</v>
      </c>
      <c r="K444" s="3">
        <f t="array" ref="K444:P449">MINVERSE(C444:H449)</f>
        <v>0.57303067211435299</v>
      </c>
      <c r="L444" s="3">
        <v>0.30323488272332011</v>
      </c>
      <c r="M444" s="3">
        <v>0.41974368187238892</v>
      </c>
      <c r="N444" s="3">
        <v>0.22579655992839129</v>
      </c>
      <c r="O444" s="3">
        <v>0.45033694367549787</v>
      </c>
      <c r="P444" s="3">
        <v>0.44081217472042244</v>
      </c>
    </row>
    <row r="445" spans="1:16" x14ac:dyDescent="0.25">
      <c r="B445" t="str">
        <f t="shared" si="126"/>
        <v>male_2</v>
      </c>
      <c r="C445" s="3">
        <v>-0.85493698164833365</v>
      </c>
      <c r="D445" s="3">
        <v>2.9661456744715018</v>
      </c>
      <c r="E445" s="3">
        <v>-0.14466925007303763</v>
      </c>
      <c r="F445" s="3">
        <v>-1.1190983684702129</v>
      </c>
      <c r="G445" s="3">
        <v>-0.11697862250537142</v>
      </c>
      <c r="H445" s="3">
        <v>-9.8548461645774424E-2</v>
      </c>
      <c r="J445" t="str">
        <f t="shared" ref="J445:J449" si="127">B445</f>
        <v>male_2</v>
      </c>
      <c r="K445" s="3">
        <v>0.30323488272332005</v>
      </c>
      <c r="L445" s="3">
        <v>0.57151200362531474</v>
      </c>
      <c r="M445" s="3">
        <v>0.29238872494658186</v>
      </c>
      <c r="N445" s="3">
        <v>0.29914075163425641</v>
      </c>
      <c r="O445" s="3">
        <v>0.2740956320437829</v>
      </c>
      <c r="P445" s="3">
        <v>0.27205120721488618</v>
      </c>
    </row>
    <row r="446" spans="1:16" x14ac:dyDescent="0.25">
      <c r="B446" t="str">
        <f t="shared" si="126"/>
        <v>male_1</v>
      </c>
      <c r="C446" s="3">
        <v>-5.6764856086176915E-2</v>
      </c>
      <c r="D446" s="3">
        <v>-0.14466925007303763</v>
      </c>
      <c r="E446" s="3">
        <v>1.6188895023221206</v>
      </c>
      <c r="F446" s="3">
        <v>-3.3965072473497178E-2</v>
      </c>
      <c r="G446" s="3">
        <v>-1.0948681406513487</v>
      </c>
      <c r="H446" s="3">
        <v>-0.23228284220653586</v>
      </c>
      <c r="J446" t="str">
        <f t="shared" si="127"/>
        <v>male_1</v>
      </c>
      <c r="K446" s="3">
        <v>0.41974368187238886</v>
      </c>
      <c r="L446" s="3">
        <v>0.29238872494658186</v>
      </c>
      <c r="M446" s="3">
        <v>1.0924773283820357</v>
      </c>
      <c r="N446" s="3">
        <v>0.21708176535707363</v>
      </c>
      <c r="O446" s="3">
        <v>0.53944670609679113</v>
      </c>
      <c r="P446" s="3">
        <v>0.44978578792134261</v>
      </c>
    </row>
    <row r="447" spans="1:16" x14ac:dyDescent="0.25">
      <c r="B447" t="str">
        <f t="shared" si="126"/>
        <v>female_3</v>
      </c>
      <c r="C447" s="3">
        <v>-0.29531058581630681</v>
      </c>
      <c r="D447" s="3">
        <v>-1.1190983684702129</v>
      </c>
      <c r="E447" s="3">
        <v>-3.3965072473497199E-2</v>
      </c>
      <c r="F447" s="3">
        <v>2.6027132281233336</v>
      </c>
      <c r="G447" s="3">
        <v>-0.13201240561622088</v>
      </c>
      <c r="H447" s="3">
        <v>-1.2262182991026264E-2</v>
      </c>
      <c r="J447" t="str">
        <f t="shared" si="127"/>
        <v>female_3</v>
      </c>
      <c r="K447" s="3">
        <v>0.22579655992839123</v>
      </c>
      <c r="L447" s="3">
        <v>0.29914075163425641</v>
      </c>
      <c r="M447" s="3">
        <v>0.21708176535707358</v>
      </c>
      <c r="N447" s="3">
        <v>0.55290826049377584</v>
      </c>
      <c r="O447" s="3">
        <v>0.21075327906454791</v>
      </c>
      <c r="P447" s="3">
        <v>0.19722073868306916</v>
      </c>
    </row>
    <row r="448" spans="1:16" x14ac:dyDescent="0.25">
      <c r="B448" t="str">
        <f t="shared" si="126"/>
        <v>female_2</v>
      </c>
      <c r="C448" s="3">
        <v>-2.3532041136985207</v>
      </c>
      <c r="D448" s="3">
        <v>-0.11697862250537139</v>
      </c>
      <c r="E448" s="3">
        <v>-1.0948681406513485</v>
      </c>
      <c r="F448" s="3">
        <v>-0.13201240561622088</v>
      </c>
      <c r="G448" s="3">
        <v>4.1940901998748812</v>
      </c>
      <c r="H448" s="3">
        <v>-3.5052790389804432E-2</v>
      </c>
      <c r="J448" t="str">
        <f t="shared" si="127"/>
        <v>female_2</v>
      </c>
      <c r="K448" s="3">
        <v>0.45033694367549781</v>
      </c>
      <c r="L448" s="3">
        <v>0.27409563204378296</v>
      </c>
      <c r="M448" s="3">
        <v>0.53944670609679113</v>
      </c>
      <c r="N448" s="3">
        <v>0.21075327906454797</v>
      </c>
      <c r="O448" s="3">
        <v>0.64943917333314516</v>
      </c>
      <c r="P448" s="3">
        <v>0.38694023546286077</v>
      </c>
    </row>
    <row r="449" spans="1:16" x14ac:dyDescent="0.25">
      <c r="B449" t="str">
        <f t="shared" si="126"/>
        <v>female_1</v>
      </c>
      <c r="C449" s="3">
        <v>-0.94113009892037036</v>
      </c>
      <c r="D449" s="3">
        <v>-9.8548461645774452E-2</v>
      </c>
      <c r="E449" s="3">
        <v>-0.232282842206536</v>
      </c>
      <c r="F449" s="3">
        <v>-1.2262182991026258E-2</v>
      </c>
      <c r="G449" s="3">
        <v>-3.5052790389804453E-2</v>
      </c>
      <c r="H449" s="3">
        <v>1.5544791280487844</v>
      </c>
      <c r="J449" t="str">
        <f t="shared" si="127"/>
        <v>female_1</v>
      </c>
      <c r="K449" s="3">
        <v>0.44081217472042233</v>
      </c>
      <c r="L449" s="3">
        <v>0.27205120721488618</v>
      </c>
      <c r="M449" s="3">
        <v>0.44978578792134261</v>
      </c>
      <c r="N449" s="3">
        <v>0.19722073868306919</v>
      </c>
      <c r="O449" s="3">
        <v>0.38694023546286077</v>
      </c>
      <c r="P449" s="3">
        <v>1.0049224967578383</v>
      </c>
    </row>
    <row r="451" spans="1:16" s="21" customFormat="1" x14ac:dyDescent="0.25">
      <c r="A451"/>
      <c r="C451" s="7"/>
    </row>
    <row r="452" spans="1:16" x14ac:dyDescent="0.25">
      <c r="A452" s="1"/>
      <c r="B452" s="1" t="s">
        <v>60</v>
      </c>
      <c r="C452" s="24">
        <v>3</v>
      </c>
      <c r="D452" s="24">
        <v>3</v>
      </c>
      <c r="E452" s="24">
        <v>3</v>
      </c>
      <c r="F452" s="24">
        <v>3</v>
      </c>
      <c r="G452" s="24">
        <v>2</v>
      </c>
      <c r="H452" s="24">
        <v>2</v>
      </c>
      <c r="I452" s="24">
        <v>2</v>
      </c>
      <c r="J452" s="24">
        <v>2</v>
      </c>
      <c r="K452" s="24">
        <v>1</v>
      </c>
      <c r="L452" s="24">
        <v>1</v>
      </c>
      <c r="M452" s="24">
        <v>1</v>
      </c>
      <c r="N452" s="24">
        <v>1</v>
      </c>
    </row>
    <row r="453" spans="1:16" x14ac:dyDescent="0.25">
      <c r="A453" s="1" t="s">
        <v>60</v>
      </c>
      <c r="B453" s="1" t="s">
        <v>10</v>
      </c>
      <c r="C453" s="1">
        <f t="array" ref="C453:N453">TRANSPOSE(B454:B465)</f>
        <v>48</v>
      </c>
      <c r="D453" s="1">
        <v>49</v>
      </c>
      <c r="E453" s="1">
        <v>50</v>
      </c>
      <c r="F453" s="1">
        <v>51</v>
      </c>
      <c r="G453" s="1">
        <v>54</v>
      </c>
      <c r="H453" s="1">
        <v>55</v>
      </c>
      <c r="I453" s="1">
        <v>56</v>
      </c>
      <c r="J453" s="1">
        <v>57</v>
      </c>
      <c r="K453" s="1">
        <v>58</v>
      </c>
      <c r="L453" s="1">
        <v>59</v>
      </c>
      <c r="M453" s="1">
        <v>60</v>
      </c>
      <c r="N453" s="1">
        <v>61</v>
      </c>
    </row>
    <row r="454" spans="1:16" x14ac:dyDescent="0.25">
      <c r="A454" s="24">
        <v>3</v>
      </c>
      <c r="B454" s="1">
        <f t="shared" ref="B454:B465" si="128">B27</f>
        <v>48</v>
      </c>
      <c r="C454" s="3">
        <f t="array" ref="C454:L463">(A_inv_11_matrix-(MMULT(MMULT(MMULT(MMULT(A_inv_11_matrix,Q_1_matrix),Q_1.A_11_inv.Q_1_inv),TRANSPOSE(Q_1_matrix)),A_inv_11_matrix)))/((r_3_scalar+r_1_scalar)^2)</f>
        <v>1.6328342763008274</v>
      </c>
      <c r="D454" s="3">
        <v>6.929110688557509E-4</v>
      </c>
      <c r="E454" s="3">
        <v>-1.6328342763008277</v>
      </c>
      <c r="F454" s="3">
        <v>-6.9291106885629062E-4</v>
      </c>
      <c r="G454" s="3">
        <v>0.15851706100119159</v>
      </c>
      <c r="H454" s="3">
        <v>-0.44709893131522216</v>
      </c>
      <c r="I454" s="3">
        <v>-0.15851706100119164</v>
      </c>
      <c r="J454" s="3">
        <v>0.44709893131522244</v>
      </c>
      <c r="K454" s="3">
        <v>2.2165911081925862E-16</v>
      </c>
      <c r="L454" s="3">
        <v>3.4694469519536132E-16</v>
      </c>
      <c r="M454" s="68"/>
      <c r="N454" s="68"/>
    </row>
    <row r="455" spans="1:16" x14ac:dyDescent="0.25">
      <c r="A455" s="24">
        <v>3</v>
      </c>
      <c r="B455" s="1">
        <f t="shared" si="128"/>
        <v>49</v>
      </c>
      <c r="C455" s="3">
        <v>6.9291106885567381E-4</v>
      </c>
      <c r="D455" s="3">
        <v>2.2085818640596058</v>
      </c>
      <c r="E455" s="3">
        <v>-6.9291106885613644E-4</v>
      </c>
      <c r="F455" s="3">
        <v>-2.2085818640596009</v>
      </c>
      <c r="G455" s="3">
        <v>-8.4485350296215733E-2</v>
      </c>
      <c r="H455" s="3">
        <v>0.38420645241916651</v>
      </c>
      <c r="I455" s="3">
        <v>8.4485350296211348E-2</v>
      </c>
      <c r="J455" s="3">
        <v>-0.38420645241916579</v>
      </c>
      <c r="K455" s="3">
        <v>-9.2518585385429679E-16</v>
      </c>
      <c r="L455" s="3">
        <v>-1.156482317317871E-16</v>
      </c>
      <c r="M455" s="68"/>
      <c r="N455" s="68"/>
    </row>
    <row r="456" spans="1:16" x14ac:dyDescent="0.25">
      <c r="A456" s="24">
        <v>3</v>
      </c>
      <c r="B456" s="1">
        <f t="shared" si="128"/>
        <v>50</v>
      </c>
      <c r="C456" s="3">
        <v>-1.6328342763008277</v>
      </c>
      <c r="D456" s="3">
        <v>-6.929110688563677E-4</v>
      </c>
      <c r="E456" s="3">
        <v>1.6328342763008272</v>
      </c>
      <c r="F456" s="3">
        <v>6.9291106885563522E-4</v>
      </c>
      <c r="G456" s="3">
        <v>-0.15851706100119167</v>
      </c>
      <c r="H456" s="3">
        <v>0.44709893131522255</v>
      </c>
      <c r="I456" s="3">
        <v>0.15851706100119237</v>
      </c>
      <c r="J456" s="3">
        <v>-0.44709893131522255</v>
      </c>
      <c r="K456" s="3">
        <v>7.7098821154524745E-17</v>
      </c>
      <c r="L456" s="3">
        <v>7.7098821154524745E-17</v>
      </c>
      <c r="M456" s="68"/>
      <c r="N456" s="68"/>
    </row>
    <row r="457" spans="1:16" x14ac:dyDescent="0.25">
      <c r="A457" s="24">
        <v>3</v>
      </c>
      <c r="B457" s="1">
        <f t="shared" si="128"/>
        <v>51</v>
      </c>
      <c r="C457" s="3">
        <v>-6.9291106885659896E-4</v>
      </c>
      <c r="D457" s="3">
        <v>-2.2085818640596031</v>
      </c>
      <c r="E457" s="3">
        <v>6.929110688557316E-4</v>
      </c>
      <c r="F457" s="3">
        <v>2.2085818640596044</v>
      </c>
      <c r="G457" s="3">
        <v>8.4485350296215039E-2</v>
      </c>
      <c r="H457" s="3">
        <v>-0.38420645241916479</v>
      </c>
      <c r="I457" s="3">
        <v>-8.4485350296215664E-2</v>
      </c>
      <c r="J457" s="3">
        <v>0.38420645241916673</v>
      </c>
      <c r="K457" s="3">
        <v>-6.1679056923619796E-16</v>
      </c>
      <c r="L457" s="3">
        <v>1.5419764230904949E-16</v>
      </c>
      <c r="M457" s="68"/>
      <c r="N457" s="68"/>
    </row>
    <row r="458" spans="1:16" x14ac:dyDescent="0.25">
      <c r="A458" s="24">
        <v>2</v>
      </c>
      <c r="B458" s="1">
        <f t="shared" si="128"/>
        <v>54</v>
      </c>
      <c r="C458" s="3">
        <v>0.15851706100119198</v>
      </c>
      <c r="D458" s="3">
        <v>-8.4485350296215525E-2</v>
      </c>
      <c r="E458" s="3">
        <v>-0.15851706100119192</v>
      </c>
      <c r="F458" s="3">
        <v>8.4485350296214581E-2</v>
      </c>
      <c r="G458" s="3">
        <v>1.6791523541550677</v>
      </c>
      <c r="H458" s="3">
        <v>-0.26118896862378732</v>
      </c>
      <c r="I458" s="3">
        <v>-1.679152354155065</v>
      </c>
      <c r="J458" s="3">
        <v>0.26118896862378704</v>
      </c>
      <c r="K458" s="3">
        <v>-1.9274705288631186E-16</v>
      </c>
      <c r="L458" s="3">
        <v>-6.1679056923619796E-16</v>
      </c>
      <c r="M458" s="68"/>
      <c r="N458" s="68"/>
    </row>
    <row r="459" spans="1:16" x14ac:dyDescent="0.25">
      <c r="A459" s="24">
        <v>2</v>
      </c>
      <c r="B459" s="1">
        <f t="shared" si="128"/>
        <v>55</v>
      </c>
      <c r="C459" s="3">
        <v>-0.44709893131522244</v>
      </c>
      <c r="D459" s="3">
        <v>0.38420645241916673</v>
      </c>
      <c r="E459" s="3">
        <v>0.44709893131522288</v>
      </c>
      <c r="F459" s="3">
        <v>-0.38420645241916518</v>
      </c>
      <c r="G459" s="3">
        <v>-0.26118896862378688</v>
      </c>
      <c r="H459" s="3">
        <v>1.6310686463416717</v>
      </c>
      <c r="I459" s="3">
        <v>0.26118896862378654</v>
      </c>
      <c r="J459" s="3">
        <v>-1.631068646341671</v>
      </c>
      <c r="K459" s="3">
        <v>-2.0961242001386413E-16</v>
      </c>
      <c r="L459" s="3">
        <v>-6.4570262716914468E-16</v>
      </c>
      <c r="M459" s="68"/>
      <c r="N459" s="68"/>
    </row>
    <row r="460" spans="1:16" x14ac:dyDescent="0.25">
      <c r="A460" s="24">
        <v>2</v>
      </c>
      <c r="B460" s="1">
        <f t="shared" si="128"/>
        <v>56</v>
      </c>
      <c r="C460" s="3">
        <v>-0.15851706100119178</v>
      </c>
      <c r="D460" s="3">
        <v>8.4485350296216899E-2</v>
      </c>
      <c r="E460" s="3">
        <v>0.15851706100119198</v>
      </c>
      <c r="F460" s="3">
        <v>-8.4485350296214429E-2</v>
      </c>
      <c r="G460" s="3">
        <v>-1.6791523541550666</v>
      </c>
      <c r="H460" s="3">
        <v>0.26118896862378665</v>
      </c>
      <c r="I460" s="3">
        <v>1.6791523541550646</v>
      </c>
      <c r="J460" s="3">
        <v>-0.26118896862378821</v>
      </c>
      <c r="K460" s="3">
        <v>-5.1162341437353045E-16</v>
      </c>
      <c r="L460" s="3">
        <v>1.0803026822372545E-16</v>
      </c>
      <c r="M460" s="68"/>
      <c r="N460" s="68"/>
    </row>
    <row r="461" spans="1:16" x14ac:dyDescent="0.25">
      <c r="A461" s="24">
        <v>2</v>
      </c>
      <c r="B461" s="1">
        <f t="shared" si="128"/>
        <v>57</v>
      </c>
      <c r="C461" s="3">
        <v>0.44709893131522305</v>
      </c>
      <c r="D461" s="3">
        <v>-0.38420645241916579</v>
      </c>
      <c r="E461" s="3">
        <v>-0.44709893131522227</v>
      </c>
      <c r="F461" s="3">
        <v>0.38420645241916634</v>
      </c>
      <c r="G461" s="3">
        <v>0.26118896862378715</v>
      </c>
      <c r="H461" s="3">
        <v>-1.6310686463416717</v>
      </c>
      <c r="I461" s="3">
        <v>-0.26118896862378749</v>
      </c>
      <c r="J461" s="3">
        <v>1.631068646341671</v>
      </c>
      <c r="K461" s="3">
        <v>0</v>
      </c>
      <c r="L461" s="3">
        <v>0</v>
      </c>
      <c r="M461" s="68"/>
      <c r="N461" s="68"/>
    </row>
    <row r="462" spans="1:16" x14ac:dyDescent="0.25">
      <c r="A462" s="24">
        <v>1</v>
      </c>
      <c r="B462" s="1">
        <f t="shared" si="128"/>
        <v>58</v>
      </c>
      <c r="C462" s="3">
        <v>5.8787851130325114E-16</v>
      </c>
      <c r="D462" s="3">
        <v>-1.2335811384723959E-15</v>
      </c>
      <c r="E462" s="3">
        <v>3.8549410577262371E-16</v>
      </c>
      <c r="F462" s="3">
        <v>-8.866364432770345E-16</v>
      </c>
      <c r="G462" s="3">
        <v>-5.3969174808167318E-16</v>
      </c>
      <c r="H462" s="3">
        <v>-5.4571509348437043E-16</v>
      </c>
      <c r="I462" s="3">
        <v>7.0490328186507482E-16</v>
      </c>
      <c r="J462" s="3">
        <v>3.8549410577262372E-17</v>
      </c>
      <c r="K462" s="3">
        <v>6.1679056923619796E-16</v>
      </c>
      <c r="L462" s="3">
        <v>3.8549410577262371E-16</v>
      </c>
      <c r="M462" s="68"/>
      <c r="N462" s="68"/>
    </row>
    <row r="463" spans="1:16" x14ac:dyDescent="0.25">
      <c r="A463" s="24">
        <v>1</v>
      </c>
      <c r="B463" s="1">
        <f t="shared" si="128"/>
        <v>59</v>
      </c>
      <c r="C463" s="3">
        <v>0</v>
      </c>
      <c r="D463" s="3">
        <v>-7.7098821154524745E-17</v>
      </c>
      <c r="E463" s="3">
        <v>3.8549410577262372E-17</v>
      </c>
      <c r="F463" s="3">
        <v>-1.5419764230904949E-16</v>
      </c>
      <c r="G463" s="3">
        <v>6.1679056923619796E-16</v>
      </c>
      <c r="H463" s="3">
        <v>-1.156482317317871E-16</v>
      </c>
      <c r="I463" s="3">
        <v>2.6433879044022505E-16</v>
      </c>
      <c r="J463" s="3">
        <v>7.7098821154524745E-17</v>
      </c>
      <c r="K463" s="3">
        <v>-1.5419764230904949E-16</v>
      </c>
      <c r="L463" s="3">
        <v>-1.2335811384723959E-15</v>
      </c>
      <c r="M463" s="68"/>
      <c r="N463" s="68"/>
    </row>
    <row r="464" spans="1:16" x14ac:dyDescent="0.25">
      <c r="A464" s="24">
        <v>1</v>
      </c>
      <c r="B464" s="1">
        <f t="shared" si="128"/>
        <v>60</v>
      </c>
      <c r="C464" s="68"/>
      <c r="D464" s="68"/>
      <c r="E464" s="68"/>
      <c r="F464" s="68"/>
      <c r="G464" s="68"/>
      <c r="H464" s="68"/>
      <c r="I464" s="68"/>
      <c r="J464" s="68"/>
      <c r="K464" s="68"/>
      <c r="L464" s="68"/>
      <c r="M464" s="68"/>
      <c r="N464" s="68"/>
    </row>
    <row r="465" spans="1:16" x14ac:dyDescent="0.25">
      <c r="A465" s="24">
        <v>1</v>
      </c>
      <c r="B465" s="1">
        <f t="shared" si="128"/>
        <v>61</v>
      </c>
      <c r="C465" s="68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</row>
    <row r="466" spans="1:16" x14ac:dyDescent="0.25">
      <c r="B466" s="24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8" spans="1:16" s="21" customFormat="1" x14ac:dyDescent="0.25">
      <c r="C468" s="7"/>
      <c r="L468"/>
      <c r="N468"/>
      <c r="P468"/>
    </row>
    <row r="469" spans="1:16" x14ac:dyDescent="0.25">
      <c r="C469" s="3">
        <f>C_scalar -L469-N469-P469</f>
        <v>0.32279998803124998</v>
      </c>
      <c r="L469">
        <f t="array" ref="L469">((r_3_scalar+r_1_scalar)^2) * MMULT(MMULT(TRANSPOSE(c_2_vector),A_22_matrix),c_2_vector)</f>
        <v>7.2363282812500009E-3</v>
      </c>
      <c r="N469">
        <f t="array" ref="N469">2*(r_3_scalar+r_1_scalar) * MMULT(MMULT(TRANSPOSE(c_2_vector),M_2_matrix),r_b_vector)</f>
        <v>4.0249633625000003E-2</v>
      </c>
      <c r="P469">
        <f t="array" ref="P469">MMULT(MMULT(TRANSPOSE(r_b_vector),A_bar_b_b),r_b_vector)</f>
        <v>7.9714050062500041E-2</v>
      </c>
    </row>
    <row r="470" spans="1:16" s="21" customFormat="1" x14ac:dyDescent="0.25"/>
    <row r="472" spans="1:16" s="21" customFormat="1" x14ac:dyDescent="0.25">
      <c r="C472" s="7"/>
      <c r="L472"/>
      <c r="N472"/>
    </row>
    <row r="473" spans="1:16" x14ac:dyDescent="0.25">
      <c r="B473">
        <f>B454</f>
        <v>48</v>
      </c>
      <c r="C473" s="3">
        <f>L473+N473</f>
        <v>7.0195312500000023E-2</v>
      </c>
      <c r="E473" s="38"/>
      <c r="L473" s="21">
        <f t="array" ref="L473:L482">((r_3_scalar+r_1_scalar)^2) * MMULT(A_12_matrix,c_2_vector)</f>
        <v>1.9218750000000003E-2</v>
      </c>
      <c r="N473">
        <f t="array" ref="N473:N482">(r_3_scalar+r_1_scalar) * MMULT(M_1_matrix,r_b_vector)</f>
        <v>5.0976562500000017E-2</v>
      </c>
    </row>
    <row r="474" spans="1:16" x14ac:dyDescent="0.25">
      <c r="B474">
        <f t="shared" ref="B474:B484" si="129">B455</f>
        <v>49</v>
      </c>
      <c r="C474" s="3">
        <f t="shared" ref="C474:C482" si="130">L474+N474</f>
        <v>0.15485595600000007</v>
      </c>
      <c r="E474" s="38"/>
      <c r="L474" s="21">
        <v>3.0878906250000008E-2</v>
      </c>
      <c r="N474">
        <v>0.12397704975000005</v>
      </c>
    </row>
    <row r="475" spans="1:16" x14ac:dyDescent="0.25">
      <c r="B475">
        <f t="shared" si="129"/>
        <v>50</v>
      </c>
      <c r="C475" s="3">
        <f t="shared" si="130"/>
        <v>7.3886716050000023E-2</v>
      </c>
      <c r="E475" s="38"/>
      <c r="L475" s="21">
        <v>1.3710937500000004E-2</v>
      </c>
      <c r="N475">
        <v>6.0175778550000017E-2</v>
      </c>
    </row>
    <row r="476" spans="1:16" x14ac:dyDescent="0.25">
      <c r="B476">
        <f t="shared" si="129"/>
        <v>51</v>
      </c>
      <c r="C476" s="3">
        <f t="shared" si="130"/>
        <v>0.11316650437500003</v>
      </c>
      <c r="E476" s="38"/>
      <c r="L476" s="21">
        <v>2.1884765625000004E-2</v>
      </c>
      <c r="N476">
        <v>9.1281738750000035E-2</v>
      </c>
    </row>
    <row r="477" spans="1:16" x14ac:dyDescent="0.25">
      <c r="B477">
        <f t="shared" si="129"/>
        <v>54</v>
      </c>
      <c r="C477" s="3">
        <f t="shared" si="130"/>
        <v>0.12492187537500003</v>
      </c>
      <c r="E477" s="38"/>
      <c r="L477" s="21">
        <v>1.9541015625000005E-2</v>
      </c>
      <c r="N477">
        <v>0.10538085975000003</v>
      </c>
    </row>
    <row r="478" spans="1:16" x14ac:dyDescent="0.25">
      <c r="B478">
        <f t="shared" si="129"/>
        <v>55</v>
      </c>
      <c r="C478" s="3">
        <f t="shared" si="130"/>
        <v>6.197754060000002E-2</v>
      </c>
      <c r="E478" s="38"/>
      <c r="L478" s="21">
        <v>1.2421875000000002E-2</v>
      </c>
      <c r="N478">
        <v>4.9555665600000014E-2</v>
      </c>
    </row>
    <row r="479" spans="1:16" x14ac:dyDescent="0.25">
      <c r="B479">
        <f t="shared" si="129"/>
        <v>56</v>
      </c>
      <c r="C479" s="3">
        <f t="shared" si="130"/>
        <v>0.14057372943750004</v>
      </c>
      <c r="E479" s="38"/>
      <c r="L479" s="21">
        <v>2.6381835937500004E-2</v>
      </c>
      <c r="N479">
        <v>0.11419189350000004</v>
      </c>
    </row>
    <row r="480" spans="1:16" x14ac:dyDescent="0.25">
      <c r="B480">
        <f t="shared" si="129"/>
        <v>57</v>
      </c>
      <c r="C480" s="3">
        <f t="shared" si="130"/>
        <v>0.13957031038125003</v>
      </c>
      <c r="E480" s="38"/>
      <c r="L480" s="21">
        <v>2.5891113281250006E-2</v>
      </c>
      <c r="N480">
        <v>0.11367919710000003</v>
      </c>
    </row>
    <row r="481" spans="1:21" x14ac:dyDescent="0.25">
      <c r="B481">
        <f t="shared" si="129"/>
        <v>58</v>
      </c>
      <c r="C481" s="3">
        <f t="shared" si="130"/>
        <v>0.16942749240000005</v>
      </c>
      <c r="E481" s="38"/>
      <c r="L481" s="21">
        <v>3.2871093750000011E-2</v>
      </c>
      <c r="N481">
        <v>0.13655639865000005</v>
      </c>
    </row>
    <row r="482" spans="1:21" x14ac:dyDescent="0.25">
      <c r="B482">
        <f t="shared" si="129"/>
        <v>59</v>
      </c>
      <c r="C482" s="3">
        <f t="shared" si="130"/>
        <v>0.15890625228750005</v>
      </c>
      <c r="E482" s="38"/>
      <c r="L482" s="21">
        <v>2.6850585937500008E-2</v>
      </c>
      <c r="N482">
        <v>0.13205566635000004</v>
      </c>
    </row>
    <row r="483" spans="1:21" x14ac:dyDescent="0.25">
      <c r="B483">
        <f t="shared" si="129"/>
        <v>60</v>
      </c>
      <c r="C483" s="68"/>
      <c r="E483" s="38"/>
    </row>
    <row r="484" spans="1:21" x14ac:dyDescent="0.25">
      <c r="B484">
        <f t="shared" si="129"/>
        <v>61</v>
      </c>
      <c r="C484" s="68"/>
    </row>
    <row r="486" spans="1:21" s="21" customFormat="1" x14ac:dyDescent="0.25">
      <c r="A486"/>
      <c r="C486" s="7"/>
      <c r="M486"/>
      <c r="P486"/>
      <c r="R486"/>
      <c r="U486"/>
    </row>
    <row r="487" spans="1:21" x14ac:dyDescent="0.25">
      <c r="C487" s="3">
        <f>M487/(K_scalar +P487 - R487 - U487)</f>
        <v>29.0590567852528</v>
      </c>
      <c r="D487" s="85" t="s">
        <v>67</v>
      </c>
      <c r="M487" s="21">
        <f t="array" ref="M487">0.25*MMULT(MMULT(TRANSPOSE(EBV_1_vector),R_11_matrix),EBV_1_vector)</f>
        <v>0.67333802370144658</v>
      </c>
      <c r="P487">
        <f t="array" ref="P487">MMULT(MMULT(TRANSPOSE(P_vector),R_11_matrix),P_vector)</f>
        <v>1.0844385235206351E-2</v>
      </c>
      <c r="R487">
        <f t="array" ref="R487">((r_3_scalar+r_1_scalar)^2) * MMULT(MMULT(TRANSPOSE(s_1_vector),Q_1.A_11_inv.Q_1_inv),s_1_vector)</f>
        <v>0.10680474820317631</v>
      </c>
      <c r="U487">
        <f t="array" ref="U487">2*MMULT(MMULT(MMULT(MMULT(TRANSPOSE(s_1_vector),Q_1.A_11_inv.Q_1_inv),TRANSPOSE(Q_1_matrix)),A_inv_11_matrix),P_vector)</f>
        <v>0.20366825963743596</v>
      </c>
    </row>
    <row r="490" spans="1:21" x14ac:dyDescent="0.25">
      <c r="B490" s="6"/>
      <c r="C490" s="3">
        <f>SQRT(C487)</f>
        <v>5.3906453032315902</v>
      </c>
    </row>
    <row r="491" spans="1:21" x14ac:dyDescent="0.25">
      <c r="A491" s="4"/>
    </row>
    <row r="492" spans="1:21" s="28" customFormat="1" x14ac:dyDescent="0.25">
      <c r="A492" s="29" t="s">
        <v>7</v>
      </c>
    </row>
    <row r="493" spans="1:21" s="6" customFormat="1" x14ac:dyDescent="0.25"/>
    <row r="494" spans="1:21" s="21" customFormat="1" x14ac:dyDescent="0.25">
      <c r="A494" s="7"/>
      <c r="B494" s="7"/>
    </row>
    <row r="495" spans="1:21" x14ac:dyDescent="0.25">
      <c r="A495" s="6"/>
    </row>
    <row r="496" spans="1:21" s="21" customFormat="1" x14ac:dyDescent="0.25">
      <c r="A496"/>
      <c r="C496" s="7">
        <f t="shared" ref="C496:N496" si="131">D419</f>
        <v>48</v>
      </c>
      <c r="D496" s="7">
        <f t="shared" si="131"/>
        <v>49</v>
      </c>
      <c r="E496" s="7">
        <f t="shared" si="131"/>
        <v>50</v>
      </c>
      <c r="F496" s="7">
        <f t="shared" si="131"/>
        <v>51</v>
      </c>
      <c r="G496" s="7">
        <f t="shared" si="131"/>
        <v>54</v>
      </c>
      <c r="H496" s="7">
        <f t="shared" si="131"/>
        <v>55</v>
      </c>
      <c r="I496" s="7">
        <f t="shared" si="131"/>
        <v>56</v>
      </c>
      <c r="J496" s="7">
        <f t="shared" si="131"/>
        <v>57</v>
      </c>
      <c r="K496" s="7">
        <f t="shared" si="131"/>
        <v>58</v>
      </c>
      <c r="L496" s="7">
        <f t="shared" si="131"/>
        <v>59</v>
      </c>
      <c r="M496" s="7">
        <f t="shared" si="131"/>
        <v>60</v>
      </c>
      <c r="N496" s="7">
        <f t="shared" si="131"/>
        <v>61</v>
      </c>
    </row>
    <row r="497" spans="1:16" x14ac:dyDescent="0.25">
      <c r="A497" s="6"/>
      <c r="B497" s="1" t="str">
        <f t="array" ref="B497:B502">TRANSPOSE(D227:I227)</f>
        <v>male_3</v>
      </c>
      <c r="C497" s="3">
        <f t="array" ref="C497:L502">MMULT(TRANSPOSE(Q_1_matrix),A_inv_11_matrix)</f>
        <v>-0.21445274649585194</v>
      </c>
      <c r="D497" s="3">
        <v>2.9245679858046114</v>
      </c>
      <c r="E497" s="3">
        <v>-8.0857839320454983E-2</v>
      </c>
      <c r="F497" s="3">
        <v>2.0042255516069476</v>
      </c>
      <c r="G497" s="3">
        <v>-6.7490391274925121E-2</v>
      </c>
      <c r="H497" s="3">
        <v>-6.5603334262950633E-3</v>
      </c>
      <c r="I497" s="3">
        <v>-2.2857137224235955</v>
      </c>
      <c r="J497" s="3">
        <v>-0.84837664822203873</v>
      </c>
      <c r="K497" s="3">
        <v>-0.94113009892037058</v>
      </c>
      <c r="L497" s="3">
        <v>-5.6764856086176887E-2</v>
      </c>
      <c r="M497" s="68"/>
      <c r="N497" s="68"/>
    </row>
    <row r="498" spans="1:16" x14ac:dyDescent="0.25">
      <c r="A498" s="6"/>
      <c r="B498" s="1" t="str">
        <v>male_2</v>
      </c>
      <c r="C498" s="3">
        <v>-0.71876155254540253</v>
      </c>
      <c r="D498" s="3">
        <v>-0.78286347104857734</v>
      </c>
      <c r="E498" s="3">
        <v>-0.40033681592481046</v>
      </c>
      <c r="F498" s="3">
        <v>-7.2073510599756335E-2</v>
      </c>
      <c r="G498" s="3">
        <v>-0.1169785247982878</v>
      </c>
      <c r="H498" s="3">
        <v>1.4100220248699333</v>
      </c>
      <c r="I498" s="3">
        <v>-9.7707083616952421E-8</v>
      </c>
      <c r="J498" s="3">
        <v>1.5561236496015682</v>
      </c>
      <c r="K498" s="3">
        <v>-9.8548461645774424E-2</v>
      </c>
      <c r="L498" s="3">
        <v>-0.14466925007303763</v>
      </c>
      <c r="M498" s="68"/>
      <c r="N498" s="68"/>
    </row>
    <row r="499" spans="1:16" x14ac:dyDescent="0.25">
      <c r="A499" s="6"/>
      <c r="B499" s="1" t="str">
        <v>male_1</v>
      </c>
      <c r="C499" s="3">
        <v>3.1394023839542366E-2</v>
      </c>
      <c r="D499" s="3">
        <v>7.8783632856695471E-2</v>
      </c>
      <c r="E499" s="3">
        <v>-6.5359096313039544E-2</v>
      </c>
      <c r="F499" s="3">
        <v>-0.13554848894287239</v>
      </c>
      <c r="G499" s="3">
        <v>-1.0948681341639366</v>
      </c>
      <c r="H499" s="3">
        <v>1.7841589509977739E-2</v>
      </c>
      <c r="I499" s="3">
        <v>-6.4874121241345043E-9</v>
      </c>
      <c r="J499" s="3">
        <v>-0.16251083958301538</v>
      </c>
      <c r="K499" s="3">
        <v>-0.23228284220653586</v>
      </c>
      <c r="L499" s="3">
        <v>1.6188895023221206</v>
      </c>
      <c r="M499" s="68"/>
      <c r="N499" s="68"/>
    </row>
    <row r="500" spans="1:16" x14ac:dyDescent="0.25">
      <c r="A500" s="6"/>
      <c r="B500" s="1" t="str">
        <v>female_3</v>
      </c>
      <c r="C500" s="3">
        <v>1.454135975737969</v>
      </c>
      <c r="D500" s="3">
        <v>-0.12237552919791064</v>
      </c>
      <c r="E500" s="3">
        <v>1.1485772523853646</v>
      </c>
      <c r="F500" s="3">
        <v>-0.17293505661839617</v>
      </c>
      <c r="G500" s="3">
        <v>-0.13201237186643963</v>
      </c>
      <c r="H500" s="3">
        <v>-0.91942654012277336</v>
      </c>
      <c r="I500" s="3">
        <v>-3.3749781236149345E-8</v>
      </c>
      <c r="J500" s="3">
        <v>-0.19967182834743955</v>
      </c>
      <c r="K500" s="3">
        <v>-1.2262182991026264E-2</v>
      </c>
      <c r="L500" s="3">
        <v>-3.3965072473497199E-2</v>
      </c>
      <c r="M500" s="68"/>
      <c r="N500" s="68"/>
    </row>
    <row r="501" spans="1:16" x14ac:dyDescent="0.25">
      <c r="A501" s="6"/>
      <c r="B501" s="1" t="str">
        <v>female_2</v>
      </c>
      <c r="C501" s="3">
        <v>-1.6045422250058824E-2</v>
      </c>
      <c r="D501" s="3">
        <v>-1.1716600948890941</v>
      </c>
      <c r="E501" s="3">
        <v>-0.11596698336616205</v>
      </c>
      <c r="F501" s="3">
        <v>-1.1815440188094264</v>
      </c>
      <c r="G501" s="3">
        <v>1.908376183098208</v>
      </c>
      <c r="H501" s="3">
        <v>-8.5368158082230999E-2</v>
      </c>
      <c r="I501" s="3">
        <v>2.285714016776673</v>
      </c>
      <c r="J501" s="3">
        <v>-3.1610464423140396E-2</v>
      </c>
      <c r="K501" s="3">
        <v>-3.5052790389804432E-2</v>
      </c>
      <c r="L501" s="3">
        <v>-1.0948681406513485</v>
      </c>
      <c r="M501" s="68"/>
      <c r="N501" s="68"/>
    </row>
    <row r="502" spans="1:16" x14ac:dyDescent="0.25">
      <c r="A502" s="6"/>
      <c r="B502" s="1" t="str">
        <v>female_1</v>
      </c>
      <c r="C502" s="3">
        <v>1.8155042474612457E-2</v>
      </c>
      <c r="D502" s="3">
        <v>-0.83004662519189476</v>
      </c>
      <c r="E502" s="3">
        <v>-3.0417225465638714E-2</v>
      </c>
      <c r="F502" s="3">
        <v>-0.1110834737284756</v>
      </c>
      <c r="G502" s="3">
        <v>-3.5052682832078859E-2</v>
      </c>
      <c r="H502" s="3">
        <v>-3.2469155654863673E-3</v>
      </c>
      <c r="I502" s="3">
        <v>-1.0755772559089946E-7</v>
      </c>
      <c r="J502" s="3">
        <v>-9.5301546080288083E-2</v>
      </c>
      <c r="K502" s="3">
        <v>1.5544791280487844</v>
      </c>
      <c r="L502" s="3">
        <v>-0.232282842206536</v>
      </c>
      <c r="M502" s="68"/>
      <c r="N502" s="68"/>
    </row>
    <row r="503" spans="1:16" x14ac:dyDescent="0.25">
      <c r="A503" s="6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 spans="1:16" s="21" customFormat="1" x14ac:dyDescent="0.25">
      <c r="C504"/>
      <c r="L504"/>
      <c r="N504"/>
      <c r="P504"/>
    </row>
    <row r="505" spans="1:16" x14ac:dyDescent="0.25">
      <c r="B505" s="1">
        <f t="shared" ref="B505:B516" si="132">B473</f>
        <v>48</v>
      </c>
      <c r="C505" s="3">
        <f t="array" ref="C505:C514">(EBV_1_vector-Lambda_0*(L505:L514+N505:N514))</f>
        <v>10.343203936726002</v>
      </c>
      <c r="L505">
        <f t="array" ref="L505:L514">2*((r_3_scalar+r_1_scalar)^2)*MMULT(A_12_matrix,c_2_vector)</f>
        <v>3.8437500000000006E-2</v>
      </c>
      <c r="N505">
        <f t="array" ref="N505:N514">2*(r_3_scalar+r_1_scalar)*MMULT(M_1_matrix,r_b_vector)</f>
        <v>0.10195312500000003</v>
      </c>
      <c r="P505">
        <f t="array" ref="P505">2*Lambda_0*((r_3_scalar+r_1_scalar)^2)</f>
        <v>3.8812646183267461</v>
      </c>
    </row>
    <row r="506" spans="1:16" x14ac:dyDescent="0.25">
      <c r="B506" s="1">
        <f t="shared" si="132"/>
        <v>49</v>
      </c>
      <c r="C506" s="3">
        <v>11.830452936222324</v>
      </c>
      <c r="L506">
        <v>6.1757812500000016E-2</v>
      </c>
      <c r="N506">
        <v>0.24795409950000011</v>
      </c>
    </row>
    <row r="507" spans="1:16" x14ac:dyDescent="0.25">
      <c r="B507" s="1">
        <f t="shared" si="132"/>
        <v>50</v>
      </c>
      <c r="C507" s="3">
        <v>10.603405842307723</v>
      </c>
      <c r="L507">
        <v>2.7421875000000009E-2</v>
      </c>
      <c r="N507">
        <v>0.12035155710000003</v>
      </c>
    </row>
    <row r="508" spans="1:16" x14ac:dyDescent="0.25">
      <c r="B508" s="1">
        <f t="shared" si="132"/>
        <v>51</v>
      </c>
      <c r="C508" s="3">
        <v>11.479919029415537</v>
      </c>
      <c r="L508">
        <v>4.3769531250000007E-2</v>
      </c>
      <c r="N508">
        <v>0.18256347750000007</v>
      </c>
    </row>
    <row r="509" spans="1:16" x14ac:dyDescent="0.25">
      <c r="A509" s="6"/>
      <c r="B509" s="1">
        <f t="shared" si="132"/>
        <v>54</v>
      </c>
      <c r="C509" s="3">
        <v>10.253180958477747</v>
      </c>
      <c r="L509">
        <v>3.908203125000001E-2</v>
      </c>
      <c r="N509">
        <v>0.21076171950000006</v>
      </c>
    </row>
    <row r="510" spans="1:16" x14ac:dyDescent="0.25">
      <c r="A510" s="6"/>
      <c r="B510" s="1">
        <f t="shared" si="132"/>
        <v>55</v>
      </c>
      <c r="C510" s="3">
        <v>10.93180212371753</v>
      </c>
      <c r="L510">
        <v>2.4843750000000005E-2</v>
      </c>
      <c r="N510">
        <v>9.9111331200000027E-2</v>
      </c>
    </row>
    <row r="511" spans="1:16" x14ac:dyDescent="0.25">
      <c r="A511" s="6"/>
      <c r="B511" s="1">
        <f t="shared" si="132"/>
        <v>56</v>
      </c>
      <c r="C511" s="3">
        <v>10.484433771299985</v>
      </c>
      <c r="L511">
        <v>5.2763671875000008E-2</v>
      </c>
      <c r="N511">
        <v>0.22838378700000009</v>
      </c>
    </row>
    <row r="512" spans="1:16" x14ac:dyDescent="0.25">
      <c r="A512" s="6"/>
      <c r="B512" s="1">
        <f t="shared" si="132"/>
        <v>57</v>
      </c>
      <c r="C512" s="3">
        <v>11.195251923745477</v>
      </c>
      <c r="L512">
        <v>5.1782226562500012E-2</v>
      </c>
      <c r="N512">
        <v>0.22735839420000006</v>
      </c>
    </row>
    <row r="513" spans="1:14" x14ac:dyDescent="0.25">
      <c r="A513" s="6"/>
      <c r="B513" s="1">
        <f t="shared" si="132"/>
        <v>58</v>
      </c>
      <c r="C513" s="3">
        <v>10.273352967711267</v>
      </c>
      <c r="L513">
        <v>6.5742187500000021E-2</v>
      </c>
      <c r="N513">
        <v>0.2731127973000001</v>
      </c>
    </row>
    <row r="514" spans="1:14" x14ac:dyDescent="0.25">
      <c r="A514" s="6"/>
      <c r="B514" s="1">
        <f t="shared" si="132"/>
        <v>59</v>
      </c>
      <c r="C514" s="3">
        <v>11.186785514904507</v>
      </c>
      <c r="L514">
        <v>5.3701171875000016E-2</v>
      </c>
      <c r="N514">
        <v>0.26411133270000009</v>
      </c>
    </row>
    <row r="515" spans="1:14" x14ac:dyDescent="0.25">
      <c r="A515" s="6"/>
      <c r="B515" s="1">
        <f t="shared" si="132"/>
        <v>60</v>
      </c>
      <c r="C515" s="68"/>
    </row>
    <row r="516" spans="1:14" x14ac:dyDescent="0.25">
      <c r="A516" s="6"/>
      <c r="B516" s="1">
        <f t="shared" si="132"/>
        <v>61</v>
      </c>
      <c r="C516" s="68"/>
    </row>
    <row r="517" spans="1:14" x14ac:dyDescent="0.25">
      <c r="A517" s="6"/>
      <c r="B517" s="1"/>
    </row>
    <row r="518" spans="1:14" x14ac:dyDescent="0.25">
      <c r="E518" s="38"/>
    </row>
    <row r="519" spans="1:14" x14ac:dyDescent="0.25">
      <c r="A519" s="1"/>
      <c r="B519" s="1" t="str">
        <f t="shared" ref="B519:B524" si="133">B271</f>
        <v>male_3</v>
      </c>
      <c r="C519" s="3">
        <f t="array" ref="C519:C524">MMULT(Q_1.A_11_inv.Q_1_inv,(MMULT(Q1.A11_inv,Part_2)-P505*s_1_vector))</f>
        <v>10.256672216438476</v>
      </c>
      <c r="D519" s="38"/>
      <c r="E519" s="38"/>
    </row>
    <row r="520" spans="1:14" x14ac:dyDescent="0.25">
      <c r="A520" s="1"/>
      <c r="B520" s="1" t="str">
        <f t="shared" si="133"/>
        <v>male_2</v>
      </c>
      <c r="C520" s="3">
        <v>9.9042316798828089</v>
      </c>
      <c r="D520" s="38"/>
      <c r="E520" s="38"/>
    </row>
    <row r="521" spans="1:14" x14ac:dyDescent="0.25">
      <c r="A521" s="1"/>
      <c r="B521" s="1" t="str">
        <f t="shared" si="133"/>
        <v>male_1</v>
      </c>
      <c r="C521" s="3">
        <v>9.4660823435952803</v>
      </c>
      <c r="D521" s="38"/>
      <c r="E521" s="38"/>
    </row>
    <row r="522" spans="1:14" x14ac:dyDescent="0.25">
      <c r="A522" s="1"/>
      <c r="B522" s="1" t="str">
        <f t="shared" si="133"/>
        <v>female_3</v>
      </c>
      <c r="C522" s="3">
        <v>9.6180736832513727</v>
      </c>
      <c r="D522" s="38"/>
      <c r="E522" s="38"/>
    </row>
    <row r="523" spans="1:14" x14ac:dyDescent="0.25">
      <c r="A523" s="1"/>
      <c r="B523" s="1" t="str">
        <f t="shared" si="133"/>
        <v>female_2</v>
      </c>
      <c r="C523" s="3">
        <v>8.9164579357581157</v>
      </c>
      <c r="D523" s="38"/>
      <c r="E523" s="38"/>
    </row>
    <row r="524" spans="1:14" x14ac:dyDescent="0.25">
      <c r="A524" s="1"/>
      <c r="B524" s="1" t="str">
        <f t="shared" si="133"/>
        <v>female_1</v>
      </c>
      <c r="C524" s="3">
        <v>8.5500773391386637</v>
      </c>
      <c r="D524" s="38"/>
      <c r="E524" s="38"/>
    </row>
    <row r="525" spans="1:14" x14ac:dyDescent="0.25">
      <c r="A525" s="4"/>
      <c r="D525" s="38"/>
      <c r="E525" s="38"/>
    </row>
    <row r="526" spans="1:14" s="28" customFormat="1" ht="18" x14ac:dyDescent="0.35">
      <c r="A526" s="29" t="s">
        <v>39</v>
      </c>
    </row>
    <row r="528" spans="1:14" s="21" customFormat="1" x14ac:dyDescent="0.25">
      <c r="A528"/>
    </row>
    <row r="529" spans="1:7" s="21" customFormat="1" x14ac:dyDescent="0.25">
      <c r="A529" s="7"/>
    </row>
    <row r="530" spans="1:7" x14ac:dyDescent="0.25">
      <c r="C530" s="1"/>
    </row>
    <row r="531" spans="1:7" x14ac:dyDescent="0.25">
      <c r="B531" s="1" t="str">
        <f t="shared" ref="B531:D543" si="134">A419</f>
        <v>sex</v>
      </c>
      <c r="C531" s="1" t="str">
        <f t="shared" si="134"/>
        <v>age (t)</v>
      </c>
      <c r="D531" s="1" t="str">
        <f t="shared" si="134"/>
        <v>id</v>
      </c>
    </row>
    <row r="532" spans="1:7" x14ac:dyDescent="0.25">
      <c r="B532" s="1" t="str">
        <f t="shared" si="134"/>
        <v>female</v>
      </c>
      <c r="C532" s="1">
        <f t="shared" si="134"/>
        <v>3</v>
      </c>
      <c r="D532" s="1">
        <f t="shared" si="134"/>
        <v>48</v>
      </c>
      <c r="E532" s="3">
        <f t="array" ref="E532:E541">MMULT(A_inv_11_matrix,(Part_2-MMULT(Q_1_matrix,Lambda)))/P505</f>
        <v>2.5141129384074534E-2</v>
      </c>
      <c r="G532" s="4" t="s">
        <v>75</v>
      </c>
    </row>
    <row r="533" spans="1:7" x14ac:dyDescent="0.25">
      <c r="B533" s="1" t="str">
        <f t="shared" si="134"/>
        <v>male</v>
      </c>
      <c r="C533" s="1">
        <f t="shared" si="134"/>
        <v>3</v>
      </c>
      <c r="D533" s="1">
        <f t="shared" si="134"/>
        <v>49</v>
      </c>
      <c r="E533" s="3">
        <v>6.861843872490446E-2</v>
      </c>
    </row>
    <row r="534" spans="1:7" x14ac:dyDescent="0.25">
      <c r="B534" s="1" t="str">
        <f t="shared" si="134"/>
        <v>female</v>
      </c>
      <c r="C534" s="1">
        <f t="shared" si="134"/>
        <v>3</v>
      </c>
      <c r="D534" s="1">
        <f t="shared" si="134"/>
        <v>50</v>
      </c>
      <c r="E534" s="3">
        <v>5.8192203949258649E-2</v>
      </c>
    </row>
    <row r="535" spans="1:7" x14ac:dyDescent="0.25">
      <c r="B535" s="1" t="str">
        <f t="shared" si="134"/>
        <v>male</v>
      </c>
      <c r="C535" s="1">
        <f t="shared" si="134"/>
        <v>3</v>
      </c>
      <c r="D535" s="1">
        <f t="shared" si="134"/>
        <v>51</v>
      </c>
      <c r="E535" s="3">
        <v>1.4714894608425243E-2</v>
      </c>
    </row>
    <row r="536" spans="1:7" x14ac:dyDescent="0.25">
      <c r="B536" s="1" t="str">
        <f t="shared" si="134"/>
        <v>female</v>
      </c>
      <c r="C536" s="1">
        <f t="shared" si="134"/>
        <v>2</v>
      </c>
      <c r="D536" s="1">
        <f t="shared" si="134"/>
        <v>54</v>
      </c>
      <c r="E536" s="3">
        <v>6.6868805035592921E-2</v>
      </c>
    </row>
    <row r="537" spans="1:7" x14ac:dyDescent="0.25">
      <c r="B537" s="1" t="str">
        <f t="shared" si="134"/>
        <v>male</v>
      </c>
      <c r="C537" s="1">
        <f t="shared" si="134"/>
        <v>2</v>
      </c>
      <c r="D537" s="1">
        <f t="shared" si="134"/>
        <v>55</v>
      </c>
      <c r="E537" s="3">
        <v>0.16335411164530234</v>
      </c>
    </row>
    <row r="538" spans="1:7" x14ac:dyDescent="0.25">
      <c r="B538" s="1" t="str">
        <f t="shared" si="134"/>
        <v>female</v>
      </c>
      <c r="C538" s="1">
        <f t="shared" si="134"/>
        <v>2</v>
      </c>
      <c r="D538" s="1">
        <f t="shared" si="134"/>
        <v>56</v>
      </c>
      <c r="E538" s="3">
        <v>9.9797861631078538E-2</v>
      </c>
    </row>
    <row r="539" spans="1:7" x14ac:dyDescent="0.25">
      <c r="B539" s="1" t="str">
        <f t="shared" si="134"/>
        <v>male</v>
      </c>
      <c r="C539" s="1">
        <f t="shared" si="134"/>
        <v>2</v>
      </c>
      <c r="D539" s="1">
        <f t="shared" si="134"/>
        <v>57</v>
      </c>
      <c r="E539" s="3">
        <v>3.3125550213638955E-3</v>
      </c>
    </row>
    <row r="540" spans="1:7" x14ac:dyDescent="0.25">
      <c r="B540" s="1" t="str">
        <f t="shared" si="134"/>
        <v>female</v>
      </c>
      <c r="C540" s="1">
        <f t="shared" si="134"/>
        <v>1</v>
      </c>
      <c r="D540" s="1">
        <f t="shared" si="134"/>
        <v>58</v>
      </c>
      <c r="E540" s="3">
        <v>0.16666666666666644</v>
      </c>
    </row>
    <row r="541" spans="1:7" x14ac:dyDescent="0.25">
      <c r="B541" s="1" t="str">
        <f t="shared" si="134"/>
        <v>male</v>
      </c>
      <c r="C541" s="1">
        <f t="shared" si="134"/>
        <v>1</v>
      </c>
      <c r="D541" s="1">
        <f t="shared" si="134"/>
        <v>59</v>
      </c>
      <c r="E541" s="3">
        <v>0.16666666666666521</v>
      </c>
    </row>
    <row r="542" spans="1:7" x14ac:dyDescent="0.25">
      <c r="B542" s="1" t="str">
        <f t="shared" si="134"/>
        <v>female</v>
      </c>
      <c r="C542" s="1">
        <f t="shared" si="134"/>
        <v>1</v>
      </c>
      <c r="D542" s="1">
        <f t="shared" si="134"/>
        <v>60</v>
      </c>
      <c r="E542" s="68">
        <f t="array" ref="E542:E543">c_2_vector</f>
        <v>8.3333333333333329E-2</v>
      </c>
    </row>
    <row r="543" spans="1:7" x14ac:dyDescent="0.25">
      <c r="B543" s="1" t="str">
        <f t="shared" si="134"/>
        <v>male</v>
      </c>
      <c r="C543" s="1">
        <f t="shared" si="134"/>
        <v>1</v>
      </c>
      <c r="D543" s="1">
        <f t="shared" si="134"/>
        <v>61</v>
      </c>
      <c r="E543" s="68">
        <v>8.3333333333333329E-2</v>
      </c>
    </row>
    <row r="544" spans="1:7" x14ac:dyDescent="0.25">
      <c r="A544" s="4"/>
    </row>
    <row r="545" spans="1:18" s="28" customFormat="1" x14ac:dyDescent="0.25">
      <c r="A545" s="29" t="s">
        <v>8</v>
      </c>
    </row>
    <row r="547" spans="1:18" x14ac:dyDescent="0.25">
      <c r="A547" t="s">
        <v>9</v>
      </c>
    </row>
    <row r="549" spans="1:18" x14ac:dyDescent="0.25">
      <c r="B549" s="1"/>
      <c r="C549" s="3">
        <f>J549+O549+R549</f>
        <v>0.4500000000726409</v>
      </c>
      <c r="J549" s="21">
        <f t="array" ref="J549">((r_3_scalar+r_1_scalar)^2)*MMULT(MMULT(TRANSPOSE(c_vector),A_matrix),c_vector)</f>
        <v>0.15740261825160645</v>
      </c>
      <c r="K549" s="21"/>
      <c r="O549" s="21">
        <f t="array" ref="O549">2*(r_3_scalar+r_1_scalar)*(MMULT(MMULT(TRANSPOSE(c_1_vector),M_1_matrix),r_b_vector) + MMULT(MMULT(TRANSPOSE(c_2_vector),M_2_matrix),r_b_vector))</f>
        <v>0.21288333175853441</v>
      </c>
      <c r="P549" s="21"/>
      <c r="Q549" s="21"/>
      <c r="R549" s="21">
        <f t="array" ref="R549">MMULT(MMULT(TRANSPOSE(r_b_vector),A_bar_b_b),r_b_vector)</f>
        <v>7.9714050062500041E-2</v>
      </c>
    </row>
    <row r="550" spans="1:18" x14ac:dyDescent="0.25">
      <c r="A550" t="s">
        <v>18</v>
      </c>
      <c r="B550" s="1"/>
    </row>
    <row r="552" spans="1:18" x14ac:dyDescent="0.25">
      <c r="B552" t="str">
        <f>B519</f>
        <v>male_3</v>
      </c>
      <c r="C552" s="3">
        <f t="array" ref="C552:C557">MMULT(TRANSPOSE(Q_matrix),c_vector)</f>
        <v>8.3333333333329707E-2</v>
      </c>
    </row>
    <row r="553" spans="1:18" x14ac:dyDescent="0.25">
      <c r="B553" t="str">
        <f t="shared" ref="B553:B557" si="135">B520</f>
        <v>male_2</v>
      </c>
      <c r="C553" s="3">
        <v>0.16666666666666624</v>
      </c>
    </row>
    <row r="554" spans="1:18" x14ac:dyDescent="0.25">
      <c r="B554" t="str">
        <f t="shared" si="135"/>
        <v>male_1</v>
      </c>
      <c r="C554" s="3">
        <v>0.24999999999999856</v>
      </c>
    </row>
    <row r="555" spans="1:18" x14ac:dyDescent="0.25">
      <c r="B555" t="str">
        <f t="shared" si="135"/>
        <v>female_3</v>
      </c>
      <c r="C555" s="3">
        <v>8.3333333333333176E-2</v>
      </c>
    </row>
    <row r="556" spans="1:18" x14ac:dyDescent="0.25">
      <c r="B556" t="str">
        <f t="shared" si="135"/>
        <v>female_2</v>
      </c>
      <c r="C556" s="3">
        <v>0.16666666666667146</v>
      </c>
    </row>
    <row r="557" spans="1:18" x14ac:dyDescent="0.25">
      <c r="B557" t="str">
        <f t="shared" si="135"/>
        <v>female_1</v>
      </c>
      <c r="C557" s="3">
        <v>0.24999999999999978</v>
      </c>
    </row>
    <row r="558" spans="1:18" x14ac:dyDescent="0.25">
      <c r="A558" t="s">
        <v>68</v>
      </c>
    </row>
    <row r="560" spans="1:18" x14ac:dyDescent="0.25">
      <c r="C560" s="3">
        <f t="array" ref="C560">MMULT(TRANSPOSE(c_vector),EBV_vector)</f>
        <v>12.232582034007281</v>
      </c>
      <c r="D560" t="s">
        <v>1</v>
      </c>
    </row>
    <row r="562" spans="1:15" s="28" customFormat="1" x14ac:dyDescent="0.25">
      <c r="A562" s="29" t="s">
        <v>71</v>
      </c>
    </row>
    <row r="563" spans="1:15" s="21" customFormat="1" x14ac:dyDescent="0.25">
      <c r="A563" s="99"/>
    </row>
    <row r="564" spans="1:15" x14ac:dyDescent="0.25">
      <c r="A564" s="1" t="s">
        <v>72</v>
      </c>
      <c r="B564" s="1"/>
    </row>
    <row r="565" spans="1:15" x14ac:dyDescent="0.25">
      <c r="B565" s="30"/>
      <c r="C565" s="31" t="str">
        <f t="array" ref="C565:H565">TRANSPOSE(B444:B449)</f>
        <v>male_3</v>
      </c>
      <c r="D565" s="31" t="str">
        <v>male_2</v>
      </c>
      <c r="E565" s="31" t="str">
        <v>male_1</v>
      </c>
      <c r="F565" s="31" t="str">
        <v>female_3</v>
      </c>
      <c r="G565" s="31" t="str">
        <v>female_2</v>
      </c>
      <c r="H565" s="31" t="str">
        <v>female_1</v>
      </c>
      <c r="I565" s="31"/>
      <c r="O565" s="1"/>
    </row>
    <row r="566" spans="1:15" x14ac:dyDescent="0.25">
      <c r="C566" s="34">
        <f>E533+E535</f>
        <v>8.3333333333329707E-2</v>
      </c>
      <c r="D566" s="35">
        <f>E537+E539</f>
        <v>0.16666666666666624</v>
      </c>
      <c r="E566" s="36">
        <f>E541+E543</f>
        <v>0.24999999999999856</v>
      </c>
      <c r="F566" s="35">
        <f>E532+E534</f>
        <v>8.3333333333333176E-2</v>
      </c>
      <c r="G566" s="35">
        <f>E536+E538</f>
        <v>0.16666666666667146</v>
      </c>
      <c r="H566" s="36">
        <f>E540+E542</f>
        <v>0.24999999999999978</v>
      </c>
      <c r="M566" s="1"/>
    </row>
    <row r="567" spans="1:15" x14ac:dyDescent="0.25">
      <c r="C567" s="22"/>
      <c r="D567" s="22"/>
      <c r="E567" s="22"/>
      <c r="F567" s="22"/>
      <c r="G567" s="22"/>
      <c r="H567" s="22"/>
      <c r="I567" s="22"/>
      <c r="M567" s="1"/>
    </row>
    <row r="568" spans="1:15" x14ac:dyDescent="0.25">
      <c r="A568" s="1" t="s">
        <v>73</v>
      </c>
      <c r="F568" s="22"/>
      <c r="G568" s="22"/>
      <c r="H568" s="22"/>
      <c r="I568" s="22"/>
      <c r="M568" s="1"/>
    </row>
    <row r="569" spans="1:15" x14ac:dyDescent="0.25">
      <c r="C569" s="96"/>
      <c r="D569" s="96"/>
      <c r="F569" s="22"/>
      <c r="G569" s="22"/>
      <c r="H569" s="22"/>
      <c r="I569" s="22"/>
      <c r="M569" s="1"/>
    </row>
    <row r="570" spans="1:15" x14ac:dyDescent="0.25">
      <c r="C570" s="20">
        <f>2*(1*E566+2*D566+3*C566)</f>
        <v>1.6666666666666403</v>
      </c>
      <c r="D570" s="20">
        <f>2*(1*H566+2*G566+3*F566)</f>
        <v>1.6666666666666845</v>
      </c>
      <c r="F570" s="22"/>
      <c r="G570" s="22"/>
      <c r="H570" s="22"/>
      <c r="I570" s="22"/>
      <c r="M570" s="1"/>
    </row>
    <row r="571" spans="1:15" x14ac:dyDescent="0.25">
      <c r="F571" s="22"/>
      <c r="G571" s="22"/>
      <c r="H571" s="22"/>
      <c r="I571" s="22"/>
      <c r="M571" s="1"/>
    </row>
    <row r="572" spans="1:15" x14ac:dyDescent="0.25">
      <c r="B572" t="s">
        <v>74</v>
      </c>
      <c r="C572" s="22"/>
      <c r="D572" s="22"/>
      <c r="E572" s="22"/>
      <c r="F572" s="22"/>
      <c r="G572" s="22"/>
      <c r="H572" s="22"/>
      <c r="I572" s="22"/>
    </row>
    <row r="573" spans="1:15" x14ac:dyDescent="0.25">
      <c r="C573" s="97"/>
      <c r="D573" s="19">
        <f>SUM(C566)/C570</f>
        <v>4.9999999999998615E-2</v>
      </c>
      <c r="F573" s="22"/>
      <c r="G573" s="22"/>
      <c r="H573" s="22"/>
      <c r="I573" s="22"/>
      <c r="M573" s="1"/>
    </row>
    <row r="574" spans="1:15" x14ac:dyDescent="0.25">
      <c r="C574" s="32"/>
      <c r="D574" s="27">
        <f>SUM(C566:D566)/C570</f>
        <v>0.14999999999999994</v>
      </c>
      <c r="F574" s="22"/>
      <c r="G574" s="22"/>
      <c r="H574" s="22"/>
      <c r="I574" s="22"/>
    </row>
    <row r="575" spans="1:15" x14ac:dyDescent="0.25">
      <c r="C575" s="96"/>
      <c r="D575" s="27">
        <f>SUM(C566:E566)/C570</f>
        <v>0.30000000000000143</v>
      </c>
      <c r="F575" s="22"/>
      <c r="G575" s="22"/>
      <c r="H575" s="22"/>
      <c r="I575" s="22"/>
    </row>
    <row r="576" spans="1:15" x14ac:dyDescent="0.25">
      <c r="C576" s="97"/>
      <c r="D576" s="19">
        <f>SUM(F566)/D570</f>
        <v>4.9999999999999371E-2</v>
      </c>
      <c r="F576" s="22"/>
      <c r="G576" s="22"/>
      <c r="H576" s="22"/>
      <c r="I576" s="22"/>
    </row>
    <row r="577" spans="1:19" x14ac:dyDescent="0.25">
      <c r="C577" s="32"/>
      <c r="D577" s="27">
        <f>SUM(F566:G566)/D570</f>
        <v>0.15000000000000119</v>
      </c>
      <c r="F577" s="22"/>
      <c r="G577" s="22"/>
      <c r="H577" s="22"/>
      <c r="I577" s="22"/>
      <c r="M577" s="1"/>
    </row>
    <row r="578" spans="1:19" x14ac:dyDescent="0.25">
      <c r="C578" s="96"/>
      <c r="D578" s="27">
        <f>SUM(F566:H566)/D570</f>
        <v>0.29999999999999943</v>
      </c>
      <c r="F578" s="22"/>
      <c r="G578" s="22"/>
      <c r="H578" s="22"/>
      <c r="I578" s="22"/>
    </row>
    <row r="579" spans="1:19" x14ac:dyDescent="0.25">
      <c r="F579" s="22"/>
      <c r="G579" s="22"/>
      <c r="H579" s="22"/>
      <c r="I579" s="22"/>
      <c r="M579" s="1"/>
    </row>
    <row r="580" spans="1:19" s="21" customFormat="1" x14ac:dyDescent="0.25">
      <c r="C580" s="97"/>
      <c r="D580" s="19">
        <f>D573</f>
        <v>4.9999999999998615E-2</v>
      </c>
      <c r="E580"/>
      <c r="F580" s="22"/>
      <c r="G580" s="22"/>
      <c r="H580" s="22"/>
      <c r="I580" s="22"/>
    </row>
    <row r="581" spans="1:19" s="21" customFormat="1" x14ac:dyDescent="0.25">
      <c r="C581" s="98"/>
      <c r="D581" s="33">
        <f>D574</f>
        <v>0.14999999999999994</v>
      </c>
      <c r="E581"/>
      <c r="F581" s="22"/>
      <c r="G581" s="22"/>
      <c r="H581" s="22"/>
      <c r="I581" s="22"/>
    </row>
    <row r="582" spans="1:19" s="21" customFormat="1" x14ac:dyDescent="0.25">
      <c r="C582" s="98"/>
      <c r="D582" s="33">
        <f>D576</f>
        <v>4.9999999999999371E-2</v>
      </c>
      <c r="E582"/>
      <c r="F582" s="22"/>
      <c r="G582" s="22"/>
      <c r="H582" s="22"/>
      <c r="I582" s="22"/>
    </row>
    <row r="583" spans="1:19" s="21" customFormat="1" x14ac:dyDescent="0.25">
      <c r="C583" s="32"/>
      <c r="D583" s="27">
        <f>D577</f>
        <v>0.15000000000000119</v>
      </c>
      <c r="F583" s="22"/>
      <c r="G583" s="22"/>
      <c r="H583" s="22"/>
      <c r="I583" s="22"/>
    </row>
    <row r="584" spans="1:19" s="21" customFormat="1" x14ac:dyDescent="0.25">
      <c r="C584" s="97"/>
      <c r="D584" s="19">
        <f>D575</f>
        <v>0.30000000000000143</v>
      </c>
      <c r="F584" s="22"/>
      <c r="G584" s="22"/>
      <c r="H584" s="22"/>
      <c r="I584" s="22"/>
    </row>
    <row r="585" spans="1:19" s="21" customFormat="1" x14ac:dyDescent="0.25">
      <c r="C585" s="32"/>
      <c r="D585" s="27">
        <f>D578</f>
        <v>0.29999999999999943</v>
      </c>
      <c r="F585" s="22"/>
      <c r="G585" s="22"/>
      <c r="H585" s="22"/>
      <c r="I585" s="22"/>
    </row>
    <row r="586" spans="1:19" x14ac:dyDescent="0.25">
      <c r="B586" s="1"/>
    </row>
    <row r="587" spans="1:19" s="28" customFormat="1" x14ac:dyDescent="0.25">
      <c r="A587" s="29" t="s">
        <v>54</v>
      </c>
    </row>
    <row r="588" spans="1:19" x14ac:dyDescent="0.25">
      <c r="A588" s="1"/>
      <c r="Q588" s="30"/>
      <c r="R588" s="30"/>
      <c r="S588" s="30"/>
    </row>
    <row r="589" spans="1:19" x14ac:dyDescent="0.25">
      <c r="A589" t="s">
        <v>61</v>
      </c>
    </row>
    <row r="590" spans="1:19" x14ac:dyDescent="0.25">
      <c r="A590" s="5" t="s">
        <v>33</v>
      </c>
      <c r="Q590" s="30"/>
      <c r="R590" s="30"/>
      <c r="S590" s="30"/>
    </row>
    <row r="591" spans="1:19" x14ac:dyDescent="0.25">
      <c r="A591" t="s">
        <v>76</v>
      </c>
    </row>
    <row r="592" spans="1:19" x14ac:dyDescent="0.25">
      <c r="A592" t="s">
        <v>35</v>
      </c>
      <c r="Q592" s="30"/>
      <c r="R592" s="30"/>
      <c r="S592" s="30"/>
    </row>
    <row r="593" spans="1:19" x14ac:dyDescent="0.25">
      <c r="A593" s="5" t="s">
        <v>34</v>
      </c>
      <c r="Q593" s="30"/>
      <c r="R593" s="30"/>
      <c r="S593" s="30"/>
    </row>
  </sheetData>
  <sheetProtection sheet="1" objects="1" scenarios="1"/>
  <conditionalFormatting sqref="AD370:AO381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F420:AQ4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showInputMessage="1" showErrorMessage="1" sqref="B3">
      <formula1>$I$3:$I$4</formula1>
    </dataValidation>
  </dataValidations>
  <pageMargins left="0.7" right="0.7" top="0.75" bottom="0.75" header="0.3" footer="0.3"/>
  <pageSetup paperSize="9" scale="37" fitToHeight="0" orientation="portrait" horizontalDpi="90" verticalDpi="9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09595FD435024E860D3C9254E4CFFC" ma:contentTypeVersion="11" ma:contentTypeDescription="Create a new document." ma:contentTypeScope="" ma:versionID="eb2ceffb6ae1bedd54820a0b569fa9a7">
  <xsd:schema xmlns:xsd="http://www.w3.org/2001/XMLSchema" xmlns:xs="http://www.w3.org/2001/XMLSchema" xmlns:p="http://schemas.microsoft.com/office/2006/metadata/properties" xmlns:ns3="8cf79437-2820-4a47-9c89-b0af8c000c21" xmlns:ns4="6959584d-bc98-4ad3-a0ba-aa9540825cc7" targetNamespace="http://schemas.microsoft.com/office/2006/metadata/properties" ma:root="true" ma:fieldsID="2378c423050a15bc673d778938f2bd0c" ns3:_="" ns4:_="">
    <xsd:import namespace="8cf79437-2820-4a47-9c89-b0af8c000c21"/>
    <xsd:import namespace="6959584d-bc98-4ad3-a0ba-aa9540825cc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79437-2820-4a47-9c89-b0af8c000c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59584d-bc98-4ad3-a0ba-aa9540825cc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6DC27F-9215-4A43-8EF3-5D5863899E3E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6959584d-bc98-4ad3-a0ba-aa9540825cc7"/>
    <ds:schemaRef ds:uri="8cf79437-2820-4a47-9c89-b0af8c000c21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ED86A79-08C3-4733-85AC-0321BC38D6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f79437-2820-4a47-9c89-b0af8c000c21"/>
    <ds:schemaRef ds:uri="6959584d-bc98-4ad3-a0ba-aa9540825c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475B4F9-F9AC-415A-BB2C-9824AA8355B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67</vt:i4>
      </vt:variant>
    </vt:vector>
  </HeadingPairs>
  <TitlesOfParts>
    <vt:vector size="68" baseType="lpstr">
      <vt:lpstr>Optimal contributions example</vt:lpstr>
      <vt:lpstr>A_11_matrix</vt:lpstr>
      <vt:lpstr>A_12_matrix</vt:lpstr>
      <vt:lpstr>A_1b_matrix</vt:lpstr>
      <vt:lpstr>A_21_matrix</vt:lpstr>
      <vt:lpstr>A_22_matrix</vt:lpstr>
      <vt:lpstr>A_2b_matrix</vt:lpstr>
      <vt:lpstr>A_bar_b_b</vt:lpstr>
      <vt:lpstr>A_bar_b_b_Hamilton_matrix</vt:lpstr>
      <vt:lpstr>A_bar_b_b_Meuwissen_matrix</vt:lpstr>
      <vt:lpstr>A_c1f_matrix</vt:lpstr>
      <vt:lpstr>A_c2f_matrix</vt:lpstr>
      <vt:lpstr>A_fam</vt:lpstr>
      <vt:lpstr>A_for_A_bar_bb_matrix</vt:lpstr>
      <vt:lpstr>A_inv_11_matrix</vt:lpstr>
      <vt:lpstr>A_matrix</vt:lpstr>
      <vt:lpstr>Ap_11_inv_matrix</vt:lpstr>
      <vt:lpstr>Ap_11_matrix</vt:lpstr>
      <vt:lpstr>Ap_matrix</vt:lpstr>
      <vt:lpstr>c_1_vector</vt:lpstr>
      <vt:lpstr>c_2</vt:lpstr>
      <vt:lpstr>c_2_vector</vt:lpstr>
      <vt:lpstr>C_scalar</vt:lpstr>
      <vt:lpstr>c_vector</vt:lpstr>
      <vt:lpstr>d_1_inv_matrix</vt:lpstr>
      <vt:lpstr>d_1_matrix</vt:lpstr>
      <vt:lpstr>d_inv_matrix</vt:lpstr>
      <vt:lpstr>d_inv_vector</vt:lpstr>
      <vt:lpstr>d_matrix</vt:lpstr>
      <vt:lpstr>d_vector</vt:lpstr>
      <vt:lpstr>EBV_1_vector</vt:lpstr>
      <vt:lpstr>EBV_2_vector</vt:lpstr>
      <vt:lpstr>EBV_vector</vt:lpstr>
      <vt:lpstr>J_1</vt:lpstr>
      <vt:lpstr>J_1_matrix</vt:lpstr>
      <vt:lpstr>J_2_matrix</vt:lpstr>
      <vt:lpstr>J_f_matrix</vt:lpstr>
      <vt:lpstr>J_matrix</vt:lpstr>
      <vt:lpstr>K_scalar</vt:lpstr>
      <vt:lpstr>L_matrix</vt:lpstr>
      <vt:lpstr>Lambda</vt:lpstr>
      <vt:lpstr>Lambda_0</vt:lpstr>
      <vt:lpstr>M_1_Hamilton_matrix</vt:lpstr>
      <vt:lpstr>M_1_matrix</vt:lpstr>
      <vt:lpstr>M_1_Meuwissen_matrix</vt:lpstr>
      <vt:lpstr>M_2_Hamilton_matrix</vt:lpstr>
      <vt:lpstr>M_2_matrix</vt:lpstr>
      <vt:lpstr>M_2_Meuwissen_matrix</vt:lpstr>
      <vt:lpstr>P_vector</vt:lpstr>
      <vt:lpstr>Part_2</vt:lpstr>
      <vt:lpstr>Pt</vt:lpstr>
      <vt:lpstr>Q_1.A_11_inv.Q_1</vt:lpstr>
      <vt:lpstr>Q_1.A_11_inv.Q_1_inv</vt:lpstr>
      <vt:lpstr>Q_1_matrix</vt:lpstr>
      <vt:lpstr>Q_2_matrix</vt:lpstr>
      <vt:lpstr>Q_matrix</vt:lpstr>
      <vt:lpstr>q_scalar</vt:lpstr>
      <vt:lpstr>Q1.A11_inv</vt:lpstr>
      <vt:lpstr>r_1_scalar</vt:lpstr>
      <vt:lpstr>R_11_matrix</vt:lpstr>
      <vt:lpstr>r_3_scalar</vt:lpstr>
      <vt:lpstr>r_a_vector</vt:lpstr>
      <vt:lpstr>r_b_vector</vt:lpstr>
      <vt:lpstr>rb_vector</vt:lpstr>
      <vt:lpstr>s_1_vector</vt:lpstr>
      <vt:lpstr>V_inv_matrix</vt:lpstr>
      <vt:lpstr>Z_1_matrix</vt:lpstr>
      <vt:lpstr>Z_matrix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Hamilton, Matthew (Agriculture, Hobart)</dc:creator>
  <cp:lastModifiedBy>Hamilton, Matthew (WorldFish)</cp:lastModifiedBy>
  <cp:lastPrinted>2015-12-08T05:22:19Z</cp:lastPrinted>
  <dcterms:created xsi:type="dcterms:W3CDTF">2015-09-07T05:39:46Z</dcterms:created>
  <dcterms:modified xsi:type="dcterms:W3CDTF">2020-07-14T09:40:59Z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0x0101000209595FD435024E860D3C9254E4CFFC</vt:lpwstr>
  </property>
</Properties>
</file>