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elgietzmann-sanders/schooling/population_dynamics/lab_6/"/>
    </mc:Choice>
  </mc:AlternateContent>
  <xr:revisionPtr revIDLastSave="0" documentId="13_ncr:1_{ACA714F7-E7F9-D344-A89C-87857C3AC21E}" xr6:coauthVersionLast="47" xr6:coauthVersionMax="47" xr10:uidLastSave="{00000000-0000-0000-0000-000000000000}"/>
  <bookViews>
    <workbookView xWindow="28800" yWindow="-1400" windowWidth="38400" windowHeight="21600" xr2:uid="{00000000-000D-0000-FFFF-FFFF00000000}"/>
  </bookViews>
  <sheets>
    <sheet name="Sheet1" sheetId="1" r:id="rId1"/>
  </sheets>
  <definedNames>
    <definedName name="Age">Sheet1!$F$3:$AN$3</definedName>
    <definedName name="CapLim">Sheet1!$B$19</definedName>
    <definedName name="CapLim_SD">Sheet1!$B$20</definedName>
    <definedName name="D">Sheet1!$B$25</definedName>
    <definedName name="Fec">Sheet1!$F$10:$AN$10</definedName>
    <definedName name="K">Sheet1!$B$6</definedName>
    <definedName name="Linf">Sheet1!$B$5</definedName>
    <definedName name="Lmat">Sheet1!$B$12</definedName>
    <definedName name="LowLim">Sheet1!$B$15</definedName>
    <definedName name="LowLim_SD">Sheet1!$B$16</definedName>
    <definedName name="lwa">Sheet1!$B$9</definedName>
    <definedName name="lwb">Sheet1!$B$10</definedName>
    <definedName name="M">Sheet1!$B$22</definedName>
    <definedName name="M_50">Sheet1!$B$37</definedName>
    <definedName name="M_SD">Sheet1!$B$38</definedName>
    <definedName name="Mem_Catch">Sheet1!$B$33</definedName>
    <definedName name="Memorable">Sheet1!$F$11:$AN$11</definedName>
    <definedName name="phivbf">Sheet1!$B$30</definedName>
    <definedName name="phivbo">Sheet1!$B$29</definedName>
    <definedName name="So">Sheet1!$B$23</definedName>
    <definedName name="SPR">Sheet1!$B$32</definedName>
    <definedName name="Surv_f">Sheet1!$F$9:$AN$9</definedName>
    <definedName name="Surv_uf">Sheet1!$F$8:$AN$8</definedName>
    <definedName name="TL">Sheet1!$F$4:$AN$4</definedName>
    <definedName name="tnot">Sheet1!$B$7</definedName>
    <definedName name="U">Sheet1!$B$24</definedName>
    <definedName name="UpLim">Sheet1!$B$17</definedName>
    <definedName name="UpLim_SD">Sheet1!$B$18</definedName>
    <definedName name="Vul_cap">Sheet1!$F$7:$AN$7</definedName>
    <definedName name="Vul_harv">Sheet1!$F$6:$AN$6</definedName>
    <definedName name="Wmat">Sheet1!$B$13</definedName>
    <definedName name="Wt">Sheet1!$F$5:$AN$5</definedName>
    <definedName name="Yield">Sheet1!$B$31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D27" i="1" l="1"/>
  <c r="BE27" i="1"/>
  <c r="AZ28" i="1"/>
  <c r="BA28" i="1"/>
  <c r="BH28" i="1"/>
  <c r="BI28" i="1"/>
  <c r="BD29" i="1"/>
  <c r="BE29" i="1"/>
  <c r="AZ30" i="1"/>
  <c r="BA30" i="1"/>
  <c r="BH30" i="1"/>
  <c r="BI30" i="1"/>
  <c r="BD31" i="1"/>
  <c r="BE31" i="1"/>
  <c r="AZ32" i="1"/>
  <c r="BA32" i="1"/>
  <c r="BH32" i="1"/>
  <c r="BI32" i="1"/>
  <c r="BD33" i="1"/>
  <c r="BE33" i="1"/>
  <c r="AZ38" i="1"/>
  <c r="AZ27" i="1" s="1"/>
  <c r="BA38" i="1"/>
  <c r="BA27" i="1" s="1"/>
  <c r="BB38" i="1"/>
  <c r="BB27" i="1" s="1"/>
  <c r="BC38" i="1"/>
  <c r="BC27" i="1" s="1"/>
  <c r="BD38" i="1"/>
  <c r="BE38" i="1"/>
  <c r="BF38" i="1"/>
  <c r="BF27" i="1" s="1"/>
  <c r="BG38" i="1"/>
  <c r="BG27" i="1" s="1"/>
  <c r="BH38" i="1"/>
  <c r="BH27" i="1" s="1"/>
  <c r="BI38" i="1"/>
  <c r="BI27" i="1" s="1"/>
  <c r="BJ38" i="1"/>
  <c r="BJ27" i="1" s="1"/>
  <c r="BK38" i="1"/>
  <c r="BK27" i="1" s="1"/>
  <c r="AZ39" i="1"/>
  <c r="BA39" i="1"/>
  <c r="BB39" i="1"/>
  <c r="BB28" i="1" s="1"/>
  <c r="BC39" i="1"/>
  <c r="BC28" i="1" s="1"/>
  <c r="BD39" i="1"/>
  <c r="BD28" i="1" s="1"/>
  <c r="BE39" i="1"/>
  <c r="BE28" i="1" s="1"/>
  <c r="BF39" i="1"/>
  <c r="BF28" i="1" s="1"/>
  <c r="BG39" i="1"/>
  <c r="BG28" i="1" s="1"/>
  <c r="BH39" i="1"/>
  <c r="BI39" i="1"/>
  <c r="BJ39" i="1"/>
  <c r="BJ28" i="1" s="1"/>
  <c r="BK39" i="1"/>
  <c r="BK28" i="1" s="1"/>
  <c r="AZ40" i="1"/>
  <c r="AZ29" i="1" s="1"/>
  <c r="BA40" i="1"/>
  <c r="BA29" i="1" s="1"/>
  <c r="BB40" i="1"/>
  <c r="BB29" i="1" s="1"/>
  <c r="BC40" i="1"/>
  <c r="BC29" i="1" s="1"/>
  <c r="BD40" i="1"/>
  <c r="BE40" i="1"/>
  <c r="BF40" i="1"/>
  <c r="BF29" i="1" s="1"/>
  <c r="BG40" i="1"/>
  <c r="BG29" i="1" s="1"/>
  <c r="BH40" i="1"/>
  <c r="BH29" i="1" s="1"/>
  <c r="BI40" i="1"/>
  <c r="BI29" i="1" s="1"/>
  <c r="BJ40" i="1"/>
  <c r="BJ29" i="1" s="1"/>
  <c r="BK40" i="1"/>
  <c r="BK29" i="1" s="1"/>
  <c r="AZ41" i="1"/>
  <c r="BA41" i="1"/>
  <c r="BB41" i="1"/>
  <c r="BB30" i="1" s="1"/>
  <c r="BC41" i="1"/>
  <c r="BC30" i="1" s="1"/>
  <c r="BD41" i="1"/>
  <c r="BD30" i="1" s="1"/>
  <c r="BE41" i="1"/>
  <c r="BE30" i="1" s="1"/>
  <c r="BF41" i="1"/>
  <c r="BF30" i="1" s="1"/>
  <c r="BG41" i="1"/>
  <c r="BG30" i="1" s="1"/>
  <c r="BH41" i="1"/>
  <c r="BI41" i="1"/>
  <c r="BJ41" i="1"/>
  <c r="BJ30" i="1" s="1"/>
  <c r="BK41" i="1"/>
  <c r="BK30" i="1" s="1"/>
  <c r="AZ42" i="1"/>
  <c r="AZ31" i="1" s="1"/>
  <c r="BA42" i="1"/>
  <c r="BA31" i="1" s="1"/>
  <c r="BB42" i="1"/>
  <c r="BB31" i="1" s="1"/>
  <c r="BC42" i="1"/>
  <c r="BC31" i="1" s="1"/>
  <c r="BD42" i="1"/>
  <c r="BE42" i="1"/>
  <c r="BF42" i="1"/>
  <c r="BF31" i="1" s="1"/>
  <c r="BG42" i="1"/>
  <c r="BG31" i="1" s="1"/>
  <c r="BH42" i="1"/>
  <c r="BH31" i="1" s="1"/>
  <c r="BI42" i="1"/>
  <c r="BI31" i="1" s="1"/>
  <c r="BJ42" i="1"/>
  <c r="BJ31" i="1" s="1"/>
  <c r="BK42" i="1"/>
  <c r="BK31" i="1" s="1"/>
  <c r="AZ43" i="1"/>
  <c r="BA43" i="1"/>
  <c r="BB43" i="1"/>
  <c r="BB32" i="1" s="1"/>
  <c r="BC43" i="1"/>
  <c r="BC32" i="1" s="1"/>
  <c r="BD43" i="1"/>
  <c r="BD32" i="1" s="1"/>
  <c r="BE43" i="1"/>
  <c r="BE32" i="1" s="1"/>
  <c r="BF43" i="1"/>
  <c r="BF32" i="1" s="1"/>
  <c r="BG43" i="1"/>
  <c r="BG32" i="1" s="1"/>
  <c r="BH43" i="1"/>
  <c r="BI43" i="1"/>
  <c r="BJ43" i="1"/>
  <c r="BJ32" i="1" s="1"/>
  <c r="BK43" i="1"/>
  <c r="BK32" i="1" s="1"/>
  <c r="AZ44" i="1"/>
  <c r="AZ33" i="1" s="1"/>
  <c r="BA44" i="1"/>
  <c r="BA33" i="1" s="1"/>
  <c r="BB44" i="1"/>
  <c r="BB33" i="1" s="1"/>
  <c r="BC44" i="1"/>
  <c r="BC33" i="1" s="1"/>
  <c r="BD44" i="1"/>
  <c r="BE44" i="1"/>
  <c r="BF44" i="1"/>
  <c r="BF33" i="1" s="1"/>
  <c r="BG44" i="1"/>
  <c r="BG33" i="1" s="1"/>
  <c r="BH44" i="1"/>
  <c r="BH33" i="1" s="1"/>
  <c r="BI44" i="1"/>
  <c r="BI33" i="1" s="1"/>
  <c r="BJ44" i="1"/>
  <c r="BJ33" i="1" s="1"/>
  <c r="BK44" i="1"/>
  <c r="BK33" i="1" s="1"/>
  <c r="BA37" i="1"/>
  <c r="BB37" i="1"/>
  <c r="BC37" i="1"/>
  <c r="BD37" i="1"/>
  <c r="BE37" i="1"/>
  <c r="BF37" i="1"/>
  <c r="BG37" i="1"/>
  <c r="BG26" i="1" s="1"/>
  <c r="BH37" i="1"/>
  <c r="BH26" i="1" s="1"/>
  <c r="BI37" i="1"/>
  <c r="BJ37" i="1"/>
  <c r="BK37" i="1"/>
  <c r="AZ37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A15" i="1"/>
  <c r="BB15" i="1"/>
  <c r="BC15" i="1"/>
  <c r="BD15" i="1"/>
  <c r="BD26" i="1" s="1"/>
  <c r="BE15" i="1"/>
  <c r="BE26" i="1" s="1"/>
  <c r="BF15" i="1"/>
  <c r="BG15" i="1"/>
  <c r="BH15" i="1"/>
  <c r="BI15" i="1"/>
  <c r="BJ15" i="1"/>
  <c r="BK15" i="1"/>
  <c r="AZ15" i="1"/>
  <c r="AN113" i="1"/>
  <c r="AM113" i="1"/>
  <c r="AN112" i="1"/>
  <c r="AM112" i="1"/>
  <c r="AN111" i="1"/>
  <c r="AM111" i="1"/>
  <c r="AN110" i="1"/>
  <c r="AM110" i="1"/>
  <c r="AN109" i="1"/>
  <c r="AM109" i="1"/>
  <c r="AN108" i="1"/>
  <c r="AM108" i="1"/>
  <c r="AN107" i="1"/>
  <c r="AM107" i="1"/>
  <c r="AN106" i="1"/>
  <c r="AM106" i="1"/>
  <c r="AN105" i="1"/>
  <c r="AM105" i="1"/>
  <c r="AN104" i="1"/>
  <c r="AM104" i="1"/>
  <c r="AN103" i="1"/>
  <c r="AM103" i="1"/>
  <c r="AN102" i="1"/>
  <c r="AM102" i="1"/>
  <c r="AN101" i="1"/>
  <c r="AM101" i="1"/>
  <c r="AN100" i="1"/>
  <c r="AM100" i="1"/>
  <c r="AN99" i="1"/>
  <c r="AM99" i="1"/>
  <c r="AN98" i="1"/>
  <c r="AM98" i="1"/>
  <c r="AN97" i="1"/>
  <c r="AM97" i="1"/>
  <c r="AN96" i="1"/>
  <c r="AM96" i="1"/>
  <c r="AN95" i="1"/>
  <c r="AM95" i="1"/>
  <c r="AN94" i="1"/>
  <c r="AM94" i="1"/>
  <c r="AN93" i="1"/>
  <c r="AM93" i="1"/>
  <c r="AN92" i="1"/>
  <c r="AM92" i="1"/>
  <c r="AN91" i="1"/>
  <c r="AM91" i="1"/>
  <c r="AN90" i="1"/>
  <c r="AM90" i="1"/>
  <c r="AN89" i="1"/>
  <c r="AM89" i="1"/>
  <c r="AN88" i="1"/>
  <c r="AM88" i="1"/>
  <c r="AN87" i="1"/>
  <c r="AM87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52" i="1"/>
  <c r="B38" i="1"/>
  <c r="B20" i="1"/>
  <c r="B18" i="1"/>
  <c r="B16" i="1"/>
  <c r="V74" i="1"/>
  <c r="V75" i="1"/>
  <c r="V76" i="1"/>
  <c r="V77" i="1"/>
  <c r="V78" i="1"/>
  <c r="V79" i="1"/>
  <c r="V80" i="1"/>
  <c r="V81" i="1"/>
  <c r="V82" i="1"/>
  <c r="V83" i="1"/>
  <c r="V63" i="1"/>
  <c r="V64" i="1"/>
  <c r="V65" i="1"/>
  <c r="V66" i="1"/>
  <c r="V67" i="1"/>
  <c r="V68" i="1"/>
  <c r="V69" i="1"/>
  <c r="V70" i="1"/>
  <c r="V71" i="1"/>
  <c r="V72" i="1"/>
  <c r="V73" i="1"/>
  <c r="V50" i="1"/>
  <c r="V51" i="1"/>
  <c r="V52" i="1"/>
  <c r="V53" i="1"/>
  <c r="V54" i="1"/>
  <c r="V55" i="1"/>
  <c r="V56" i="1"/>
  <c r="V57" i="1"/>
  <c r="V58" i="1"/>
  <c r="V59" i="1"/>
  <c r="V39" i="1"/>
  <c r="V40" i="1"/>
  <c r="V41" i="1"/>
  <c r="V42" i="1"/>
  <c r="V43" i="1"/>
  <c r="V44" i="1"/>
  <c r="V45" i="1"/>
  <c r="V46" i="1"/>
  <c r="V47" i="1"/>
  <c r="V48" i="1"/>
  <c r="V49" i="1"/>
  <c r="E74" i="1"/>
  <c r="E75" i="1"/>
  <c r="E76" i="1"/>
  <c r="E77" i="1"/>
  <c r="E78" i="1"/>
  <c r="E79" i="1"/>
  <c r="E80" i="1"/>
  <c r="E81" i="1"/>
  <c r="E82" i="1"/>
  <c r="E83" i="1"/>
  <c r="E63" i="1"/>
  <c r="E64" i="1"/>
  <c r="E65" i="1"/>
  <c r="E66" i="1"/>
  <c r="E67" i="1"/>
  <c r="E68" i="1"/>
  <c r="E69" i="1"/>
  <c r="E70" i="1"/>
  <c r="E71" i="1"/>
  <c r="E72" i="1"/>
  <c r="E73" i="1"/>
  <c r="E49" i="1"/>
  <c r="E50" i="1"/>
  <c r="E51" i="1"/>
  <c r="E52" i="1"/>
  <c r="E53" i="1"/>
  <c r="E54" i="1"/>
  <c r="E55" i="1"/>
  <c r="E56" i="1"/>
  <c r="E57" i="1"/>
  <c r="E58" i="1"/>
  <c r="E39" i="1"/>
  <c r="E40" i="1"/>
  <c r="E41" i="1"/>
  <c r="E42" i="1"/>
  <c r="E43" i="1"/>
  <c r="E44" i="1"/>
  <c r="E45" i="1"/>
  <c r="E46" i="1"/>
  <c r="E47" i="1"/>
  <c r="E48" i="1"/>
  <c r="B22" i="1"/>
  <c r="B23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B13" i="1"/>
  <c r="G4" i="1"/>
  <c r="G5" i="1" s="1"/>
  <c r="H4" i="1"/>
  <c r="H5" i="1" s="1"/>
  <c r="I4" i="1"/>
  <c r="I5" i="1" s="1"/>
  <c r="J4" i="1"/>
  <c r="J7" i="1" s="1"/>
  <c r="K4" i="1"/>
  <c r="K7" i="1" s="1"/>
  <c r="L4" i="1"/>
  <c r="L7" i="1" s="1"/>
  <c r="M4" i="1"/>
  <c r="M7" i="1" s="1"/>
  <c r="N4" i="1"/>
  <c r="N7" i="1" s="1"/>
  <c r="O4" i="1"/>
  <c r="O5" i="1" s="1"/>
  <c r="P4" i="1"/>
  <c r="P5" i="1" s="1"/>
  <c r="Q4" i="1"/>
  <c r="Q5" i="1" s="1"/>
  <c r="R4" i="1"/>
  <c r="R7" i="1" s="1"/>
  <c r="S4" i="1"/>
  <c r="S7" i="1" s="1"/>
  <c r="T4" i="1"/>
  <c r="T5" i="1" s="1"/>
  <c r="U4" i="1"/>
  <c r="U7" i="1" s="1"/>
  <c r="V4" i="1"/>
  <c r="V7" i="1" s="1"/>
  <c r="W4" i="1"/>
  <c r="W5" i="1" s="1"/>
  <c r="X4" i="1"/>
  <c r="X5" i="1" s="1"/>
  <c r="Y4" i="1"/>
  <c r="Y5" i="1" s="1"/>
  <c r="Z4" i="1"/>
  <c r="Z7" i="1" s="1"/>
  <c r="AA4" i="1"/>
  <c r="AA7" i="1" s="1"/>
  <c r="AB4" i="1"/>
  <c r="AB5" i="1" s="1"/>
  <c r="AC4" i="1"/>
  <c r="AC7" i="1" s="1"/>
  <c r="AD4" i="1"/>
  <c r="AD5" i="1" s="1"/>
  <c r="AE4" i="1"/>
  <c r="AE5" i="1" s="1"/>
  <c r="AF4" i="1"/>
  <c r="AF5" i="1" s="1"/>
  <c r="AG4" i="1"/>
  <c r="AG5" i="1" s="1"/>
  <c r="AH4" i="1"/>
  <c r="AH7" i="1" s="1"/>
  <c r="AI4" i="1"/>
  <c r="AI7" i="1" s="1"/>
  <c r="AJ4" i="1"/>
  <c r="AJ7" i="1" s="1"/>
  <c r="AK4" i="1"/>
  <c r="AK7" i="1" s="1"/>
  <c r="AL4" i="1"/>
  <c r="AL7" i="1" s="1"/>
  <c r="AM4" i="1"/>
  <c r="AM7" i="1" s="1"/>
  <c r="AN4" i="1"/>
  <c r="AN5" i="1" s="1"/>
  <c r="F4" i="1"/>
  <c r="F5" i="1" s="1"/>
  <c r="BF26" i="1" l="1"/>
  <c r="BI26" i="1"/>
  <c r="BA26" i="1"/>
  <c r="AZ26" i="1"/>
  <c r="BK26" i="1"/>
  <c r="BC26" i="1"/>
  <c r="BJ26" i="1"/>
  <c r="BB26" i="1"/>
  <c r="AO107" i="1"/>
  <c r="AO95" i="1"/>
  <c r="AO71" i="1"/>
  <c r="AO63" i="1"/>
  <c r="AO111" i="1"/>
  <c r="AO88" i="1"/>
  <c r="AO92" i="1"/>
  <c r="AO100" i="1"/>
  <c r="AO104" i="1"/>
  <c r="AO108" i="1"/>
  <c r="AO112" i="1"/>
  <c r="AO106" i="1"/>
  <c r="AO97" i="1"/>
  <c r="AO113" i="1"/>
  <c r="AO90" i="1"/>
  <c r="AO87" i="1"/>
  <c r="AO91" i="1"/>
  <c r="AO105" i="1"/>
  <c r="AO94" i="1"/>
  <c r="AO98" i="1"/>
  <c r="AO102" i="1"/>
  <c r="AO93" i="1"/>
  <c r="AO89" i="1"/>
  <c r="AO96" i="1"/>
  <c r="AO103" i="1"/>
  <c r="AO110" i="1"/>
  <c r="AO101" i="1"/>
  <c r="AO99" i="1"/>
  <c r="AO109" i="1"/>
  <c r="AO73" i="1"/>
  <c r="AO65" i="1"/>
  <c r="AO55" i="1"/>
  <c r="AO66" i="1"/>
  <c r="AO76" i="1"/>
  <c r="AO68" i="1"/>
  <c r="AO60" i="1"/>
  <c r="AO74" i="1"/>
  <c r="AO58" i="1"/>
  <c r="AO57" i="1"/>
  <c r="AO78" i="1"/>
  <c r="AO70" i="1"/>
  <c r="AO62" i="1"/>
  <c r="AO54" i="1"/>
  <c r="AO77" i="1"/>
  <c r="AO69" i="1"/>
  <c r="AO61" i="1"/>
  <c r="AO53" i="1"/>
  <c r="AO72" i="1"/>
  <c r="AO64" i="1"/>
  <c r="AO56" i="1"/>
  <c r="AO75" i="1"/>
  <c r="AO67" i="1"/>
  <c r="AO59" i="1"/>
  <c r="AO52" i="1"/>
  <c r="AK11" i="1"/>
  <c r="AH11" i="1"/>
  <c r="AC11" i="1"/>
  <c r="U11" i="1"/>
  <c r="R11" i="1"/>
  <c r="AA11" i="1"/>
  <c r="M11" i="1"/>
  <c r="AJ11" i="1"/>
  <c r="T11" i="1"/>
  <c r="AI11" i="1"/>
  <c r="S11" i="1"/>
  <c r="L11" i="1"/>
  <c r="AB11" i="1"/>
  <c r="K11" i="1"/>
  <c r="Z11" i="1"/>
  <c r="J11" i="1"/>
  <c r="AL11" i="1"/>
  <c r="AD11" i="1"/>
  <c r="V11" i="1"/>
  <c r="N11" i="1"/>
  <c r="AG11" i="1"/>
  <c r="Y11" i="1"/>
  <c r="Q11" i="1"/>
  <c r="I11" i="1"/>
  <c r="AN11" i="1"/>
  <c r="AF11" i="1"/>
  <c r="X11" i="1"/>
  <c r="P11" i="1"/>
  <c r="H11" i="1"/>
  <c r="AM11" i="1"/>
  <c r="AE11" i="1"/>
  <c r="W11" i="1"/>
  <c r="O11" i="1"/>
  <c r="G11" i="1"/>
  <c r="F11" i="1"/>
  <c r="AD10" i="1"/>
  <c r="AB10" i="1"/>
  <c r="T10" i="1"/>
  <c r="X7" i="1"/>
  <c r="AN7" i="1"/>
  <c r="I7" i="1"/>
  <c r="H7" i="1"/>
  <c r="AL5" i="1"/>
  <c r="AL10" i="1" s="1"/>
  <c r="V5" i="1"/>
  <c r="V10" i="1" s="1"/>
  <c r="Y7" i="1"/>
  <c r="F10" i="1"/>
  <c r="Q10" i="1"/>
  <c r="I10" i="1"/>
  <c r="N5" i="1"/>
  <c r="N10" i="1" s="1"/>
  <c r="Y10" i="1"/>
  <c r="AN10" i="1"/>
  <c r="AF10" i="1"/>
  <c r="X10" i="1"/>
  <c r="P10" i="1"/>
  <c r="H10" i="1"/>
  <c r="AG10" i="1"/>
  <c r="AE10" i="1"/>
  <c r="W10" i="1"/>
  <c r="O10" i="1"/>
  <c r="G10" i="1"/>
  <c r="F7" i="1"/>
  <c r="AE7" i="1"/>
  <c r="O7" i="1"/>
  <c r="AM5" i="1"/>
  <c r="AM10" i="1" s="1"/>
  <c r="U5" i="1"/>
  <c r="U10" i="1" s="1"/>
  <c r="AD7" i="1"/>
  <c r="M5" i="1"/>
  <c r="M10" i="1" s="1"/>
  <c r="W7" i="1"/>
  <c r="G7" i="1"/>
  <c r="AK5" i="1"/>
  <c r="AK10" i="1" s="1"/>
  <c r="AC5" i="1"/>
  <c r="AC10" i="1" s="1"/>
  <c r="AG7" i="1"/>
  <c r="Q7" i="1"/>
  <c r="AF7" i="1"/>
  <c r="P7" i="1"/>
  <c r="L5" i="1"/>
  <c r="L10" i="1" s="1"/>
  <c r="AI5" i="1"/>
  <c r="AI10" i="1" s="1"/>
  <c r="AA5" i="1"/>
  <c r="AA10" i="1" s="1"/>
  <c r="S5" i="1"/>
  <c r="S10" i="1" s="1"/>
  <c r="K5" i="1"/>
  <c r="K10" i="1" s="1"/>
  <c r="J6" i="1"/>
  <c r="AJ5" i="1"/>
  <c r="AJ10" i="1" s="1"/>
  <c r="AH5" i="1"/>
  <c r="AH10" i="1" s="1"/>
  <c r="Z5" i="1"/>
  <c r="Z10" i="1" s="1"/>
  <c r="R5" i="1"/>
  <c r="R10" i="1" s="1"/>
  <c r="J5" i="1"/>
  <c r="J10" i="1" s="1"/>
  <c r="AB7" i="1"/>
  <c r="T7" i="1"/>
  <c r="AE6" i="1"/>
  <c r="N6" i="1"/>
  <c r="AD6" i="1"/>
  <c r="O6" i="1"/>
  <c r="V6" i="1"/>
  <c r="G6" i="1"/>
  <c r="AA6" i="1"/>
  <c r="K6" i="1"/>
  <c r="AN6" i="1"/>
  <c r="X6" i="1"/>
  <c r="H6" i="1"/>
  <c r="AM6" i="1"/>
  <c r="W6" i="1"/>
  <c r="AL6" i="1"/>
  <c r="AI6" i="1"/>
  <c r="S6" i="1"/>
  <c r="AF6" i="1"/>
  <c r="P6" i="1"/>
  <c r="F6" i="1"/>
  <c r="AG6" i="1"/>
  <c r="Y6" i="1"/>
  <c r="Q6" i="1"/>
  <c r="I6" i="1"/>
  <c r="AK6" i="1"/>
  <c r="AC6" i="1"/>
  <c r="U6" i="1"/>
  <c r="M6" i="1"/>
  <c r="AJ6" i="1"/>
  <c r="AB6" i="1"/>
  <c r="T6" i="1"/>
  <c r="L6" i="1"/>
  <c r="AH6" i="1"/>
  <c r="Z6" i="1"/>
  <c r="R6" i="1"/>
  <c r="B29" i="1" l="1"/>
  <c r="G9" i="1"/>
  <c r="H9" i="1" l="1"/>
  <c r="I9" i="1" l="1"/>
  <c r="J9" i="1" l="1"/>
  <c r="K9" i="1" l="1"/>
  <c r="L9" i="1" l="1"/>
  <c r="M9" i="1" l="1"/>
  <c r="N9" i="1" l="1"/>
  <c r="O9" i="1" l="1"/>
  <c r="P9" i="1" l="1"/>
  <c r="Q9" i="1" l="1"/>
  <c r="R9" i="1" l="1"/>
  <c r="S9" i="1" l="1"/>
  <c r="T9" i="1" l="1"/>
  <c r="U9" i="1" l="1"/>
  <c r="V9" i="1" l="1"/>
  <c r="W9" i="1" l="1"/>
  <c r="X9" i="1" l="1"/>
  <c r="Y9" i="1" l="1"/>
  <c r="Z9" i="1" l="1"/>
  <c r="AA9" i="1" l="1"/>
  <c r="AB9" i="1" l="1"/>
  <c r="AC9" i="1" l="1"/>
  <c r="AD9" i="1" l="1"/>
  <c r="AE9" i="1" l="1"/>
  <c r="AF9" i="1" l="1"/>
  <c r="AG9" i="1" l="1"/>
  <c r="AH9" i="1" l="1"/>
  <c r="AI9" i="1" l="1"/>
  <c r="AJ9" i="1" l="1"/>
  <c r="AK9" i="1" l="1"/>
  <c r="AL9" i="1" l="1"/>
  <c r="AM9" i="1" l="1"/>
  <c r="AN9" i="1" l="1"/>
  <c r="B32" i="1" l="1"/>
  <c r="B33" i="1"/>
  <c r="AJ86" i="1" s="1"/>
  <c r="B30" i="1"/>
  <c r="B31" i="1" s="1"/>
  <c r="AK51" i="1" l="1"/>
  <c r="AK86" i="1"/>
  <c r="AL51" i="1"/>
  <c r="AL86" i="1"/>
  <c r="AJ36" i="1"/>
  <c r="AJ51" i="1"/>
  <c r="F62" i="1"/>
  <c r="F38" i="1"/>
  <c r="W38" i="1"/>
  <c r="AJ14" i="1"/>
  <c r="F14" i="1"/>
  <c r="W62" i="1"/>
  <c r="X62" i="1"/>
  <c r="AJ25" i="1"/>
  <c r="X38" i="1"/>
  <c r="G14" i="1"/>
  <c r="G38" i="1"/>
  <c r="G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tc={6CA89C5A-87C0-4040-AAFE-98F5161C776E}</author>
    <author>tc={7A7FDBC4-6B1D-FA47-970A-407FC57FFCDD}</author>
    <author>tc={33FFEB0E-53B3-3A42-AA98-768A27A37C6D}</author>
    <author>tc={D449355F-088F-FD4B-8712-E7467E513ACB}</author>
    <author>tc={22019272-0802-6348-B7E0-F7D6D2D60E1A}</author>
    <author>tc={F4B873B6-F00F-3948-864B-8A7D70CADD1D}</author>
    <author>tc={72DDBE22-C539-FE4A-BD03-27C4E3CD4E43}</author>
    <author>tc={46B6A6C3-3974-2B44-A797-BD5B78E0ED21}</author>
    <author>tc={E7EE4F0F-B67D-C94A-AF85-69F285A44EFA}</author>
    <author>tc={544F8E55-E6D6-A246-BEC3-4FA55C50E691}</author>
    <author>tc={04B071CE-4033-A446-ABD2-AD0A285ED643}</author>
    <author>tc={8CFACE28-581F-504E-9C11-449EB7C2EE27}</author>
    <author>tc={615F16F2-4BEB-F14F-9F2C-0C9DF3A37D2E}</author>
    <author>tc={878596CA-D5E3-6149-8945-10CC31A9359F}</author>
    <author>tc={8734C1EA-6309-B344-9B6A-BE69FBC82763}</author>
    <author>tc={A488A78A-D1DC-AC41-A05E-0DA87147C399}</author>
    <author>tc={1FAB9EFA-14BA-644D-93F8-44179FA622CE}</author>
    <author>tc={7AF75400-A16C-874B-88B7-C13A1AD27662}</author>
    <author>tc={00C57BA0-51A4-F249-9339-15F23AD9574E}</author>
    <author>tc={94779454-E625-1248-85DD-7CC8EDE1EBBB}</author>
    <author>tc={5E2A0A46-3D75-A64E-B08C-D9D0DA5351D6}</author>
    <author>tc={95C1F008-1AD7-F84F-997D-346E1695C3EB}</author>
    <author>tc={8AEB2C02-E91D-8440-83F9-F9D6FEA6AF28}</author>
    <author>tc={D70DC3DF-C2DC-F340-A928-7F1C344321A5}</author>
    <author>tc={DE70ABA3-612F-7447-A9F0-25D8F2F88420}</author>
    <author>tc={C2B0D19D-FD94-0C49-B438-6A0A6E63E4DC}</author>
    <author>tc={7F42C00A-FEA9-4C45-A382-4FB0B045F37A}</author>
    <author>tc={FDAF9FB3-6D9B-574F-BF78-5E7D7A59790F}</author>
  </authors>
  <commentList>
    <comment ref="E4" authorId="0" shapeId="0" xr:uid="{6CA89C5A-87C0-4040-AAFE-98F5161C776E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age prediction; use VBGF</t>
      </text>
    </comment>
    <comment ref="A5" authorId="1" shapeId="0" xr:uid="{7A7FDBC4-6B1D-FA47-970A-407FC57FFCDD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</t>
      </text>
    </comment>
    <comment ref="E5" authorId="2" shapeId="0" xr:uid="{33FFEB0E-53B3-3A42-AA98-768A27A37C6D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age; convert from length at age</t>
      </text>
    </comment>
    <comment ref="A6" authorId="3" shapeId="0" xr:uid="{D449355F-088F-FD4B-8712-E7467E513ACB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E6" authorId="4" shapeId="0" xr:uid="{22019272-0802-6348-B7E0-F7D6D2D60E1A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harvest</t>
      </text>
    </comment>
    <comment ref="A7" authorId="5" shapeId="0" xr:uid="{F4B873B6-F00F-3948-864B-8A7D70CADD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theoretical age at length zero (x-intercept)</t>
      </text>
    </comment>
    <comment ref="E7" authorId="6" shapeId="0" xr:uid="{72DDBE22-C539-FE4A-BD03-27C4E3CD4E43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capture</t>
      </text>
    </comment>
    <comment ref="E8" authorId="7" shapeId="0" xr:uid="{46B6A6C3-3974-2B44-A797-BD5B78E0ED21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Survival in the unfished condition</t>
      </text>
    </comment>
    <comment ref="A9" authorId="8" shapeId="0" xr:uid="{E7EE4F0F-B67D-C94A-AF85-69F285A44EFA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length-weigth scaling</t>
      </text>
    </comment>
    <comment ref="E9" authorId="9" shapeId="0" xr:uid="{544F8E55-E6D6-A246-BEC3-4FA55C50E691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Survival in the fished condition</t>
      </text>
    </comment>
    <comment ref="A10" authorId="10" shapeId="0" xr:uid="{04B071CE-4033-A446-ABD2-AD0A285ED643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allometry</t>
      </text>
    </comment>
    <comment ref="E10" authorId="11" shapeId="0" xr:uid="{8CFACE28-581F-504E-9C11-449EB7C2EE27}">
      <text>
        <t>[Threaded comment]
Your version of Excel allows you to read this threaded comment; however, any edits to it will get removed if the file is opened in a newer version of Excel. Learn more: https://go.microsoft.com/fwlink/?linkid=870924
Comment:
    Fecundity; use the maximum of the weight at age minus the weight at maturity</t>
      </text>
    </comment>
    <comment ref="A12" authorId="12" shapeId="0" xr:uid="{615F16F2-4BEB-F14F-9F2C-0C9DF3A37D2E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50% mature</t>
      </text>
    </comment>
    <comment ref="A13" authorId="13" shapeId="0" xr:uid="{878596CA-D5E3-6149-8945-10CC31A9359F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50% mature</t>
      </text>
    </comment>
    <comment ref="A15" authorId="14" shapeId="0" xr:uid="{8734C1EA-6309-B344-9B6A-BE69FBC82763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Length Limit</t>
      </text>
    </comment>
    <comment ref="A16" authorId="15" shapeId="0" xr:uid="{A488A78A-D1DC-AC41-A05E-0DA87147C39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length limit sigma</t>
      </text>
    </comment>
    <comment ref="A17" authorId="16" shapeId="0" xr:uid="{1FAB9EFA-14BA-644D-93F8-44179FA622CE}">
      <text>
        <t>[Threaded comment]
Your version of Excel allows you to read this threaded comment; however, any edits to it will get removed if the file is opened in a newer version of Excel. Learn more: https://go.microsoft.com/fwlink/?linkid=870924
Comment:
    Maximum Length Limit</t>
      </text>
    </comment>
    <comment ref="A18" authorId="17" shapeId="0" xr:uid="{7AF75400-A16C-874B-88B7-C13A1AD27662}">
      <text>
        <t>[Threaded comment]
Your version of Excel allows you to read this threaded comment; however, any edits to it will get removed if the file is opened in a newer version of Excel. Learn more: https://go.microsoft.com/fwlink/?linkid=870924
Comment:
    Maximum Length Limit sigma</t>
      </text>
    </comment>
    <comment ref="A19" authorId="18" shapeId="0" xr:uid="{00C57BA0-51A4-F249-9339-15F23AD9574E}">
      <text>
        <t>[Threaded comment]
Your version of Excel allows you to read this threaded comment; however, any edits to it will get removed if the file is opened in a newer version of Excel. Learn more: https://go.microsoft.com/fwlink/?linkid=870924
Comment:
    Capture vulnerability</t>
      </text>
    </comment>
    <comment ref="A20" authorId="19" shapeId="0" xr:uid="{94779454-E625-1248-85DD-7CC8EDE1EBBB}">
      <text>
        <t>[Threaded comment]
Your version of Excel allows you to read this threaded comment; however, any edits to it will get removed if the file is opened in a newer version of Excel. Learn more: https://go.microsoft.com/fwlink/?linkid=870924
Comment:
    Capture vulnerability sigma</t>
      </text>
    </comment>
    <comment ref="A22" authorId="20" shapeId="0" xr:uid="{5E2A0A46-3D75-A64E-B08C-D9D0DA5351D6}">
      <text>
        <t>[Threaded comment]
Your version of Excel allows you to read this threaded comment; however, any edits to it will get removed if the file is opened in a newer version of Excel. Learn more: https://go.microsoft.com/fwlink/?linkid=870924
Comment:
    Natural mortality, assumed 1.5*K (Jensen 1996)</t>
      </text>
    </comment>
    <comment ref="A23" authorId="21" shapeId="0" xr:uid="{95C1F008-1AD7-F84F-997D-346E1695C3EB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Survival</t>
      </text>
    </comment>
    <comment ref="A24" authorId="22" shapeId="0" xr:uid="{8AEB2C02-E91D-8440-83F9-F9D6FEA6AF28}">
      <text>
        <t>[Threaded comment]
Your version of Excel allows you to read this threaded comment; however, any edits to it will get removed if the file is opened in a newer version of Excel. Learn more: https://go.microsoft.com/fwlink/?linkid=870924
Comment:
    Harvest rate</t>
      </text>
    </comment>
    <comment ref="A25" authorId="23" shapeId="0" xr:uid="{D70DC3DF-C2DC-F340-A928-7F1C344321A5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Discard mortality</t>
      </text>
    </comment>
    <comment ref="A29" authorId="24" shapeId="0" xr:uid="{DE70ABA3-612F-7447-A9F0-25D8F2F88420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unfished condition.  It's the total harvestable biomass a fish would have achieved through its life if it had not been fished.</t>
      </text>
    </comment>
    <comment ref="A30" authorId="25" shapeId="0" xr:uid="{C2B0D19D-FD94-0C49-B438-6A0A6E63E4DC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fished condition.</t>
      </text>
    </comment>
    <comment ref="A31" authorId="26" shapeId="0" xr:uid="{7F42C00A-FEA9-4C45-A382-4FB0B045F37A}">
      <text>
        <t>[Threaded comment]
Your version of Excel allows you to read this threaded comment; however, any edits to it will get removed if the file is opened in a newer version of Excel. Learn more: https://go.microsoft.com/fwlink/?linkid=870924
Comment:
    Yield per recruit</t>
      </text>
    </comment>
    <comment ref="A32" authorId="27" shapeId="0" xr:uid="{FDAF9FB3-6D9B-574F-BF78-5E7D7A59790F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Spawning potential ratio</t>
      </text>
    </comment>
  </commentList>
</comments>
</file>

<file path=xl/sharedStrings.xml><?xml version="1.0" encoding="utf-8"?>
<sst xmlns="http://schemas.openxmlformats.org/spreadsheetml/2006/main" count="84" uniqueCount="48">
  <si>
    <t>Linf</t>
  </si>
  <si>
    <t>K</t>
  </si>
  <si>
    <t>tnot</t>
  </si>
  <si>
    <t>Age</t>
  </si>
  <si>
    <t>TL</t>
  </si>
  <si>
    <t>Wt</t>
  </si>
  <si>
    <t>Parameter Section</t>
  </si>
  <si>
    <t>M</t>
  </si>
  <si>
    <t>So</t>
  </si>
  <si>
    <t>U</t>
  </si>
  <si>
    <t>Surv_uf</t>
  </si>
  <si>
    <t>Surv_f</t>
  </si>
  <si>
    <t>Fec</t>
  </si>
  <si>
    <t>Output Section</t>
  </si>
  <si>
    <t>phivbo</t>
  </si>
  <si>
    <t>phivbf</t>
  </si>
  <si>
    <t>Yield</t>
  </si>
  <si>
    <t>SPR</t>
  </si>
  <si>
    <t>D</t>
  </si>
  <si>
    <t>von Bertalanffy</t>
  </si>
  <si>
    <t>length-weight</t>
  </si>
  <si>
    <t>Maturity</t>
  </si>
  <si>
    <t>Lmat</t>
  </si>
  <si>
    <t>Wmat</t>
  </si>
  <si>
    <t>lwa</t>
  </si>
  <si>
    <t>lwb</t>
  </si>
  <si>
    <t>Vulnerability</t>
  </si>
  <si>
    <t>LowLim</t>
  </si>
  <si>
    <t>LowLim_SD</t>
  </si>
  <si>
    <t>UpLim</t>
  </si>
  <si>
    <t>UpLim_SD</t>
  </si>
  <si>
    <t>CapLim</t>
  </si>
  <si>
    <t>CapLim_SD</t>
  </si>
  <si>
    <t>Vul_harv</t>
  </si>
  <si>
    <t>Vul_cap</t>
  </si>
  <si>
    <t>Mortality</t>
  </si>
  <si>
    <t>Striped Bass Yield per Recruit Model</t>
  </si>
  <si>
    <t>k</t>
  </si>
  <si>
    <t>Upper</t>
  </si>
  <si>
    <t>Lower</t>
  </si>
  <si>
    <t>Memorable</t>
  </si>
  <si>
    <t>Mem_Catch</t>
  </si>
  <si>
    <t>M_50</t>
  </si>
  <si>
    <t>M_SD</t>
  </si>
  <si>
    <t>Yield_Dis</t>
  </si>
  <si>
    <t>Mem_Catch_Dis</t>
  </si>
  <si>
    <t>Sum_Dis</t>
  </si>
  <si>
    <t>Total_Dis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</si>
</sst>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521062992125999"/>
          <c:y val="6.0185185185185203E-2"/>
          <c:w val="0.70026356080489904"/>
          <c:h val="0.7159878973461649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Sheet1!$AB$134</c:f>
              <c:strCache>
                <c:ptCount val="1"/>
              </c:strCache>
            </c:strRef>
          </c:tx>
          <c:xVal>
            <c:numRef>
              <c:f>Sheet1!$AA$135:$AA$153</c:f>
              <c:numCache>
                <c:formatCode>General</c:formatCode>
                <c:ptCount val="19"/>
              </c:numCache>
            </c:numRef>
          </c:xVal>
          <c:yVal>
            <c:numRef>
              <c:f>Sheet1!$AB$135:$AB$153</c:f>
              <c:numCache>
                <c:formatCode>General</c:formatCode>
                <c:ptCount val="1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2C-B441-BD88-5B9885BAE51B}"/>
            </c:ext>
          </c:extLst>
        </c:ser>
        <c:ser>
          <c:idx val="2"/>
          <c:order val="2"/>
          <c:tx>
            <c:strRef>
              <c:f>Sheet1!$AD$134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Sheet1!$AA$135:$AA$153</c:f>
              <c:numCache>
                <c:formatCode>General</c:formatCode>
                <c:ptCount val="19"/>
              </c:numCache>
            </c:numRef>
          </c:xVal>
          <c:yVal>
            <c:numRef>
              <c:f>Sheet1!$AD$135:$AD$153</c:f>
              <c:numCache>
                <c:formatCode>0.0</c:formatCode>
                <c:ptCount val="1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2C-B441-BD88-5B9885BAE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335880"/>
        <c:axId val="-2098973896"/>
      </c:scatterChart>
      <c:scatterChart>
        <c:scatterStyle val="smoothMarker"/>
        <c:varyColors val="0"/>
        <c:ser>
          <c:idx val="1"/>
          <c:order val="1"/>
          <c:tx>
            <c:strRef>
              <c:f>Sheet1!$AC$134</c:f>
              <c:strCache>
                <c:ptCount val="1"/>
              </c:strCache>
            </c:strRef>
          </c:tx>
          <c:xVal>
            <c:numRef>
              <c:f>Sheet1!$AA$135:$AA$153</c:f>
              <c:numCache>
                <c:formatCode>General</c:formatCode>
                <c:ptCount val="19"/>
              </c:numCache>
            </c:numRef>
          </c:xVal>
          <c:yVal>
            <c:numRef>
              <c:f>Sheet1!$AC$135:$AC$153</c:f>
              <c:numCache>
                <c:formatCode>General</c:formatCode>
                <c:ptCount val="1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2C-B441-BD88-5B9885BAE51B}"/>
            </c:ext>
          </c:extLst>
        </c:ser>
        <c:ser>
          <c:idx val="3"/>
          <c:order val="3"/>
          <c:tx>
            <c:strRef>
              <c:f>Sheet1!$AE$134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Sheet1!$AA$135:$AA$153</c:f>
              <c:numCache>
                <c:formatCode>General</c:formatCode>
                <c:ptCount val="19"/>
              </c:numCache>
            </c:numRef>
          </c:xVal>
          <c:yVal>
            <c:numRef>
              <c:f>Sheet1!$AE$135:$AE$153</c:f>
              <c:numCache>
                <c:formatCode>General</c:formatCode>
                <c:ptCount val="1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B2C-B441-BD88-5B9885BAE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294360"/>
        <c:axId val="-2100628872"/>
      </c:scatterChart>
      <c:valAx>
        <c:axId val="-2098335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</a:t>
                </a:r>
              </a:p>
            </c:rich>
          </c:tx>
          <c:layout>
            <c:manualLayout>
              <c:xMode val="edge"/>
              <c:yMode val="edge"/>
              <c:x val="0.400476159230096"/>
              <c:y val="0.8981481481481480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98973896"/>
        <c:crosses val="autoZero"/>
        <c:crossBetween val="midCat"/>
      </c:valAx>
      <c:valAx>
        <c:axId val="-20989738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Yield</a:t>
                </a:r>
              </a:p>
            </c:rich>
          </c:tx>
          <c:layout>
            <c:manualLayout>
              <c:xMode val="edge"/>
              <c:yMode val="edge"/>
              <c:x val="1.6666666666666701E-2"/>
              <c:y val="0.3535866870807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98335880"/>
        <c:crosses val="autoZero"/>
        <c:crossBetween val="midCat"/>
      </c:valAx>
      <c:valAx>
        <c:axId val="-2100628872"/>
        <c:scaling>
          <c:orientation val="minMax"/>
          <c:max val="1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SPR</a:t>
                </a:r>
              </a:p>
            </c:rich>
          </c:tx>
          <c:layout>
            <c:manualLayout>
              <c:xMode val="edge"/>
              <c:yMode val="edge"/>
              <c:x val="0.93696566054243202"/>
              <c:y val="0.3679968649752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14294360"/>
        <c:crosses val="max"/>
        <c:crossBetween val="midCat"/>
      </c:valAx>
      <c:valAx>
        <c:axId val="2114294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006288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95298993875765"/>
          <c:y val="1.3505030621172399E-2"/>
          <c:w val="0.42414545056867903"/>
          <c:h val="0.168202099737533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to 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Yield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Sheet1!$E$15:$E$34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Sheet1!$F$15:$F$34</c:f>
              <c:numCache>
                <c:formatCode>General</c:formatCode>
                <c:ptCount val="20"/>
                <c:pt idx="0">
                  <c:v>0.54968769098373504</c:v>
                </c:pt>
                <c:pt idx="1">
                  <c:v>0.78726503584774277</c:v>
                </c:pt>
                <c:pt idx="2">
                  <c:v>0.88836620785806075</c:v>
                </c:pt>
                <c:pt idx="3">
                  <c:v>0.92548350276448099</c:v>
                </c:pt>
                <c:pt idx="4">
                  <c:v>0.9308544567989534</c:v>
                </c:pt>
                <c:pt idx="5">
                  <c:v>0.91988778131228721</c:v>
                </c:pt>
                <c:pt idx="6">
                  <c:v>0.90041099175823625</c:v>
                </c:pt>
                <c:pt idx="7">
                  <c:v>0.8765906056144841</c:v>
                </c:pt>
                <c:pt idx="8">
                  <c:v>0.85071952434449261</c:v>
                </c:pt>
                <c:pt idx="9">
                  <c:v>0.82408674109481728</c:v>
                </c:pt>
                <c:pt idx="10">
                  <c:v>0.79742386160762524</c:v>
                </c:pt>
                <c:pt idx="11">
                  <c:v>0.77114446039644235</c:v>
                </c:pt>
                <c:pt idx="12">
                  <c:v>0.74547693281312755</c:v>
                </c:pt>
                <c:pt idx="13">
                  <c:v>0.72054035684810758</c:v>
                </c:pt>
                <c:pt idx="14">
                  <c:v>0.69638882748249342</c:v>
                </c:pt>
                <c:pt idx="15">
                  <c:v>0.67303785258054427</c:v>
                </c:pt>
                <c:pt idx="16">
                  <c:v>0.65048029525463946</c:v>
                </c:pt>
                <c:pt idx="17">
                  <c:v>0.6286960996857357</c:v>
                </c:pt>
                <c:pt idx="18">
                  <c:v>0.60765825659565476</c:v>
                </c:pt>
                <c:pt idx="19">
                  <c:v>0.58733646211221879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FC-514B-98A0-D2D6C163DBC7}"/>
            </c:ext>
          </c:extLst>
        </c:ser>
        <c:ser>
          <c:idx val="1"/>
          <c:order val="1"/>
          <c:tx>
            <c:v>SPR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Sheet1!$G$15:$G$34</c:f>
              <c:numCache>
                <c:formatCode>General</c:formatCode>
                <c:ptCount val="20"/>
                <c:pt idx="0">
                  <c:v>0.65872437401409045</c:v>
                </c:pt>
                <c:pt idx="1">
                  <c:v>0.4638357490592746</c:v>
                </c:pt>
                <c:pt idx="2">
                  <c:v>0.34447048743116099</c:v>
                </c:pt>
                <c:pt idx="3">
                  <c:v>0.26679198379789282</c:v>
                </c:pt>
                <c:pt idx="4">
                  <c:v>0.21362903028590774</c:v>
                </c:pt>
                <c:pt idx="5">
                  <c:v>0.17570866234433291</c:v>
                </c:pt>
                <c:pt idx="6">
                  <c:v>0.14772292913075238</c:v>
                </c:pt>
                <c:pt idx="7">
                  <c:v>0.12647298948757144</c:v>
                </c:pt>
                <c:pt idx="8">
                  <c:v>0.10994399803093848</c:v>
                </c:pt>
                <c:pt idx="9">
                  <c:v>9.6818272271419495E-2</c:v>
                </c:pt>
                <c:pt idx="10">
                  <c:v>8.6205959004342844E-2</c:v>
                </c:pt>
                <c:pt idx="11">
                  <c:v>7.7489271368872556E-2</c:v>
                </c:pt>
                <c:pt idx="12">
                  <c:v>7.0228853999839136E-2</c:v>
                </c:pt>
                <c:pt idx="13">
                  <c:v>6.4105567163913094E-2</c:v>
                </c:pt>
                <c:pt idx="14">
                  <c:v>5.8883208200117193E-2</c:v>
                </c:pt>
                <c:pt idx="15">
                  <c:v>5.4384010300358582E-2</c:v>
                </c:pt>
                <c:pt idx="16">
                  <c:v>5.0472161748944047E-2</c:v>
                </c:pt>
                <c:pt idx="17">
                  <c:v>4.7042487700094962E-2</c:v>
                </c:pt>
                <c:pt idx="18">
                  <c:v>4.4012530633239601E-2</c:v>
                </c:pt>
                <c:pt idx="19">
                  <c:v>4.1316914227106358E-2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FC-514B-98A0-D2D6C163D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8281471"/>
        <c:axId val="1844709071"/>
      </c:lineChart>
      <c:catAx>
        <c:axId val="130828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709071"/>
        <c:crosses val="autoZero"/>
        <c:auto val="1"/>
        <c:lblAlgn val="ctr"/>
        <c:lblOffset val="100"/>
        <c:noMultiLvlLbl val="0"/>
      </c:catAx>
      <c:valAx>
        <c:axId val="184470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8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Vulnerability</a:t>
            </a:r>
            <a:r>
              <a:rPr lang="en-US" baseline="0"/>
              <a:t> by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Harvest Vulnerability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Sheet1!$F$3:$AN$3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Sheet1!$F$6:$AN$6</c:f>
              <c:numCache>
                <c:formatCode>0.00</c:formatCode>
                <c:ptCount val="35"/>
                <c:pt idx="0">
                  <c:v>1.1454325265729553E-35</c:v>
                </c:pt>
                <c:pt idx="1">
                  <c:v>4.6045145249760554E-28</c:v>
                </c:pt>
                <c:pt idx="2">
                  <c:v>2.9874360650051664E-21</c:v>
                </c:pt>
                <c:pt idx="3">
                  <c:v>3.7828887216837783E-15</c:v>
                </c:pt>
                <c:pt idx="4">
                  <c:v>1.1083418301573116E-9</c:v>
                </c:pt>
                <c:pt idx="5">
                  <c:v>8.7503758096614922E-5</c:v>
                </c:pt>
                <c:pt idx="6">
                  <c:v>0.68097914012382976</c:v>
                </c:pt>
                <c:pt idx="7">
                  <c:v>0.99994499362101008</c:v>
                </c:pt>
                <c:pt idx="8">
                  <c:v>0.99999998341993113</c:v>
                </c:pt>
                <c:pt idx="9">
                  <c:v>0.99999999998837241</c:v>
                </c:pt>
                <c:pt idx="10">
                  <c:v>0.99999999999998268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4-C24B-8440-F88628EC9108}"/>
            </c:ext>
          </c:extLst>
        </c:ser>
        <c:ser>
          <c:idx val="1"/>
          <c:order val="1"/>
          <c:tx>
            <c:v>Capture Vulnerability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Sheet1!$F$3:$AN$3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Sheet1!$F$7:$AN$7</c:f>
              <c:numCache>
                <c:formatCode>0.00</c:formatCode>
                <c:ptCount val="35"/>
                <c:pt idx="0">
                  <c:v>8.118838747256025E-31</c:v>
                </c:pt>
                <c:pt idx="1">
                  <c:v>7.2272584086339007E-19</c:v>
                </c:pt>
                <c:pt idx="2">
                  <c:v>3.6620591282073002E-8</c:v>
                </c:pt>
                <c:pt idx="3">
                  <c:v>0.99302486374612098</c:v>
                </c:pt>
                <c:pt idx="4">
                  <c:v>0.99999999998197686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84-C24B-8440-F88628EC9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8967055"/>
        <c:axId val="1528968783"/>
      </c:lineChart>
      <c:catAx>
        <c:axId val="152896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68783"/>
        <c:crosses val="autoZero"/>
        <c:auto val="1"/>
        <c:lblAlgn val="ctr"/>
        <c:lblOffset val="100"/>
        <c:noMultiLvlLbl val="0"/>
      </c:catAx>
      <c:valAx>
        <c:axId val="152896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6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to 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Yield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Sheet1!$E$39:$E$58</c:f>
              <c:numCache>
                <c:formatCode>General</c:formatCode>
                <c:ptCount val="20"/>
                <c:pt idx="0">
                  <c:v>9.0749999999999997E-2</c:v>
                </c:pt>
                <c:pt idx="1">
                  <c:v>9.9000000000000005E-2</c:v>
                </c:pt>
                <c:pt idx="2">
                  <c:v>0.10725000000000001</c:v>
                </c:pt>
                <c:pt idx="3">
                  <c:v>0.11550000000000001</c:v>
                </c:pt>
                <c:pt idx="4">
                  <c:v>0.12375</c:v>
                </c:pt>
                <c:pt idx="5">
                  <c:v>0.13200000000000001</c:v>
                </c:pt>
                <c:pt idx="6">
                  <c:v>0.14025000000000001</c:v>
                </c:pt>
                <c:pt idx="7">
                  <c:v>0.14850000000000002</c:v>
                </c:pt>
                <c:pt idx="8">
                  <c:v>0.15675</c:v>
                </c:pt>
                <c:pt idx="9">
                  <c:v>0.16500000000000001</c:v>
                </c:pt>
                <c:pt idx="10">
                  <c:v>0.17325000000000002</c:v>
                </c:pt>
                <c:pt idx="11">
                  <c:v>0.18149999999999999</c:v>
                </c:pt>
                <c:pt idx="12">
                  <c:v>0.18975</c:v>
                </c:pt>
                <c:pt idx="13">
                  <c:v>0.19800000000000001</c:v>
                </c:pt>
                <c:pt idx="14">
                  <c:v>0.20625000000000002</c:v>
                </c:pt>
                <c:pt idx="15">
                  <c:v>0.21450000000000002</c:v>
                </c:pt>
                <c:pt idx="16">
                  <c:v>0.22275</c:v>
                </c:pt>
                <c:pt idx="17">
                  <c:v>0.23100000000000001</c:v>
                </c:pt>
                <c:pt idx="18">
                  <c:v>0.23925000000000002</c:v>
                </c:pt>
                <c:pt idx="19">
                  <c:v>0.2475</c:v>
                </c:pt>
              </c:numCache>
            </c:numRef>
          </c:cat>
          <c:val>
            <c:numRef>
              <c:f>Sheet1!$F$39:$F$58</c:f>
              <c:numCache>
                <c:formatCode>General</c:formatCode>
                <c:ptCount val="20"/>
                <c:pt idx="0">
                  <c:v>1.9537872825996048</c:v>
                </c:pt>
                <c:pt idx="1">
                  <c:v>1.7912592305818948</c:v>
                </c:pt>
                <c:pt idx="2">
                  <c:v>1.6439924495081311</c:v>
                </c:pt>
                <c:pt idx="3">
                  <c:v>1.5103603272237152</c:v>
                </c:pt>
                <c:pt idx="4">
                  <c:v>1.3889322663659012</c:v>
                </c:pt>
                <c:pt idx="5">
                  <c:v>1.2784472820754944</c:v>
                </c:pt>
                <c:pt idx="6">
                  <c:v>1.1777915149600406</c:v>
                </c:pt>
                <c:pt idx="7">
                  <c:v>1.0859790300230019</c:v>
                </c:pt>
                <c:pt idx="8">
                  <c:v>1.0021353803426531</c:v>
                </c:pt>
                <c:pt idx="9">
                  <c:v>0.92548350276448099</c:v>
                </c:pt>
                <c:pt idx="10">
                  <c:v>0.85533158547195054</c:v>
                </c:pt>
                <c:pt idx="11">
                  <c:v>0.79106260700484177</c:v>
                </c:pt>
                <c:pt idx="12">
                  <c:v>0.73212529550244099</c:v>
                </c:pt>
                <c:pt idx="13">
                  <c:v>0.67802629759747646</c:v>
                </c:pt>
                <c:pt idx="14">
                  <c:v>0.62832338004037003</c:v>
                </c:pt>
                <c:pt idx="15">
                  <c:v>0.58261951505889698</c:v>
                </c:pt>
                <c:pt idx="16">
                  <c:v>0.54055772368328481</c:v>
                </c:pt>
                <c:pt idx="17">
                  <c:v>0.50181657062599783</c:v>
                </c:pt>
                <c:pt idx="18">
                  <c:v>0.46610622047885975</c:v>
                </c:pt>
                <c:pt idx="19">
                  <c:v>0.43316497853244657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53-5041-A8CA-925D4A75E57E}"/>
            </c:ext>
          </c:extLst>
        </c:ser>
        <c:ser>
          <c:idx val="1"/>
          <c:order val="1"/>
          <c:tx>
            <c:v>SPR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Sheet1!$E$39:$E$58</c:f>
              <c:numCache>
                <c:formatCode>General</c:formatCode>
                <c:ptCount val="20"/>
                <c:pt idx="0">
                  <c:v>9.0749999999999997E-2</c:v>
                </c:pt>
                <c:pt idx="1">
                  <c:v>9.9000000000000005E-2</c:v>
                </c:pt>
                <c:pt idx="2">
                  <c:v>0.10725000000000001</c:v>
                </c:pt>
                <c:pt idx="3">
                  <c:v>0.11550000000000001</c:v>
                </c:pt>
                <c:pt idx="4">
                  <c:v>0.12375</c:v>
                </c:pt>
                <c:pt idx="5">
                  <c:v>0.13200000000000001</c:v>
                </c:pt>
                <c:pt idx="6">
                  <c:v>0.14025000000000001</c:v>
                </c:pt>
                <c:pt idx="7">
                  <c:v>0.14850000000000002</c:v>
                </c:pt>
                <c:pt idx="8">
                  <c:v>0.15675</c:v>
                </c:pt>
                <c:pt idx="9">
                  <c:v>0.16500000000000001</c:v>
                </c:pt>
                <c:pt idx="10">
                  <c:v>0.17325000000000002</c:v>
                </c:pt>
                <c:pt idx="11">
                  <c:v>0.18149999999999999</c:v>
                </c:pt>
                <c:pt idx="12">
                  <c:v>0.18975</c:v>
                </c:pt>
                <c:pt idx="13">
                  <c:v>0.19800000000000001</c:v>
                </c:pt>
                <c:pt idx="14">
                  <c:v>0.20625000000000002</c:v>
                </c:pt>
                <c:pt idx="15">
                  <c:v>0.21450000000000002</c:v>
                </c:pt>
                <c:pt idx="16">
                  <c:v>0.22275</c:v>
                </c:pt>
                <c:pt idx="17">
                  <c:v>0.23100000000000001</c:v>
                </c:pt>
                <c:pt idx="18">
                  <c:v>0.23925000000000002</c:v>
                </c:pt>
                <c:pt idx="19">
                  <c:v>0.2475</c:v>
                </c:pt>
              </c:numCache>
            </c:numRef>
          </c:cat>
          <c:val>
            <c:numRef>
              <c:f>Sheet1!$G$39:$G$58</c:f>
              <c:numCache>
                <c:formatCode>General</c:formatCode>
                <c:ptCount val="20"/>
                <c:pt idx="0">
                  <c:v>0.16547498097754967</c:v>
                </c:pt>
                <c:pt idx="1">
                  <c:v>0.17610848807515966</c:v>
                </c:pt>
                <c:pt idx="2">
                  <c:v>0.18697562053961533</c:v>
                </c:pt>
                <c:pt idx="3">
                  <c:v>0.19804258831267732</c:v>
                </c:pt>
                <c:pt idx="4">
                  <c:v>0.20927543881532734</c:v>
                </c:pt>
                <c:pt idx="5">
                  <c:v>0.22064060589674078</c:v>
                </c:pt>
                <c:pt idx="6">
                  <c:v>0.23210539870929253</c:v>
                </c:pt>
                <c:pt idx="7">
                  <c:v>0.2436384194906181</c:v>
                </c:pt>
                <c:pt idx="8">
                  <c:v>0.25520990411525657</c:v>
                </c:pt>
                <c:pt idx="9">
                  <c:v>0.26679198379789282</c:v>
                </c:pt>
                <c:pt idx="10">
                  <c:v>0.27835887021027766</c:v>
                </c:pt>
                <c:pt idx="11">
                  <c:v>0.28988696934769387</c:v>
                </c:pt>
                <c:pt idx="12">
                  <c:v>0.30135493168614808</c:v>
                </c:pt>
                <c:pt idx="13">
                  <c:v>0.31274364753335887</c:v>
                </c:pt>
                <c:pt idx="14">
                  <c:v>0.32403619708419223</c:v>
                </c:pt>
                <c:pt idx="15">
                  <c:v>0.33521776467319042</c:v>
                </c:pt>
                <c:pt idx="16">
                  <c:v>0.34627552621915836</c:v>
                </c:pt>
                <c:pt idx="17">
                  <c:v>0.35719851802483193</c:v>
                </c:pt>
                <c:pt idx="18">
                  <c:v>0.36797749406046093</c:v>
                </c:pt>
                <c:pt idx="19">
                  <c:v>0.37860477773500589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53-5041-A8CA-925D4A75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069455"/>
        <c:axId val="1307897695"/>
      </c:lineChart>
      <c:catAx>
        <c:axId val="173106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897695"/>
        <c:crosses val="autoZero"/>
        <c:auto val="1"/>
        <c:lblAlgn val="ctr"/>
        <c:lblOffset val="100"/>
        <c:noMultiLvlLbl val="0"/>
      </c:catAx>
      <c:valAx>
        <c:axId val="130789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06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</a:t>
            </a:r>
            <a:r>
              <a:rPr lang="en-US" baseline="0"/>
              <a:t> to 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Yield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Sheet1!$E$63:$E$83</c:f>
              <c:numCache>
                <c:formatCode>0.00</c:formatCode>
                <c:ptCount val="21"/>
                <c:pt idx="0">
                  <c:v>5.5E-2</c:v>
                </c:pt>
                <c:pt idx="1">
                  <c:v>6.0500000000000005E-2</c:v>
                </c:pt>
                <c:pt idx="2">
                  <c:v>6.6000000000000003E-2</c:v>
                </c:pt>
                <c:pt idx="3">
                  <c:v>7.1500000000000008E-2</c:v>
                </c:pt>
                <c:pt idx="4">
                  <c:v>7.6999999999999999E-2</c:v>
                </c:pt>
                <c:pt idx="5">
                  <c:v>8.2500000000000004E-2</c:v>
                </c:pt>
                <c:pt idx="6">
                  <c:v>8.8000000000000009E-2</c:v>
                </c:pt>
                <c:pt idx="7">
                  <c:v>9.35E-2</c:v>
                </c:pt>
                <c:pt idx="8">
                  <c:v>9.9000000000000005E-2</c:v>
                </c:pt>
                <c:pt idx="9">
                  <c:v>0.1045</c:v>
                </c:pt>
                <c:pt idx="10">
                  <c:v>0.11</c:v>
                </c:pt>
                <c:pt idx="11">
                  <c:v>0.11550000000000001</c:v>
                </c:pt>
                <c:pt idx="12">
                  <c:v>0.12100000000000001</c:v>
                </c:pt>
                <c:pt idx="13">
                  <c:v>0.1265</c:v>
                </c:pt>
                <c:pt idx="14">
                  <c:v>0.13200000000000001</c:v>
                </c:pt>
                <c:pt idx="15">
                  <c:v>0.13750000000000001</c:v>
                </c:pt>
                <c:pt idx="16">
                  <c:v>0.14300000000000002</c:v>
                </c:pt>
                <c:pt idx="17">
                  <c:v>0.14850000000000002</c:v>
                </c:pt>
                <c:pt idx="18">
                  <c:v>0.154</c:v>
                </c:pt>
                <c:pt idx="19">
                  <c:v>0.1595</c:v>
                </c:pt>
                <c:pt idx="20">
                  <c:v>0.16500000000000001</c:v>
                </c:pt>
              </c:numCache>
            </c:numRef>
          </c:cat>
          <c:val>
            <c:numRef>
              <c:f>Sheet1!$F$63:$F$83</c:f>
              <c:numCache>
                <c:formatCode>General</c:formatCode>
                <c:ptCount val="21"/>
                <c:pt idx="0">
                  <c:v>0.81858779700250384</c:v>
                </c:pt>
                <c:pt idx="1">
                  <c:v>0.83608556254108191</c:v>
                </c:pt>
                <c:pt idx="2">
                  <c:v>0.86453659628806645</c:v>
                </c:pt>
                <c:pt idx="3">
                  <c:v>0.86846262787023454</c:v>
                </c:pt>
                <c:pt idx="4">
                  <c:v>0.89012171783844196</c:v>
                </c:pt>
                <c:pt idx="5">
                  <c:v>0.89856346264807163</c:v>
                </c:pt>
                <c:pt idx="6">
                  <c:v>0.90300445344698432</c:v>
                </c:pt>
                <c:pt idx="7">
                  <c:v>0.91501850959376196</c:v>
                </c:pt>
                <c:pt idx="8">
                  <c:v>0.93206968941763924</c:v>
                </c:pt>
                <c:pt idx="9">
                  <c:v>0.92203891765852808</c:v>
                </c:pt>
                <c:pt idx="10">
                  <c:v>0.92548350276448099</c:v>
                </c:pt>
                <c:pt idx="11">
                  <c:v>0.93675413015638331</c:v>
                </c:pt>
                <c:pt idx="12">
                  <c:v>0.93976381244308083</c:v>
                </c:pt>
                <c:pt idx="13">
                  <c:v>0.94682549649121794</c:v>
                </c:pt>
                <c:pt idx="14">
                  <c:v>0.96017757496890155</c:v>
                </c:pt>
                <c:pt idx="15">
                  <c:v>0.95240707183912598</c:v>
                </c:pt>
                <c:pt idx="16">
                  <c:v>0.93630065328698786</c:v>
                </c:pt>
                <c:pt idx="17">
                  <c:v>0.93467741819322403</c:v>
                </c:pt>
                <c:pt idx="18">
                  <c:v>0.94748572089863736</c:v>
                </c:pt>
                <c:pt idx="19">
                  <c:v>0.95768038483721518</c:v>
                </c:pt>
                <c:pt idx="20">
                  <c:v>0.95873089328005767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B8-104A-9598-FD7233C8AAC1}"/>
            </c:ext>
          </c:extLst>
        </c:ser>
        <c:ser>
          <c:idx val="1"/>
          <c:order val="1"/>
          <c:tx>
            <c:v>SPR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Sheet1!$E$63:$E$83</c:f>
              <c:numCache>
                <c:formatCode>0.00</c:formatCode>
                <c:ptCount val="21"/>
                <c:pt idx="0">
                  <c:v>5.5E-2</c:v>
                </c:pt>
                <c:pt idx="1">
                  <c:v>6.0500000000000005E-2</c:v>
                </c:pt>
                <c:pt idx="2">
                  <c:v>6.6000000000000003E-2</c:v>
                </c:pt>
                <c:pt idx="3">
                  <c:v>7.1500000000000008E-2</c:v>
                </c:pt>
                <c:pt idx="4">
                  <c:v>7.6999999999999999E-2</c:v>
                </c:pt>
                <c:pt idx="5">
                  <c:v>8.2500000000000004E-2</c:v>
                </c:pt>
                <c:pt idx="6">
                  <c:v>8.8000000000000009E-2</c:v>
                </c:pt>
                <c:pt idx="7">
                  <c:v>9.35E-2</c:v>
                </c:pt>
                <c:pt idx="8">
                  <c:v>9.9000000000000005E-2</c:v>
                </c:pt>
                <c:pt idx="9">
                  <c:v>0.1045</c:v>
                </c:pt>
                <c:pt idx="10">
                  <c:v>0.11</c:v>
                </c:pt>
                <c:pt idx="11">
                  <c:v>0.11550000000000001</c:v>
                </c:pt>
                <c:pt idx="12">
                  <c:v>0.12100000000000001</c:v>
                </c:pt>
                <c:pt idx="13">
                  <c:v>0.1265</c:v>
                </c:pt>
                <c:pt idx="14">
                  <c:v>0.13200000000000001</c:v>
                </c:pt>
                <c:pt idx="15">
                  <c:v>0.13750000000000001</c:v>
                </c:pt>
                <c:pt idx="16">
                  <c:v>0.14300000000000002</c:v>
                </c:pt>
                <c:pt idx="17">
                  <c:v>0.14850000000000002</c:v>
                </c:pt>
                <c:pt idx="18">
                  <c:v>0.154</c:v>
                </c:pt>
                <c:pt idx="19">
                  <c:v>0.1595</c:v>
                </c:pt>
                <c:pt idx="20">
                  <c:v>0.16500000000000001</c:v>
                </c:pt>
              </c:numCache>
            </c:numRef>
          </c:cat>
          <c:val>
            <c:numRef>
              <c:f>Sheet1!$G$63:$G$83</c:f>
              <c:numCache>
                <c:formatCode>General</c:formatCode>
                <c:ptCount val="21"/>
                <c:pt idx="0">
                  <c:v>0.20007456507353569</c:v>
                </c:pt>
                <c:pt idx="1">
                  <c:v>0.19864557389562346</c:v>
                </c:pt>
                <c:pt idx="2">
                  <c:v>0.20410568742063639</c:v>
                </c:pt>
                <c:pt idx="3">
                  <c:v>0.20402361997756763</c:v>
                </c:pt>
                <c:pt idx="4">
                  <c:v>0.21382164047741664</c:v>
                </c:pt>
                <c:pt idx="5">
                  <c:v>0.22704042924984039</c:v>
                </c:pt>
                <c:pt idx="6">
                  <c:v>0.22779794063333417</c:v>
                </c:pt>
                <c:pt idx="7">
                  <c:v>0.24672178240869319</c:v>
                </c:pt>
                <c:pt idx="8">
                  <c:v>0.24915005414501287</c:v>
                </c:pt>
                <c:pt idx="9">
                  <c:v>0.26838769218348091</c:v>
                </c:pt>
                <c:pt idx="10">
                  <c:v>0.26679198379789282</c:v>
                </c:pt>
                <c:pt idx="11">
                  <c:v>0.27891698843594298</c:v>
                </c:pt>
                <c:pt idx="12">
                  <c:v>0.30426262241112223</c:v>
                </c:pt>
                <c:pt idx="13">
                  <c:v>0.31079072147722181</c:v>
                </c:pt>
                <c:pt idx="14">
                  <c:v>0.31034036304051626</c:v>
                </c:pt>
                <c:pt idx="15">
                  <c:v>0.32634929862864798</c:v>
                </c:pt>
                <c:pt idx="16">
                  <c:v>0.34189998578294023</c:v>
                </c:pt>
                <c:pt idx="17">
                  <c:v>0.35760819489655621</c:v>
                </c:pt>
                <c:pt idx="18">
                  <c:v>0.35040983346638854</c:v>
                </c:pt>
                <c:pt idx="19">
                  <c:v>0.35537836838713371</c:v>
                </c:pt>
                <c:pt idx="20">
                  <c:v>0.37353719443027006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B8-104A-9598-FD7233C8A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190591"/>
        <c:axId val="1612428239"/>
      </c:lineChart>
      <c:catAx>
        <c:axId val="176219059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428239"/>
        <c:crosses val="autoZero"/>
        <c:auto val="1"/>
        <c:lblAlgn val="ctr"/>
        <c:lblOffset val="100"/>
        <c:noMultiLvlLbl val="0"/>
      </c:catAx>
      <c:valAx>
        <c:axId val="161242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19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to Lmat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Yield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Sheet1!$V$39:$V$59</c:f>
              <c:numCache>
                <c:formatCode>General</c:formatCode>
                <c:ptCount val="21"/>
                <c:pt idx="0">
                  <c:v>225</c:v>
                </c:pt>
                <c:pt idx="1">
                  <c:v>247.50000000000003</c:v>
                </c:pt>
                <c:pt idx="2">
                  <c:v>270</c:v>
                </c:pt>
                <c:pt idx="3">
                  <c:v>292.5</c:v>
                </c:pt>
                <c:pt idx="4">
                  <c:v>315</c:v>
                </c:pt>
                <c:pt idx="5">
                  <c:v>337.5</c:v>
                </c:pt>
                <c:pt idx="6">
                  <c:v>360</c:v>
                </c:pt>
                <c:pt idx="7">
                  <c:v>382.5</c:v>
                </c:pt>
                <c:pt idx="8">
                  <c:v>405</c:v>
                </c:pt>
                <c:pt idx="9">
                  <c:v>427.5</c:v>
                </c:pt>
                <c:pt idx="10">
                  <c:v>450</c:v>
                </c:pt>
                <c:pt idx="11">
                  <c:v>472.5</c:v>
                </c:pt>
                <c:pt idx="12">
                  <c:v>495.00000000000006</c:v>
                </c:pt>
                <c:pt idx="13">
                  <c:v>517.5</c:v>
                </c:pt>
                <c:pt idx="14">
                  <c:v>540</c:v>
                </c:pt>
                <c:pt idx="15">
                  <c:v>562.5</c:v>
                </c:pt>
                <c:pt idx="16">
                  <c:v>585</c:v>
                </c:pt>
                <c:pt idx="17">
                  <c:v>607.5</c:v>
                </c:pt>
                <c:pt idx="18">
                  <c:v>630</c:v>
                </c:pt>
                <c:pt idx="19">
                  <c:v>652.5</c:v>
                </c:pt>
                <c:pt idx="20">
                  <c:v>675</c:v>
                </c:pt>
              </c:numCache>
            </c:numRef>
          </c:cat>
          <c:val>
            <c:numRef>
              <c:f>Sheet1!$W$39:$W$59</c:f>
              <c:numCache>
                <c:formatCode>General</c:formatCode>
                <c:ptCount val="21"/>
                <c:pt idx="0">
                  <c:v>0.92548350276448099</c:v>
                </c:pt>
                <c:pt idx="1">
                  <c:v>0.92548350276448099</c:v>
                </c:pt>
                <c:pt idx="2">
                  <c:v>0.92548350276448099</c:v>
                </c:pt>
                <c:pt idx="3">
                  <c:v>0.92548350276448099</c:v>
                </c:pt>
                <c:pt idx="4">
                  <c:v>0.92548350276448099</c:v>
                </c:pt>
                <c:pt idx="5">
                  <c:v>0.92548350276448099</c:v>
                </c:pt>
                <c:pt idx="6">
                  <c:v>0.92548350276448099</c:v>
                </c:pt>
                <c:pt idx="7">
                  <c:v>0.92548350276448099</c:v>
                </c:pt>
                <c:pt idx="8">
                  <c:v>0.92548350276448099</c:v>
                </c:pt>
                <c:pt idx="9">
                  <c:v>0.92548350276448099</c:v>
                </c:pt>
                <c:pt idx="10">
                  <c:v>0.92548350276448099</c:v>
                </c:pt>
                <c:pt idx="11">
                  <c:v>0.92548350276448099</c:v>
                </c:pt>
                <c:pt idx="12">
                  <c:v>0.92548350276448099</c:v>
                </c:pt>
                <c:pt idx="13">
                  <c:v>0.92548350276448099</c:v>
                </c:pt>
                <c:pt idx="14">
                  <c:v>0.92548350276448099</c:v>
                </c:pt>
                <c:pt idx="15">
                  <c:v>0.92548350276448099</c:v>
                </c:pt>
                <c:pt idx="16">
                  <c:v>0.92548350276448099</c:v>
                </c:pt>
                <c:pt idx="17">
                  <c:v>0.92548350276448099</c:v>
                </c:pt>
                <c:pt idx="18">
                  <c:v>0.92548350276448099</c:v>
                </c:pt>
                <c:pt idx="19">
                  <c:v>0.92548350276448099</c:v>
                </c:pt>
                <c:pt idx="20">
                  <c:v>0.92548350276448099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2-3442-8643-158E4202CF1C}"/>
            </c:ext>
          </c:extLst>
        </c:ser>
        <c:ser>
          <c:idx val="1"/>
          <c:order val="1"/>
          <c:tx>
            <c:v>SPR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Sheet1!$V$39:$V$59</c:f>
              <c:numCache>
                <c:formatCode>General</c:formatCode>
                <c:ptCount val="21"/>
                <c:pt idx="0">
                  <c:v>225</c:v>
                </c:pt>
                <c:pt idx="1">
                  <c:v>247.50000000000003</c:v>
                </c:pt>
                <c:pt idx="2">
                  <c:v>270</c:v>
                </c:pt>
                <c:pt idx="3">
                  <c:v>292.5</c:v>
                </c:pt>
                <c:pt idx="4">
                  <c:v>315</c:v>
                </c:pt>
                <c:pt idx="5">
                  <c:v>337.5</c:v>
                </c:pt>
                <c:pt idx="6">
                  <c:v>360</c:v>
                </c:pt>
                <c:pt idx="7">
                  <c:v>382.5</c:v>
                </c:pt>
                <c:pt idx="8">
                  <c:v>405</c:v>
                </c:pt>
                <c:pt idx="9">
                  <c:v>427.5</c:v>
                </c:pt>
                <c:pt idx="10">
                  <c:v>450</c:v>
                </c:pt>
                <c:pt idx="11">
                  <c:v>472.5</c:v>
                </c:pt>
                <c:pt idx="12">
                  <c:v>495.00000000000006</c:v>
                </c:pt>
                <c:pt idx="13">
                  <c:v>517.5</c:v>
                </c:pt>
                <c:pt idx="14">
                  <c:v>540</c:v>
                </c:pt>
                <c:pt idx="15">
                  <c:v>562.5</c:v>
                </c:pt>
                <c:pt idx="16">
                  <c:v>585</c:v>
                </c:pt>
                <c:pt idx="17">
                  <c:v>607.5</c:v>
                </c:pt>
                <c:pt idx="18">
                  <c:v>630</c:v>
                </c:pt>
                <c:pt idx="19">
                  <c:v>652.5</c:v>
                </c:pt>
                <c:pt idx="20">
                  <c:v>675</c:v>
                </c:pt>
              </c:numCache>
            </c:numRef>
          </c:cat>
          <c:val>
            <c:numRef>
              <c:f>Sheet1!$X$39:$X$59</c:f>
              <c:numCache>
                <c:formatCode>General</c:formatCode>
                <c:ptCount val="21"/>
                <c:pt idx="0">
                  <c:v>0.35765970846149359</c:v>
                </c:pt>
                <c:pt idx="1">
                  <c:v>0.35272466160281224</c:v>
                </c:pt>
                <c:pt idx="2">
                  <c:v>0.34652401461086191</c:v>
                </c:pt>
                <c:pt idx="3">
                  <c:v>0.33905471962559075</c:v>
                </c:pt>
                <c:pt idx="4">
                  <c:v>0.33213078435404969</c:v>
                </c:pt>
                <c:pt idx="5">
                  <c:v>0.32365664197978505</c:v>
                </c:pt>
                <c:pt idx="6">
                  <c:v>0.31329884386006879</c:v>
                </c:pt>
                <c:pt idx="7">
                  <c:v>0.3033089606620521</c:v>
                </c:pt>
                <c:pt idx="8">
                  <c:v>0.29259306081403008</c:v>
                </c:pt>
                <c:pt idx="9">
                  <c:v>0.27952569768562746</c:v>
                </c:pt>
                <c:pt idx="10">
                  <c:v>0.26679198379789282</c:v>
                </c:pt>
                <c:pt idx="11">
                  <c:v>0.25368603476698903</c:v>
                </c:pt>
                <c:pt idx="12">
                  <c:v>0.2375363098392827</c:v>
                </c:pt>
                <c:pt idx="13">
                  <c:v>0.22378497643193673</c:v>
                </c:pt>
                <c:pt idx="14">
                  <c:v>0.20804294209801008</c:v>
                </c:pt>
                <c:pt idx="15">
                  <c:v>0.19154549683635005</c:v>
                </c:pt>
                <c:pt idx="16">
                  <c:v>0.17711262514205589</c:v>
                </c:pt>
                <c:pt idx="17">
                  <c:v>0.1600408554063423</c:v>
                </c:pt>
                <c:pt idx="18">
                  <c:v>0.1468649932102512</c:v>
                </c:pt>
                <c:pt idx="19">
                  <c:v>0.13106544350678981</c:v>
                </c:pt>
                <c:pt idx="20">
                  <c:v>0.11847732643395123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D2-3442-8643-158E4202C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548095"/>
        <c:axId val="1739797567"/>
      </c:lineChart>
      <c:catAx>
        <c:axId val="176254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797567"/>
        <c:crosses val="autoZero"/>
        <c:auto val="1"/>
        <c:lblAlgn val="ctr"/>
        <c:lblOffset val="100"/>
        <c:noMultiLvlLbl val="0"/>
      </c:catAx>
      <c:valAx>
        <c:axId val="173979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54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to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Yield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Sheet1!$V$63:$V$83</c:f>
              <c:numCache>
                <c:formatCode>General</c:formatCode>
                <c:ptCount val="21"/>
                <c:pt idx="0">
                  <c:v>7.4999999999999997E-2</c:v>
                </c:pt>
                <c:pt idx="1">
                  <c:v>8.2500000000000004E-2</c:v>
                </c:pt>
                <c:pt idx="2">
                  <c:v>0.09</c:v>
                </c:pt>
                <c:pt idx="3">
                  <c:v>9.7500000000000003E-2</c:v>
                </c:pt>
                <c:pt idx="4">
                  <c:v>0.105</c:v>
                </c:pt>
                <c:pt idx="5">
                  <c:v>0.11249999999999999</c:v>
                </c:pt>
                <c:pt idx="6">
                  <c:v>0.12</c:v>
                </c:pt>
                <c:pt idx="7">
                  <c:v>0.1275</c:v>
                </c:pt>
                <c:pt idx="8">
                  <c:v>0.13500000000000001</c:v>
                </c:pt>
                <c:pt idx="9">
                  <c:v>0.14249999999999999</c:v>
                </c:pt>
                <c:pt idx="10">
                  <c:v>0.15</c:v>
                </c:pt>
                <c:pt idx="11">
                  <c:v>0.1575</c:v>
                </c:pt>
                <c:pt idx="12">
                  <c:v>0.16500000000000001</c:v>
                </c:pt>
                <c:pt idx="13">
                  <c:v>0.17249999999999999</c:v>
                </c:pt>
                <c:pt idx="14">
                  <c:v>0.18</c:v>
                </c:pt>
                <c:pt idx="15">
                  <c:v>0.1875</c:v>
                </c:pt>
                <c:pt idx="16">
                  <c:v>0.19500000000000001</c:v>
                </c:pt>
                <c:pt idx="17">
                  <c:v>0.20250000000000001</c:v>
                </c:pt>
                <c:pt idx="18">
                  <c:v>0.21</c:v>
                </c:pt>
                <c:pt idx="19">
                  <c:v>0.2175</c:v>
                </c:pt>
                <c:pt idx="20">
                  <c:v>0.22499999999999998</c:v>
                </c:pt>
              </c:numCache>
            </c:numRef>
          </c:cat>
          <c:val>
            <c:numRef>
              <c:f>Sheet1!$W$63:$W$83</c:f>
              <c:numCache>
                <c:formatCode>General</c:formatCode>
                <c:ptCount val="21"/>
                <c:pt idx="0">
                  <c:v>0.97369839935656977</c:v>
                </c:pt>
                <c:pt idx="1">
                  <c:v>0.96879753170978045</c:v>
                </c:pt>
                <c:pt idx="2">
                  <c:v>0.96391441018982538</c:v>
                </c:pt>
                <c:pt idx="3">
                  <c:v>0.95904899476191785</c:v>
                </c:pt>
                <c:pt idx="4">
                  <c:v>0.95420124543099893</c:v>
                </c:pt>
                <c:pt idx="5">
                  <c:v>0.94937112224173648</c:v>
                </c:pt>
                <c:pt idx="6">
                  <c:v>0.94455858527852343</c:v>
                </c:pt>
                <c:pt idx="7">
                  <c:v>0.93976359466548132</c:v>
                </c:pt>
                <c:pt idx="8">
                  <c:v>0.93498611056645675</c:v>
                </c:pt>
                <c:pt idx="9">
                  <c:v>0.93022609318502314</c:v>
                </c:pt>
                <c:pt idx="10">
                  <c:v>0.92548350276448099</c:v>
                </c:pt>
                <c:pt idx="11">
                  <c:v>0.92075829958785593</c:v>
                </c:pt>
                <c:pt idx="12">
                  <c:v>0.9160504439779027</c:v>
                </c:pt>
                <c:pt idx="13">
                  <c:v>0.91135989629710046</c:v>
                </c:pt>
                <c:pt idx="14">
                  <c:v>0.90668661694765429</c:v>
                </c:pt>
                <c:pt idx="15">
                  <c:v>0.90203056637149792</c:v>
                </c:pt>
                <c:pt idx="16">
                  <c:v>0.89739170505028842</c:v>
                </c:pt>
                <c:pt idx="17">
                  <c:v>0.89276999350541297</c:v>
                </c:pt>
                <c:pt idx="18">
                  <c:v>0.88816539229798175</c:v>
                </c:pt>
                <c:pt idx="19">
                  <c:v>0.88357786202883448</c:v>
                </c:pt>
                <c:pt idx="20">
                  <c:v>0.87900736333853402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7-0042-9816-7E7BBA6B065C}"/>
            </c:ext>
          </c:extLst>
        </c:ser>
        <c:ser>
          <c:idx val="1"/>
          <c:order val="1"/>
          <c:tx>
            <c:v>SPR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Sheet1!$V$63:$V$83</c:f>
              <c:numCache>
                <c:formatCode>General</c:formatCode>
                <c:ptCount val="21"/>
                <c:pt idx="0">
                  <c:v>7.4999999999999997E-2</c:v>
                </c:pt>
                <c:pt idx="1">
                  <c:v>8.2500000000000004E-2</c:v>
                </c:pt>
                <c:pt idx="2">
                  <c:v>0.09</c:v>
                </c:pt>
                <c:pt idx="3">
                  <c:v>9.7500000000000003E-2</c:v>
                </c:pt>
                <c:pt idx="4">
                  <c:v>0.105</c:v>
                </c:pt>
                <c:pt idx="5">
                  <c:v>0.11249999999999999</c:v>
                </c:pt>
                <c:pt idx="6">
                  <c:v>0.12</c:v>
                </c:pt>
                <c:pt idx="7">
                  <c:v>0.1275</c:v>
                </c:pt>
                <c:pt idx="8">
                  <c:v>0.13500000000000001</c:v>
                </c:pt>
                <c:pt idx="9">
                  <c:v>0.14249999999999999</c:v>
                </c:pt>
                <c:pt idx="10">
                  <c:v>0.15</c:v>
                </c:pt>
                <c:pt idx="11">
                  <c:v>0.1575</c:v>
                </c:pt>
                <c:pt idx="12">
                  <c:v>0.16500000000000001</c:v>
                </c:pt>
                <c:pt idx="13">
                  <c:v>0.17249999999999999</c:v>
                </c:pt>
                <c:pt idx="14">
                  <c:v>0.18</c:v>
                </c:pt>
                <c:pt idx="15">
                  <c:v>0.1875</c:v>
                </c:pt>
                <c:pt idx="16">
                  <c:v>0.19500000000000001</c:v>
                </c:pt>
                <c:pt idx="17">
                  <c:v>0.20250000000000001</c:v>
                </c:pt>
                <c:pt idx="18">
                  <c:v>0.21</c:v>
                </c:pt>
                <c:pt idx="19">
                  <c:v>0.2175</c:v>
                </c:pt>
                <c:pt idx="20">
                  <c:v>0.22499999999999998</c:v>
                </c:pt>
              </c:numCache>
            </c:numRef>
          </c:cat>
          <c:val>
            <c:numRef>
              <c:f>Sheet1!$X$63:$X$83</c:f>
              <c:numCache>
                <c:formatCode>General</c:formatCode>
                <c:ptCount val="21"/>
                <c:pt idx="0">
                  <c:v>0.28036788133575413</c:v>
                </c:pt>
                <c:pt idx="1">
                  <c:v>0.27898839012440679</c:v>
                </c:pt>
                <c:pt idx="2">
                  <c:v>0.27761379490055282</c:v>
                </c:pt>
                <c:pt idx="3">
                  <c:v>0.27624408477137224</c:v>
                </c:pt>
                <c:pt idx="4">
                  <c:v>0.27487924885488685</c:v>
                </c:pt>
                <c:pt idx="5">
                  <c:v>0.27351927627996081</c:v>
                </c:pt>
                <c:pt idx="6">
                  <c:v>0.27216415618629985</c:v>
                </c:pt>
                <c:pt idx="7">
                  <c:v>0.27081387772445198</c:v>
                </c:pt>
                <c:pt idx="8">
                  <c:v>0.2694684300558069</c:v>
                </c:pt>
                <c:pt idx="9">
                  <c:v>0.26812780235259576</c:v>
                </c:pt>
                <c:pt idx="10">
                  <c:v>0.26679198379789282</c:v>
                </c:pt>
                <c:pt idx="11">
                  <c:v>0.26546096358561294</c:v>
                </c:pt>
                <c:pt idx="12">
                  <c:v>0.26413473092051387</c:v>
                </c:pt>
                <c:pt idx="13">
                  <c:v>0.26281327501819479</c:v>
                </c:pt>
                <c:pt idx="14">
                  <c:v>0.26149658510509699</c:v>
                </c:pt>
                <c:pt idx="15">
                  <c:v>0.26018465041850325</c:v>
                </c:pt>
                <c:pt idx="16">
                  <c:v>0.25887746020653868</c:v>
                </c:pt>
                <c:pt idx="17">
                  <c:v>0.2575750037281701</c:v>
                </c:pt>
                <c:pt idx="18">
                  <c:v>0.25627727025320618</c:v>
                </c:pt>
                <c:pt idx="19">
                  <c:v>0.25498424906229772</c:v>
                </c:pt>
                <c:pt idx="20">
                  <c:v>0.25369592944693681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7-0042-9816-7E7BBA6B0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3825583"/>
        <c:axId val="1819965183"/>
      </c:lineChart>
      <c:catAx>
        <c:axId val="172382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965183"/>
        <c:crosses val="autoZero"/>
        <c:auto val="1"/>
        <c:lblAlgn val="ctr"/>
        <c:lblOffset val="100"/>
        <c:noMultiLvlLbl val="0"/>
      </c:catAx>
      <c:valAx>
        <c:axId val="18199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82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Dissatisfaction v</a:t>
            </a:r>
            <a:r>
              <a:rPr lang="en-US" baseline="0"/>
              <a:t> MinLL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Mem_Catch_Dis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Sheet1!$AI$52:$AI$78</c:f>
              <c:numCache>
                <c:formatCode>General</c:formatCode>
                <c:ptCount val="27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</c:numCache>
            </c:numRef>
          </c:cat>
          <c:val>
            <c:numRef>
              <c:f>Sheet1!$AM$52:$AM$78</c:f>
              <c:numCache>
                <c:formatCode>General</c:formatCode>
                <c:ptCount val="27"/>
                <c:pt idx="0">
                  <c:v>2.1693919504627219</c:v>
                </c:pt>
                <c:pt idx="1">
                  <c:v>2.1693919504627219</c:v>
                </c:pt>
                <c:pt idx="2">
                  <c:v>2.1693919504627219</c:v>
                </c:pt>
                <c:pt idx="3">
                  <c:v>2.1693919504627219</c:v>
                </c:pt>
                <c:pt idx="4">
                  <c:v>2.1693919504627219</c:v>
                </c:pt>
                <c:pt idx="5">
                  <c:v>2.1693919504627197</c:v>
                </c:pt>
                <c:pt idx="6">
                  <c:v>2.1693919373532142</c:v>
                </c:pt>
                <c:pt idx="7">
                  <c:v>2.1662600058028554</c:v>
                </c:pt>
                <c:pt idx="8">
                  <c:v>1.7969921055836466</c:v>
                </c:pt>
                <c:pt idx="9">
                  <c:v>1.5826981071964035</c:v>
                </c:pt>
                <c:pt idx="10">
                  <c:v>1.4865417329071271</c:v>
                </c:pt>
                <c:pt idx="11">
                  <c:v>1.3930877377514737</c:v>
                </c:pt>
                <c:pt idx="12">
                  <c:v>1.2998719573596869</c:v>
                </c:pt>
                <c:pt idx="13">
                  <c:v>1.2217411993170579</c:v>
                </c:pt>
                <c:pt idx="14">
                  <c:v>1.1625013412206811</c:v>
                </c:pt>
                <c:pt idx="15">
                  <c:v>1.1182968549005139</c:v>
                </c:pt>
                <c:pt idx="16">
                  <c:v>1.0797719952077169</c:v>
                </c:pt>
                <c:pt idx="17">
                  <c:v>1.0497971678096116</c:v>
                </c:pt>
                <c:pt idx="18">
                  <c:v>1.0268686598704426</c:v>
                </c:pt>
                <c:pt idx="19">
                  <c:v>1.0106413667982654</c:v>
                </c:pt>
                <c:pt idx="20">
                  <c:v>1.0015272855907411</c:v>
                </c:pt>
                <c:pt idx="21">
                  <c:v>1.0000238423374834</c:v>
                </c:pt>
                <c:pt idx="22">
                  <c:v>1.000000329937812</c:v>
                </c:pt>
                <c:pt idx="23">
                  <c:v>1.000000006598472</c:v>
                </c:pt>
                <c:pt idx="24">
                  <c:v>1.0000000001830673</c:v>
                </c:pt>
                <c:pt idx="25">
                  <c:v>1.0000000000064815</c:v>
                </c:pt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3-0441-BEE6-46F6CE7F9816}"/>
            </c:ext>
          </c:extLst>
        </c:ser>
        <c:ser>
          <c:idx val="1"/>
          <c:order val="1"/>
          <c:tx>
            <c:v>Yield_Dis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Sheet1!$AI$52:$AI$78</c:f>
              <c:numCache>
                <c:formatCode>General</c:formatCode>
                <c:ptCount val="27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</c:numCache>
            </c:numRef>
          </c:cat>
          <c:val>
            <c:numRef>
              <c:f>Sheet1!$AN$52:$AN$78</c:f>
              <c:numCache>
                <c:formatCode>General</c:formatCode>
                <c:ptCount val="27"/>
                <c:pt idx="0">
                  <c:v>1.1363522157046042</c:v>
                </c:pt>
                <c:pt idx="1">
                  <c:v>1.1363522157046042</c:v>
                </c:pt>
                <c:pt idx="2">
                  <c:v>1.1363522157046042</c:v>
                </c:pt>
                <c:pt idx="3">
                  <c:v>1.1363522157046042</c:v>
                </c:pt>
                <c:pt idx="4">
                  <c:v>1.1363522157046042</c:v>
                </c:pt>
                <c:pt idx="5">
                  <c:v>1.1363522157046035</c:v>
                </c:pt>
                <c:pt idx="6">
                  <c:v>1.1363522112396758</c:v>
                </c:pt>
                <c:pt idx="7">
                  <c:v>1.1356943321677564</c:v>
                </c:pt>
                <c:pt idx="8">
                  <c:v>1.0492344564578193</c:v>
                </c:pt>
                <c:pt idx="9">
                  <c:v>1.0074852454754821</c:v>
                </c:pt>
                <c:pt idx="10">
                  <c:v>1</c:v>
                </c:pt>
                <c:pt idx="11">
                  <c:v>1.0018430112237828</c:v>
                </c:pt>
                <c:pt idx="12">
                  <c:v>1.0294460165574313</c:v>
                </c:pt>
                <c:pt idx="13">
                  <c:v>1.096452404278947</c:v>
                </c:pt>
                <c:pt idx="14">
                  <c:v>1.2091324908718566</c:v>
                </c:pt>
                <c:pt idx="15">
                  <c:v>1.3831676712627416</c:v>
                </c:pt>
                <c:pt idx="16">
                  <c:v>1.6990243283545909</c:v>
                </c:pt>
                <c:pt idx="17">
                  <c:v>2.2732771103333413</c:v>
                </c:pt>
                <c:pt idx="18">
                  <c:v>3.4965470120938011</c:v>
                </c:pt>
                <c:pt idx="19">
                  <c:v>6.9701503840212151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E3-0441-BEE6-46F6CE7F9816}"/>
            </c:ext>
          </c:extLst>
        </c:ser>
        <c:ser>
          <c:idx val="2"/>
          <c:order val="2"/>
          <c:tx>
            <c:v>Total_Dis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Sheet1!$AI$52:$AI$78</c:f>
              <c:numCache>
                <c:formatCode>General</c:formatCode>
                <c:ptCount val="27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</c:numCache>
            </c:numRef>
          </c:cat>
          <c:val>
            <c:numRef>
              <c:f>Sheet1!$AO$52:$AO$78</c:f>
              <c:numCache>
                <c:formatCode>0.00</c:formatCode>
                <c:ptCount val="27"/>
                <c:pt idx="0">
                  <c:v>3.3057441661673259</c:v>
                </c:pt>
                <c:pt idx="1">
                  <c:v>3.3057441661673259</c:v>
                </c:pt>
                <c:pt idx="2">
                  <c:v>3.3057441661673259</c:v>
                </c:pt>
                <c:pt idx="3">
                  <c:v>3.3057441661673259</c:v>
                </c:pt>
                <c:pt idx="4">
                  <c:v>3.3057441661673259</c:v>
                </c:pt>
                <c:pt idx="5">
                  <c:v>3.3057441661673233</c:v>
                </c:pt>
                <c:pt idx="6">
                  <c:v>3.3057441485928898</c:v>
                </c:pt>
                <c:pt idx="7">
                  <c:v>3.3019543379706118</c:v>
                </c:pt>
                <c:pt idx="8">
                  <c:v>2.846226562041466</c:v>
                </c:pt>
                <c:pt idx="9">
                  <c:v>2.5901833526718856</c:v>
                </c:pt>
                <c:pt idx="10">
                  <c:v>2.4865417329071269</c:v>
                </c:pt>
                <c:pt idx="11">
                  <c:v>2.3949307489752565</c:v>
                </c:pt>
                <c:pt idx="12">
                  <c:v>2.3293179739171181</c:v>
                </c:pt>
                <c:pt idx="13">
                  <c:v>2.3181936035960051</c:v>
                </c:pt>
                <c:pt idx="14">
                  <c:v>2.3716338320925376</c:v>
                </c:pt>
                <c:pt idx="15">
                  <c:v>2.5014645261632555</c:v>
                </c:pt>
                <c:pt idx="16">
                  <c:v>2.7787963235623079</c:v>
                </c:pt>
                <c:pt idx="17">
                  <c:v>3.3230742781429532</c:v>
                </c:pt>
                <c:pt idx="18">
                  <c:v>4.5234156719642442</c:v>
                </c:pt>
                <c:pt idx="19">
                  <c:v>7.9807917508194803</c:v>
                </c:pt>
                <c:pt idx="20">
                  <c:v>11.001527285590742</c:v>
                </c:pt>
                <c:pt idx="21">
                  <c:v>11.000023842337484</c:v>
                </c:pt>
                <c:pt idx="22">
                  <c:v>11.000000329937812</c:v>
                </c:pt>
                <c:pt idx="23">
                  <c:v>11.000000006598473</c:v>
                </c:pt>
                <c:pt idx="24">
                  <c:v>11.000000000183068</c:v>
                </c:pt>
                <c:pt idx="25">
                  <c:v>11.000000000006482</c:v>
                </c:pt>
                <c:pt idx="2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E3-0441-BEE6-46F6CE7F9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172239"/>
        <c:axId val="1408185007"/>
      </c:lineChart>
      <c:catAx>
        <c:axId val="140817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185007"/>
        <c:crosses val="autoZero"/>
        <c:auto val="1"/>
        <c:lblAlgn val="ctr"/>
        <c:lblOffset val="100"/>
        <c:noMultiLvlLbl val="0"/>
      </c:catAx>
      <c:valAx>
        <c:axId val="14081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17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Dissatisfaction v MaxLL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Mem_Catch_Dis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Sheet1!$AI$87:$AI$113</c:f>
              <c:numCache>
                <c:formatCode>General</c:formatCode>
                <c:ptCount val="27"/>
                <c:pt idx="0">
                  <c:v>550</c:v>
                </c:pt>
                <c:pt idx="1">
                  <c:v>600</c:v>
                </c:pt>
                <c:pt idx="2">
                  <c:v>650</c:v>
                </c:pt>
                <c:pt idx="3">
                  <c:v>700</c:v>
                </c:pt>
                <c:pt idx="4">
                  <c:v>750</c:v>
                </c:pt>
                <c:pt idx="5">
                  <c:v>800</c:v>
                </c:pt>
                <c:pt idx="6">
                  <c:v>850</c:v>
                </c:pt>
                <c:pt idx="7">
                  <c:v>900</c:v>
                </c:pt>
                <c:pt idx="8">
                  <c:v>950</c:v>
                </c:pt>
                <c:pt idx="9">
                  <c:v>1000</c:v>
                </c:pt>
                <c:pt idx="10">
                  <c:v>1050</c:v>
                </c:pt>
                <c:pt idx="11">
                  <c:v>1100</c:v>
                </c:pt>
                <c:pt idx="12">
                  <c:v>1150</c:v>
                </c:pt>
                <c:pt idx="13">
                  <c:v>1200</c:v>
                </c:pt>
                <c:pt idx="14">
                  <c:v>1250</c:v>
                </c:pt>
                <c:pt idx="15">
                  <c:v>1300</c:v>
                </c:pt>
                <c:pt idx="16">
                  <c:v>1350</c:v>
                </c:pt>
                <c:pt idx="17">
                  <c:v>1400</c:v>
                </c:pt>
                <c:pt idx="18">
                  <c:v>1450</c:v>
                </c:pt>
                <c:pt idx="19">
                  <c:v>1500</c:v>
                </c:pt>
                <c:pt idx="20">
                  <c:v>1550</c:v>
                </c:pt>
                <c:pt idx="21">
                  <c:v>1600</c:v>
                </c:pt>
                <c:pt idx="22">
                  <c:v>1650</c:v>
                </c:pt>
                <c:pt idx="23">
                  <c:v>1700</c:v>
                </c:pt>
                <c:pt idx="24">
                  <c:v>1750</c:v>
                </c:pt>
                <c:pt idx="25">
                  <c:v>1800</c:v>
                </c:pt>
                <c:pt idx="26">
                  <c:v>1850</c:v>
                </c:pt>
              </c:numCache>
            </c:numRef>
          </c:cat>
          <c:val>
            <c:numRef>
              <c:f>Sheet1!$AM$87:$AM$113</c:f>
              <c:numCache>
                <c:formatCode>General</c:formatCode>
                <c:ptCount val="27"/>
                <c:pt idx="0">
                  <c:v>0.99999999999967326</c:v>
                </c:pt>
                <c:pt idx="1">
                  <c:v>1.0984455233844774</c:v>
                </c:pt>
                <c:pt idx="2">
                  <c:v>1.1934282889612655</c:v>
                </c:pt>
                <c:pt idx="3">
                  <c:v>1.2668132700092869</c:v>
                </c:pt>
                <c:pt idx="4">
                  <c:v>1.3170915187697139</c:v>
                </c:pt>
                <c:pt idx="5">
                  <c:v>1.3544001384098201</c:v>
                </c:pt>
                <c:pt idx="6">
                  <c:v>1.3764898767624802</c:v>
                </c:pt>
                <c:pt idx="7">
                  <c:v>1.3877764870898877</c:v>
                </c:pt>
                <c:pt idx="8">
                  <c:v>1.3921221210243528</c:v>
                </c:pt>
                <c:pt idx="9">
                  <c:v>1.3930425032561264</c:v>
                </c:pt>
                <c:pt idx="10">
                  <c:v>1.3930872186733374</c:v>
                </c:pt>
                <c:pt idx="11">
                  <c:v>1.393087730386416</c:v>
                </c:pt>
                <c:pt idx="12">
                  <c:v>1.3930877375996773</c:v>
                </c:pt>
                <c:pt idx="13">
                  <c:v>1.3930877377471276</c:v>
                </c:pt>
                <c:pt idx="14">
                  <c:v>1.3930877377513082</c:v>
                </c:pt>
                <c:pt idx="15">
                  <c:v>1.3930877377514657</c:v>
                </c:pt>
                <c:pt idx="16">
                  <c:v>1.3930877377514732</c:v>
                </c:pt>
                <c:pt idx="17">
                  <c:v>1.3930877377514737</c:v>
                </c:pt>
                <c:pt idx="18">
                  <c:v>1.3930877377514737</c:v>
                </c:pt>
                <c:pt idx="19">
                  <c:v>1.3930877377514737</c:v>
                </c:pt>
                <c:pt idx="20">
                  <c:v>1.3930877377514737</c:v>
                </c:pt>
                <c:pt idx="21">
                  <c:v>1.3930877377514737</c:v>
                </c:pt>
                <c:pt idx="22">
                  <c:v>1.3930877377514737</c:v>
                </c:pt>
                <c:pt idx="23">
                  <c:v>1.3930877377514737</c:v>
                </c:pt>
                <c:pt idx="24">
                  <c:v>1.3930877377514737</c:v>
                </c:pt>
                <c:pt idx="25">
                  <c:v>1.3930877377514737</c:v>
                </c:pt>
                <c:pt idx="26">
                  <c:v>1.3930877377514737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EB-3349-8A10-C38CBDD2388E}"/>
            </c:ext>
          </c:extLst>
        </c:ser>
        <c:ser>
          <c:idx val="1"/>
          <c:order val="1"/>
          <c:tx>
            <c:v>Yield_Dis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Sheet1!$AI$87:$AI$113</c:f>
              <c:numCache>
                <c:formatCode>General</c:formatCode>
                <c:ptCount val="27"/>
                <c:pt idx="0">
                  <c:v>550</c:v>
                </c:pt>
                <c:pt idx="1">
                  <c:v>600</c:v>
                </c:pt>
                <c:pt idx="2">
                  <c:v>650</c:v>
                </c:pt>
                <c:pt idx="3">
                  <c:v>700</c:v>
                </c:pt>
                <c:pt idx="4">
                  <c:v>750</c:v>
                </c:pt>
                <c:pt idx="5">
                  <c:v>800</c:v>
                </c:pt>
                <c:pt idx="6">
                  <c:v>850</c:v>
                </c:pt>
                <c:pt idx="7">
                  <c:v>900</c:v>
                </c:pt>
                <c:pt idx="8">
                  <c:v>950</c:v>
                </c:pt>
                <c:pt idx="9">
                  <c:v>1000</c:v>
                </c:pt>
                <c:pt idx="10">
                  <c:v>1050</c:v>
                </c:pt>
                <c:pt idx="11">
                  <c:v>1100</c:v>
                </c:pt>
                <c:pt idx="12">
                  <c:v>1150</c:v>
                </c:pt>
                <c:pt idx="13">
                  <c:v>1200</c:v>
                </c:pt>
                <c:pt idx="14">
                  <c:v>1250</c:v>
                </c:pt>
                <c:pt idx="15">
                  <c:v>1300</c:v>
                </c:pt>
                <c:pt idx="16">
                  <c:v>1350</c:v>
                </c:pt>
                <c:pt idx="17">
                  <c:v>1400</c:v>
                </c:pt>
                <c:pt idx="18">
                  <c:v>1450</c:v>
                </c:pt>
                <c:pt idx="19">
                  <c:v>1500</c:v>
                </c:pt>
                <c:pt idx="20">
                  <c:v>1550</c:v>
                </c:pt>
                <c:pt idx="21">
                  <c:v>1600</c:v>
                </c:pt>
                <c:pt idx="22">
                  <c:v>1650</c:v>
                </c:pt>
                <c:pt idx="23">
                  <c:v>1700</c:v>
                </c:pt>
                <c:pt idx="24">
                  <c:v>1750</c:v>
                </c:pt>
                <c:pt idx="25">
                  <c:v>1800</c:v>
                </c:pt>
                <c:pt idx="26">
                  <c:v>1850</c:v>
                </c:pt>
              </c:numCache>
            </c:numRef>
          </c:cat>
          <c:val>
            <c:numRef>
              <c:f>Sheet1!$AN$87:$AN$113</c:f>
              <c:numCache>
                <c:formatCode>General</c:formatCode>
                <c:ptCount val="27"/>
                <c:pt idx="0">
                  <c:v>10</c:v>
                </c:pt>
                <c:pt idx="1">
                  <c:v>5.1972257422192829</c:v>
                </c:pt>
                <c:pt idx="2">
                  <c:v>2.5084582777968674</c:v>
                </c:pt>
                <c:pt idx="3">
                  <c:v>1.7343703948745741</c:v>
                </c:pt>
                <c:pt idx="4">
                  <c:v>1.3960080399687504</c:v>
                </c:pt>
                <c:pt idx="5">
                  <c:v>1.1967423847435523</c:v>
                </c:pt>
                <c:pt idx="6">
                  <c:v>1.0888680309220227</c:v>
                </c:pt>
                <c:pt idx="7">
                  <c:v>1.0326218527552913</c:v>
                </c:pt>
                <c:pt idx="8">
                  <c:v>1.0085304596591573</c:v>
                </c:pt>
                <c:pt idx="9">
                  <c:v>1.0022696555746051</c:v>
                </c:pt>
                <c:pt idx="10">
                  <c:v>1.0018482837654257</c:v>
                </c:pt>
                <c:pt idx="11">
                  <c:v>1.0018430834826217</c:v>
                </c:pt>
                <c:pt idx="12">
                  <c:v>1.0018430126633475</c:v>
                </c:pt>
                <c:pt idx="13">
                  <c:v>1.0018430112637116</c:v>
                </c:pt>
                <c:pt idx="14">
                  <c:v>1.0018430112252645</c:v>
                </c:pt>
                <c:pt idx="15">
                  <c:v>1.0018430112238546</c:v>
                </c:pt>
                <c:pt idx="16">
                  <c:v>1.0018430112237868</c:v>
                </c:pt>
                <c:pt idx="17">
                  <c:v>1.0018430112237831</c:v>
                </c:pt>
                <c:pt idx="18">
                  <c:v>1.0018430112237828</c:v>
                </c:pt>
                <c:pt idx="19">
                  <c:v>1.0018430112237828</c:v>
                </c:pt>
                <c:pt idx="20">
                  <c:v>1.0018430112237828</c:v>
                </c:pt>
                <c:pt idx="21">
                  <c:v>1.0018430112237828</c:v>
                </c:pt>
                <c:pt idx="22">
                  <c:v>1.0018430112237828</c:v>
                </c:pt>
                <c:pt idx="23">
                  <c:v>1.0018430112237828</c:v>
                </c:pt>
                <c:pt idx="24">
                  <c:v>1.0018430112237828</c:v>
                </c:pt>
                <c:pt idx="25">
                  <c:v>1.0018430112237828</c:v>
                </c:pt>
                <c:pt idx="26">
                  <c:v>1.0018430112237828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EB-3349-8A10-C38CBDD2388E}"/>
            </c:ext>
          </c:extLst>
        </c:ser>
        <c:ser>
          <c:idx val="2"/>
          <c:order val="2"/>
          <c:tx>
            <c:v>Total_Dis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Sheet1!$AI$87:$AI$113</c:f>
              <c:numCache>
                <c:formatCode>General</c:formatCode>
                <c:ptCount val="27"/>
                <c:pt idx="0">
                  <c:v>550</c:v>
                </c:pt>
                <c:pt idx="1">
                  <c:v>600</c:v>
                </c:pt>
                <c:pt idx="2">
                  <c:v>650</c:v>
                </c:pt>
                <c:pt idx="3">
                  <c:v>700</c:v>
                </c:pt>
                <c:pt idx="4">
                  <c:v>750</c:v>
                </c:pt>
                <c:pt idx="5">
                  <c:v>800</c:v>
                </c:pt>
                <c:pt idx="6">
                  <c:v>850</c:v>
                </c:pt>
                <c:pt idx="7">
                  <c:v>900</c:v>
                </c:pt>
                <c:pt idx="8">
                  <c:v>950</c:v>
                </c:pt>
                <c:pt idx="9">
                  <c:v>1000</c:v>
                </c:pt>
                <c:pt idx="10">
                  <c:v>1050</c:v>
                </c:pt>
                <c:pt idx="11">
                  <c:v>1100</c:v>
                </c:pt>
                <c:pt idx="12">
                  <c:v>1150</c:v>
                </c:pt>
                <c:pt idx="13">
                  <c:v>1200</c:v>
                </c:pt>
                <c:pt idx="14">
                  <c:v>1250</c:v>
                </c:pt>
                <c:pt idx="15">
                  <c:v>1300</c:v>
                </c:pt>
                <c:pt idx="16">
                  <c:v>1350</c:v>
                </c:pt>
                <c:pt idx="17">
                  <c:v>1400</c:v>
                </c:pt>
                <c:pt idx="18">
                  <c:v>1450</c:v>
                </c:pt>
                <c:pt idx="19">
                  <c:v>1500</c:v>
                </c:pt>
                <c:pt idx="20">
                  <c:v>1550</c:v>
                </c:pt>
                <c:pt idx="21">
                  <c:v>1600</c:v>
                </c:pt>
                <c:pt idx="22">
                  <c:v>1650</c:v>
                </c:pt>
                <c:pt idx="23">
                  <c:v>1700</c:v>
                </c:pt>
                <c:pt idx="24">
                  <c:v>1750</c:v>
                </c:pt>
                <c:pt idx="25">
                  <c:v>1800</c:v>
                </c:pt>
                <c:pt idx="26">
                  <c:v>1850</c:v>
                </c:pt>
              </c:numCache>
            </c:numRef>
          </c:cat>
          <c:val>
            <c:numRef>
              <c:f>Sheet1!$AO$87:$AO$113</c:f>
              <c:numCache>
                <c:formatCode>0.00</c:formatCode>
                <c:ptCount val="27"/>
                <c:pt idx="0">
                  <c:v>10.999999999999673</c:v>
                </c:pt>
                <c:pt idx="1">
                  <c:v>6.2956712656037599</c:v>
                </c:pt>
                <c:pt idx="2">
                  <c:v>3.7018865667581329</c:v>
                </c:pt>
                <c:pt idx="3">
                  <c:v>3.001183664883861</c:v>
                </c:pt>
                <c:pt idx="4">
                  <c:v>2.7130995587384641</c:v>
                </c:pt>
                <c:pt idx="5">
                  <c:v>2.5511425231533726</c:v>
                </c:pt>
                <c:pt idx="6">
                  <c:v>2.4653579076845027</c:v>
                </c:pt>
                <c:pt idx="7">
                  <c:v>2.4203983398451792</c:v>
                </c:pt>
                <c:pt idx="8">
                  <c:v>2.4006525806835102</c:v>
                </c:pt>
                <c:pt idx="9">
                  <c:v>2.3953121588307313</c:v>
                </c:pt>
                <c:pt idx="10">
                  <c:v>2.3949355024387629</c:v>
                </c:pt>
                <c:pt idx="11">
                  <c:v>2.3949308138690375</c:v>
                </c:pt>
                <c:pt idx="12">
                  <c:v>2.3949307502630246</c:v>
                </c:pt>
                <c:pt idx="13">
                  <c:v>2.3949307490108391</c:v>
                </c:pt>
                <c:pt idx="14">
                  <c:v>2.3949307489765728</c:v>
                </c:pt>
                <c:pt idx="15">
                  <c:v>2.3949307489753204</c:v>
                </c:pt>
                <c:pt idx="16">
                  <c:v>2.39493074897526</c:v>
                </c:pt>
                <c:pt idx="17">
                  <c:v>2.3949307489752565</c:v>
                </c:pt>
                <c:pt idx="18">
                  <c:v>2.3949307489752565</c:v>
                </c:pt>
                <c:pt idx="19">
                  <c:v>2.3949307489752565</c:v>
                </c:pt>
                <c:pt idx="20">
                  <c:v>2.3949307489752565</c:v>
                </c:pt>
                <c:pt idx="21">
                  <c:v>2.3949307489752565</c:v>
                </c:pt>
                <c:pt idx="22">
                  <c:v>2.3949307489752565</c:v>
                </c:pt>
                <c:pt idx="23">
                  <c:v>2.3949307489752565</c:v>
                </c:pt>
                <c:pt idx="24">
                  <c:v>2.3949307489752565</c:v>
                </c:pt>
                <c:pt idx="25">
                  <c:v>2.3949307489752565</c:v>
                </c:pt>
                <c:pt idx="26">
                  <c:v>2.3949307489752565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EB-3349-8A10-C38CBDD23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704767"/>
        <c:axId val="1240903999"/>
      </c:lineChart>
      <c:catAx>
        <c:axId val="140770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903999"/>
        <c:crosses val="autoZero"/>
        <c:auto val="1"/>
        <c:lblAlgn val="ctr"/>
        <c:lblOffset val="100"/>
        <c:noMultiLvlLbl val="0"/>
      </c:catAx>
      <c:valAx>
        <c:axId val="124090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70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v MinLL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Memorable Catch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Sheet1!$AI$52:$AI$78</c:f>
              <c:numCache>
                <c:formatCode>General</c:formatCode>
                <c:ptCount val="27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</c:numCache>
            </c:numRef>
          </c:cat>
          <c:val>
            <c:numRef>
              <c:f>Sheet1!$AJ$52:$AJ$78</c:f>
              <c:numCache>
                <c:formatCode>General</c:formatCode>
                <c:ptCount val="27"/>
                <c:pt idx="0">
                  <c:v>0.26171116988358456</c:v>
                </c:pt>
                <c:pt idx="1">
                  <c:v>0.26171116988358456</c:v>
                </c:pt>
                <c:pt idx="2">
                  <c:v>0.26171116988358456</c:v>
                </c:pt>
                <c:pt idx="3">
                  <c:v>0.26171116988358456</c:v>
                </c:pt>
                <c:pt idx="4">
                  <c:v>0.26171116988358456</c:v>
                </c:pt>
                <c:pt idx="5">
                  <c:v>0.26171116988358484</c:v>
                </c:pt>
                <c:pt idx="6">
                  <c:v>0.26171117146508976</c:v>
                </c:pt>
                <c:pt idx="7">
                  <c:v>0.26208954777855037</c:v>
                </c:pt>
                <c:pt idx="8">
                  <c:v>0.31594691124546087</c:v>
                </c:pt>
                <c:pt idx="9">
                  <c:v>0.35872545920797982</c:v>
                </c:pt>
                <c:pt idx="10">
                  <c:v>0.38192947612800132</c:v>
                </c:pt>
                <c:pt idx="11">
                  <c:v>0.40755085979582245</c:v>
                </c:pt>
                <c:pt idx="12">
                  <c:v>0.43677694720398325</c:v>
                </c:pt>
                <c:pt idx="13">
                  <c:v>0.46470897896297481</c:v>
                </c:pt>
                <c:pt idx="14">
                  <c:v>0.48839006473356988</c:v>
                </c:pt>
                <c:pt idx="15">
                  <c:v>0.50769534297057373</c:v>
                </c:pt>
                <c:pt idx="16">
                  <c:v>0.52580925214902507</c:v>
                </c:pt>
                <c:pt idx="17">
                  <c:v>0.54082266813144675</c:v>
                </c:pt>
                <c:pt idx="18">
                  <c:v>0.5528984645059305</c:v>
                </c:pt>
                <c:pt idx="19">
                  <c:v>0.56177604038739093</c:v>
                </c:pt>
                <c:pt idx="20">
                  <c:v>0.56688830495191755</c:v>
                </c:pt>
                <c:pt idx="21">
                  <c:v>0.56774056902938042</c:v>
                </c:pt>
                <c:pt idx="22">
                  <c:v>0.56775391796814489</c:v>
                </c:pt>
                <c:pt idx="23">
                  <c:v>0.56775410154532069</c:v>
                </c:pt>
                <c:pt idx="24">
                  <c:v>0.56775410518769309</c:v>
                </c:pt>
                <c:pt idx="25">
                  <c:v>0.56775410528795045</c:v>
                </c:pt>
                <c:pt idx="26">
                  <c:v>0.56775410529163028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60-4D44-BC9D-7315BF12193A}"/>
            </c:ext>
          </c:extLst>
        </c:ser>
        <c:ser>
          <c:idx val="1"/>
          <c:order val="1"/>
          <c:tx>
            <c:v>Yield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Sheet1!$AI$52:$AI$78</c:f>
              <c:numCache>
                <c:formatCode>General</c:formatCode>
                <c:ptCount val="27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</c:numCache>
            </c:numRef>
          </c:cat>
          <c:val>
            <c:numRef>
              <c:f>Sheet1!$AK$52:$AK$78</c:f>
              <c:numCache>
                <c:formatCode>General</c:formatCode>
                <c:ptCount val="27"/>
                <c:pt idx="0">
                  <c:v>0.81593467802814179</c:v>
                </c:pt>
                <c:pt idx="1">
                  <c:v>0.81593467802814179</c:v>
                </c:pt>
                <c:pt idx="2">
                  <c:v>0.81593467802814179</c:v>
                </c:pt>
                <c:pt idx="3">
                  <c:v>0.81593467802814179</c:v>
                </c:pt>
                <c:pt idx="4">
                  <c:v>0.81593467802814179</c:v>
                </c:pt>
                <c:pt idx="5">
                  <c:v>0.81593467802814235</c:v>
                </c:pt>
                <c:pt idx="6">
                  <c:v>0.81593468123409318</c:v>
                </c:pt>
                <c:pt idx="7">
                  <c:v>0.81640733160808299</c:v>
                </c:pt>
                <c:pt idx="8">
                  <c:v>0.88368159617790454</c:v>
                </c:pt>
                <c:pt idx="9">
                  <c:v>0.92030050406337738</c:v>
                </c:pt>
                <c:pt idx="10">
                  <c:v>0.92718917924750177</c:v>
                </c:pt>
                <c:pt idx="11">
                  <c:v>0.92548350276448099</c:v>
                </c:pt>
                <c:pt idx="12">
                  <c:v>0.90066809170636608</c:v>
                </c:pt>
                <c:pt idx="13">
                  <c:v>0.84562647282190351</c:v>
                </c:pt>
                <c:pt idx="14">
                  <c:v>0.76682182163423884</c:v>
                </c:pt>
                <c:pt idx="15">
                  <c:v>0.67033751475772907</c:v>
                </c:pt>
                <c:pt idx="16">
                  <c:v>0.54571860083100288</c:v>
                </c:pt>
                <c:pt idx="17">
                  <c:v>0.40786456478750344</c:v>
                </c:pt>
                <c:pt idx="18">
                  <c:v>0.26517280506755797</c:v>
                </c:pt>
                <c:pt idx="19">
                  <c:v>0.13302283712171334</c:v>
                </c:pt>
                <c:pt idx="20">
                  <c:v>3.1764337900715575E-2</c:v>
                </c:pt>
                <c:pt idx="21">
                  <c:v>6.6894717282204642E-4</c:v>
                </c:pt>
                <c:pt idx="22">
                  <c:v>9.0204962894235485E-6</c:v>
                </c:pt>
                <c:pt idx="23">
                  <c:v>1.7494659025919601E-7</c:v>
                </c:pt>
                <c:pt idx="24">
                  <c:v>4.7232269355696844E-9</c:v>
                </c:pt>
                <c:pt idx="25">
                  <c:v>1.7061748421163059E-10</c:v>
                </c:pt>
                <c:pt idx="26">
                  <c:v>7.9732606614445101E-12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60-4D44-BC9D-7315BF12193A}"/>
            </c:ext>
          </c:extLst>
        </c:ser>
        <c:ser>
          <c:idx val="2"/>
          <c:order val="2"/>
          <c:tx>
            <c:v>SPR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Sheet1!$AI$52:$AI$78</c:f>
              <c:numCache>
                <c:formatCode>General</c:formatCode>
                <c:ptCount val="27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</c:numCache>
            </c:numRef>
          </c:cat>
          <c:val>
            <c:numRef>
              <c:f>Sheet1!$AL$52:$AL$78</c:f>
              <c:numCache>
                <c:formatCode>General</c:formatCode>
                <c:ptCount val="27"/>
                <c:pt idx="0">
                  <c:v>0.1439414404562844</c:v>
                </c:pt>
                <c:pt idx="1">
                  <c:v>0.1439414404562844</c:v>
                </c:pt>
                <c:pt idx="2">
                  <c:v>0.1439414404562844</c:v>
                </c:pt>
                <c:pt idx="3">
                  <c:v>0.1439414404562844</c:v>
                </c:pt>
                <c:pt idx="4">
                  <c:v>0.1439414404562844</c:v>
                </c:pt>
                <c:pt idx="5">
                  <c:v>0.14394144045628457</c:v>
                </c:pt>
                <c:pt idx="6">
                  <c:v>0.14394144132620038</c:v>
                </c:pt>
                <c:pt idx="7">
                  <c:v>0.14415293676152846</c:v>
                </c:pt>
                <c:pt idx="8">
                  <c:v>0.17425806306656078</c:v>
                </c:pt>
                <c:pt idx="9">
                  <c:v>0.2095053000773307</c:v>
                </c:pt>
                <c:pt idx="10">
                  <c:v>0.23494438400939685</c:v>
                </c:pt>
                <c:pt idx="11">
                  <c:v>0.26679198379789282</c:v>
                </c:pt>
                <c:pt idx="12">
                  <c:v>0.31153526810767102</c:v>
                </c:pt>
                <c:pt idx="13">
                  <c:v>0.364274528322097</c:v>
                </c:pt>
                <c:pt idx="14">
                  <c:v>0.41811887462995945</c:v>
                </c:pt>
                <c:pt idx="15">
                  <c:v>0.47034932069869562</c:v>
                </c:pt>
                <c:pt idx="16">
                  <c:v>0.52750622935891445</c:v>
                </c:pt>
                <c:pt idx="17">
                  <c:v>0.58260334739459274</c:v>
                </c:pt>
                <c:pt idx="18">
                  <c:v>0.6335877890446171</c:v>
                </c:pt>
                <c:pt idx="19">
                  <c:v>0.6763141196527156</c:v>
                </c:pt>
                <c:pt idx="20">
                  <c:v>0.70386474718366399</c:v>
                </c:pt>
                <c:pt idx="21">
                  <c:v>0.70874357802980426</c:v>
                </c:pt>
                <c:pt idx="22">
                  <c:v>0.70882059919554907</c:v>
                </c:pt>
                <c:pt idx="23">
                  <c:v>0.70882165689759724</c:v>
                </c:pt>
                <c:pt idx="24">
                  <c:v>0.7088216778507983</c:v>
                </c:pt>
                <c:pt idx="25">
                  <c:v>0.70882167842663979</c:v>
                </c:pt>
                <c:pt idx="26">
                  <c:v>0.70882167844774358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60-4D44-BC9D-7315BF121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2552815"/>
        <c:axId val="1521282303"/>
      </c:lineChart>
      <c:catAx>
        <c:axId val="156255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282303"/>
        <c:crosses val="autoZero"/>
        <c:auto val="1"/>
        <c:lblAlgn val="ctr"/>
        <c:lblOffset val="100"/>
        <c:noMultiLvlLbl val="0"/>
      </c:catAx>
      <c:valAx>
        <c:axId val="152128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55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v MaxLL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Memorable Catch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Sheet1!$AI$87:$AI$113</c:f>
              <c:numCache>
                <c:formatCode>General</c:formatCode>
                <c:ptCount val="27"/>
                <c:pt idx="0">
                  <c:v>550</c:v>
                </c:pt>
                <c:pt idx="1">
                  <c:v>600</c:v>
                </c:pt>
                <c:pt idx="2">
                  <c:v>650</c:v>
                </c:pt>
                <c:pt idx="3">
                  <c:v>700</c:v>
                </c:pt>
                <c:pt idx="4">
                  <c:v>750</c:v>
                </c:pt>
                <c:pt idx="5">
                  <c:v>800</c:v>
                </c:pt>
                <c:pt idx="6">
                  <c:v>850</c:v>
                </c:pt>
                <c:pt idx="7">
                  <c:v>900</c:v>
                </c:pt>
                <c:pt idx="8">
                  <c:v>950</c:v>
                </c:pt>
                <c:pt idx="9">
                  <c:v>1000</c:v>
                </c:pt>
                <c:pt idx="10">
                  <c:v>1050</c:v>
                </c:pt>
                <c:pt idx="11">
                  <c:v>1100</c:v>
                </c:pt>
                <c:pt idx="12">
                  <c:v>1150</c:v>
                </c:pt>
                <c:pt idx="13">
                  <c:v>1200</c:v>
                </c:pt>
                <c:pt idx="14">
                  <c:v>1250</c:v>
                </c:pt>
                <c:pt idx="15">
                  <c:v>1300</c:v>
                </c:pt>
                <c:pt idx="16">
                  <c:v>1350</c:v>
                </c:pt>
                <c:pt idx="17">
                  <c:v>1400</c:v>
                </c:pt>
                <c:pt idx="18">
                  <c:v>1450</c:v>
                </c:pt>
                <c:pt idx="19">
                  <c:v>1500</c:v>
                </c:pt>
                <c:pt idx="20">
                  <c:v>1550</c:v>
                </c:pt>
                <c:pt idx="21">
                  <c:v>1600</c:v>
                </c:pt>
                <c:pt idx="22">
                  <c:v>1650</c:v>
                </c:pt>
                <c:pt idx="23">
                  <c:v>1700</c:v>
                </c:pt>
                <c:pt idx="24">
                  <c:v>1750</c:v>
                </c:pt>
                <c:pt idx="25">
                  <c:v>1800</c:v>
                </c:pt>
                <c:pt idx="26">
                  <c:v>1850</c:v>
                </c:pt>
              </c:numCache>
            </c:numRef>
          </c:cat>
          <c:val>
            <c:numRef>
              <c:f>Sheet1!$AJ$87:$AJ$113</c:f>
              <c:numCache>
                <c:formatCode>General</c:formatCode>
                <c:ptCount val="27"/>
                <c:pt idx="0">
                  <c:v>0.5677541052918158</c:v>
                </c:pt>
                <c:pt idx="1">
                  <c:v>0.51687051674833517</c:v>
                </c:pt>
                <c:pt idx="2">
                  <c:v>0.47573374164424354</c:v>
                </c:pt>
                <c:pt idx="3">
                  <c:v>0.44817505368211696</c:v>
                </c:pt>
                <c:pt idx="4">
                  <c:v>0.43106655627238832</c:v>
                </c:pt>
                <c:pt idx="5">
                  <c:v>0.41919229715837258</c:v>
                </c:pt>
                <c:pt idx="6">
                  <c:v>0.41246515130717443</c:v>
                </c:pt>
                <c:pt idx="7">
                  <c:v>0.40911062449414182</c:v>
                </c:pt>
                <c:pt idx="8">
                  <c:v>0.40783354902360491</c:v>
                </c:pt>
                <c:pt idx="9">
                  <c:v>0.40756409367592883</c:v>
                </c:pt>
                <c:pt idx="10">
                  <c:v>0.4075510116533213</c:v>
                </c:pt>
                <c:pt idx="11">
                  <c:v>0.40755086195048618</c:v>
                </c:pt>
                <c:pt idx="12">
                  <c:v>0.40755085984023076</c:v>
                </c:pt>
                <c:pt idx="13">
                  <c:v>0.40755085979709388</c:v>
                </c:pt>
                <c:pt idx="14">
                  <c:v>0.40755085979587086</c:v>
                </c:pt>
                <c:pt idx="15">
                  <c:v>0.40755085979582478</c:v>
                </c:pt>
                <c:pt idx="16">
                  <c:v>0.40755085979582256</c:v>
                </c:pt>
                <c:pt idx="17">
                  <c:v>0.40755085979582245</c:v>
                </c:pt>
                <c:pt idx="18">
                  <c:v>0.40755085979582245</c:v>
                </c:pt>
                <c:pt idx="19">
                  <c:v>0.40755085979582245</c:v>
                </c:pt>
                <c:pt idx="20">
                  <c:v>0.40755085979582245</c:v>
                </c:pt>
                <c:pt idx="21">
                  <c:v>0.40755085979582245</c:v>
                </c:pt>
                <c:pt idx="22">
                  <c:v>0.40755085979582245</c:v>
                </c:pt>
                <c:pt idx="23">
                  <c:v>0.40755085979582245</c:v>
                </c:pt>
                <c:pt idx="24">
                  <c:v>0.40755085979582245</c:v>
                </c:pt>
                <c:pt idx="25">
                  <c:v>0.40755085979582245</c:v>
                </c:pt>
                <c:pt idx="26">
                  <c:v>0.40755085979582245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1E-8541-9081-1044612778F2}"/>
            </c:ext>
          </c:extLst>
        </c:ser>
        <c:ser>
          <c:idx val="1"/>
          <c:order val="1"/>
          <c:tx>
            <c:v>Yield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Sheet1!$AI$87:$AI$113</c:f>
              <c:numCache>
                <c:formatCode>General</c:formatCode>
                <c:ptCount val="27"/>
                <c:pt idx="0">
                  <c:v>550</c:v>
                </c:pt>
                <c:pt idx="1">
                  <c:v>600</c:v>
                </c:pt>
                <c:pt idx="2">
                  <c:v>650</c:v>
                </c:pt>
                <c:pt idx="3">
                  <c:v>700</c:v>
                </c:pt>
                <c:pt idx="4">
                  <c:v>750</c:v>
                </c:pt>
                <c:pt idx="5">
                  <c:v>800</c:v>
                </c:pt>
                <c:pt idx="6">
                  <c:v>850</c:v>
                </c:pt>
                <c:pt idx="7">
                  <c:v>900</c:v>
                </c:pt>
                <c:pt idx="8">
                  <c:v>950</c:v>
                </c:pt>
                <c:pt idx="9">
                  <c:v>1000</c:v>
                </c:pt>
                <c:pt idx="10">
                  <c:v>1050</c:v>
                </c:pt>
                <c:pt idx="11">
                  <c:v>1100</c:v>
                </c:pt>
                <c:pt idx="12">
                  <c:v>1150</c:v>
                </c:pt>
                <c:pt idx="13">
                  <c:v>1200</c:v>
                </c:pt>
                <c:pt idx="14">
                  <c:v>1250</c:v>
                </c:pt>
                <c:pt idx="15">
                  <c:v>1300</c:v>
                </c:pt>
                <c:pt idx="16">
                  <c:v>1350</c:v>
                </c:pt>
                <c:pt idx="17">
                  <c:v>1400</c:v>
                </c:pt>
                <c:pt idx="18">
                  <c:v>1450</c:v>
                </c:pt>
                <c:pt idx="19">
                  <c:v>1500</c:v>
                </c:pt>
                <c:pt idx="20">
                  <c:v>1550</c:v>
                </c:pt>
                <c:pt idx="21">
                  <c:v>1600</c:v>
                </c:pt>
                <c:pt idx="22">
                  <c:v>1650</c:v>
                </c:pt>
                <c:pt idx="23">
                  <c:v>1700</c:v>
                </c:pt>
                <c:pt idx="24">
                  <c:v>1750</c:v>
                </c:pt>
                <c:pt idx="25">
                  <c:v>1800</c:v>
                </c:pt>
                <c:pt idx="26">
                  <c:v>1850</c:v>
                </c:pt>
              </c:numCache>
            </c:numRef>
          </c:cat>
          <c:val>
            <c:numRef>
              <c:f>Sheet1!$AK$87:$AK$113</c:f>
              <c:numCache>
                <c:formatCode>General</c:formatCode>
                <c:ptCount val="27"/>
                <c:pt idx="0">
                  <c:v>0</c:v>
                </c:pt>
                <c:pt idx="1">
                  <c:v>0.17840079019765262</c:v>
                </c:pt>
                <c:pt idx="2">
                  <c:v>0.36962511493786332</c:v>
                </c:pt>
                <c:pt idx="3">
                  <c:v>0.53459698227526198</c:v>
                </c:pt>
                <c:pt idx="4">
                  <c:v>0.66417180467546366</c:v>
                </c:pt>
                <c:pt idx="5">
                  <c:v>0.77476087674975047</c:v>
                </c:pt>
                <c:pt idx="6">
                  <c:v>0.85151657769067224</c:v>
                </c:pt>
                <c:pt idx="7">
                  <c:v>0.89789808028324303</c:v>
                </c:pt>
                <c:pt idx="8">
                  <c:v>0.91934672906245618</c:v>
                </c:pt>
                <c:pt idx="9">
                  <c:v>0.9250895446055788</c:v>
                </c:pt>
                <c:pt idx="10">
                  <c:v>0.92547863211651249</c:v>
                </c:pt>
                <c:pt idx="11">
                  <c:v>0.92548343601314587</c:v>
                </c:pt>
                <c:pt idx="12">
                  <c:v>0.92548350143463853</c:v>
                </c:pt>
                <c:pt idx="13">
                  <c:v>0.92548350272759561</c:v>
                </c:pt>
                <c:pt idx="14">
                  <c:v>0.92548350276311231</c:v>
                </c:pt>
                <c:pt idx="15">
                  <c:v>0.92548350276441482</c:v>
                </c:pt>
                <c:pt idx="16">
                  <c:v>0.92548350276447722</c:v>
                </c:pt>
                <c:pt idx="17">
                  <c:v>0.92548350276448077</c:v>
                </c:pt>
                <c:pt idx="18">
                  <c:v>0.92548350276448099</c:v>
                </c:pt>
                <c:pt idx="19">
                  <c:v>0.92548350276448099</c:v>
                </c:pt>
                <c:pt idx="20">
                  <c:v>0.92548350276448099</c:v>
                </c:pt>
                <c:pt idx="21">
                  <c:v>0.92548350276448099</c:v>
                </c:pt>
                <c:pt idx="22">
                  <c:v>0.92548350276448099</c:v>
                </c:pt>
                <c:pt idx="23">
                  <c:v>0.92548350276448099</c:v>
                </c:pt>
                <c:pt idx="24">
                  <c:v>0.92548350276448099</c:v>
                </c:pt>
                <c:pt idx="25">
                  <c:v>0.92548350276448099</c:v>
                </c:pt>
                <c:pt idx="26">
                  <c:v>0.92548350276448099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1E-8541-9081-1044612778F2}"/>
            </c:ext>
          </c:extLst>
        </c:ser>
        <c:ser>
          <c:idx val="2"/>
          <c:order val="2"/>
          <c:tx>
            <c:v>SPR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Sheet1!$AI$87:$AI$113</c:f>
              <c:numCache>
                <c:formatCode>General</c:formatCode>
                <c:ptCount val="27"/>
                <c:pt idx="0">
                  <c:v>550</c:v>
                </c:pt>
                <c:pt idx="1">
                  <c:v>600</c:v>
                </c:pt>
                <c:pt idx="2">
                  <c:v>650</c:v>
                </c:pt>
                <c:pt idx="3">
                  <c:v>700</c:v>
                </c:pt>
                <c:pt idx="4">
                  <c:v>750</c:v>
                </c:pt>
                <c:pt idx="5">
                  <c:v>800</c:v>
                </c:pt>
                <c:pt idx="6">
                  <c:v>850</c:v>
                </c:pt>
                <c:pt idx="7">
                  <c:v>900</c:v>
                </c:pt>
                <c:pt idx="8">
                  <c:v>950</c:v>
                </c:pt>
                <c:pt idx="9">
                  <c:v>1000</c:v>
                </c:pt>
                <c:pt idx="10">
                  <c:v>1050</c:v>
                </c:pt>
                <c:pt idx="11">
                  <c:v>1100</c:v>
                </c:pt>
                <c:pt idx="12">
                  <c:v>1150</c:v>
                </c:pt>
                <c:pt idx="13">
                  <c:v>1200</c:v>
                </c:pt>
                <c:pt idx="14">
                  <c:v>1250</c:v>
                </c:pt>
                <c:pt idx="15">
                  <c:v>1300</c:v>
                </c:pt>
                <c:pt idx="16">
                  <c:v>1350</c:v>
                </c:pt>
                <c:pt idx="17">
                  <c:v>1400</c:v>
                </c:pt>
                <c:pt idx="18">
                  <c:v>1450</c:v>
                </c:pt>
                <c:pt idx="19">
                  <c:v>1500</c:v>
                </c:pt>
                <c:pt idx="20">
                  <c:v>1550</c:v>
                </c:pt>
                <c:pt idx="21">
                  <c:v>1600</c:v>
                </c:pt>
                <c:pt idx="22">
                  <c:v>1650</c:v>
                </c:pt>
                <c:pt idx="23">
                  <c:v>1700</c:v>
                </c:pt>
                <c:pt idx="24">
                  <c:v>1750</c:v>
                </c:pt>
                <c:pt idx="25">
                  <c:v>1800</c:v>
                </c:pt>
                <c:pt idx="26">
                  <c:v>1850</c:v>
                </c:pt>
              </c:numCache>
            </c:numRef>
          </c:cat>
          <c:val>
            <c:numRef>
              <c:f>Sheet1!$AL$87:$AL$113</c:f>
              <c:numCache>
                <c:formatCode>General</c:formatCode>
                <c:ptCount val="27"/>
                <c:pt idx="0">
                  <c:v>0.70882167844880473</c:v>
                </c:pt>
                <c:pt idx="1">
                  <c:v>0.59727406510718506</c:v>
                </c:pt>
                <c:pt idx="2">
                  <c:v>0.49394021215635958</c:v>
                </c:pt>
                <c:pt idx="3">
                  <c:v>0.41524517236734909</c:v>
                </c:pt>
                <c:pt idx="4">
                  <c:v>0.35993524608218108</c:v>
                </c:pt>
                <c:pt idx="5">
                  <c:v>0.31697916256347031</c:v>
                </c:pt>
                <c:pt idx="6">
                  <c:v>0.28974927853276039</c:v>
                </c:pt>
                <c:pt idx="7">
                  <c:v>0.27465826337192639</c:v>
                </c:pt>
                <c:pt idx="8">
                  <c:v>0.26831858229801453</c:v>
                </c:pt>
                <c:pt idx="9">
                  <c:v>0.26686656399605752</c:v>
                </c:pt>
                <c:pt idx="10">
                  <c:v>0.26679284187613772</c:v>
                </c:pt>
                <c:pt idx="11">
                  <c:v>0.26679199593344399</c:v>
                </c:pt>
                <c:pt idx="12">
                  <c:v>0.2667919840471692</c:v>
                </c:pt>
                <c:pt idx="13">
                  <c:v>0.26679198380500552</c:v>
                </c:pt>
                <c:pt idx="14">
                  <c:v>0.26679198379816366</c:v>
                </c:pt>
                <c:pt idx="15">
                  <c:v>0.26679198379790608</c:v>
                </c:pt>
                <c:pt idx="16">
                  <c:v>0.26679198379789359</c:v>
                </c:pt>
                <c:pt idx="17">
                  <c:v>0.26679198379789282</c:v>
                </c:pt>
                <c:pt idx="18">
                  <c:v>0.26679198379789282</c:v>
                </c:pt>
                <c:pt idx="19">
                  <c:v>0.26679198379789282</c:v>
                </c:pt>
                <c:pt idx="20">
                  <c:v>0.26679198379789282</c:v>
                </c:pt>
                <c:pt idx="21">
                  <c:v>0.26679198379789282</c:v>
                </c:pt>
                <c:pt idx="22">
                  <c:v>0.26679198379789282</c:v>
                </c:pt>
                <c:pt idx="23">
                  <c:v>0.26679198379789282</c:v>
                </c:pt>
                <c:pt idx="24">
                  <c:v>0.26679198379789282</c:v>
                </c:pt>
                <c:pt idx="25">
                  <c:v>0.26679198379789282</c:v>
                </c:pt>
                <c:pt idx="26">
                  <c:v>0.26679198379789282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1E-8541-9081-104461277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2211471"/>
        <c:axId val="1722784991"/>
      </c:lineChart>
      <c:catAx>
        <c:axId val="152221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784991"/>
        <c:crosses val="autoZero"/>
        <c:auto val="1"/>
        <c:lblAlgn val="ctr"/>
        <c:lblOffset val="100"/>
        <c:noMultiLvlLbl val="0"/>
      </c:catAx>
      <c:valAx>
        <c:axId val="172278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1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19050</xdr:colOff>
      <xdr:row>134</xdr:row>
      <xdr:rowOff>50800</xdr:rowOff>
    </xdr:from>
    <xdr:to>
      <xdr:col>46</xdr:col>
      <xdr:colOff>133350</xdr:colOff>
      <xdr:row>149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311150</xdr:colOff>
      <xdr:row>11</xdr:row>
      <xdr:rowOff>184150</xdr:rowOff>
    </xdr:from>
    <xdr:to>
      <xdr:col>18</xdr:col>
      <xdr:colOff>342900</xdr:colOff>
      <xdr:row>35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E8C5FC-4C61-28FC-4734-4918B653B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133350</xdr:colOff>
      <xdr:row>12</xdr:row>
      <xdr:rowOff>0</xdr:rowOff>
    </xdr:from>
    <xdr:to>
      <xdr:col>29</xdr:col>
      <xdr:colOff>177800</xdr:colOff>
      <xdr:row>34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A73A52-8735-2C29-7A87-1C7419BCF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311150</xdr:colOff>
      <xdr:row>35</xdr:row>
      <xdr:rowOff>171450</xdr:rowOff>
    </xdr:from>
    <xdr:to>
      <xdr:col>18</xdr:col>
      <xdr:colOff>292100</xdr:colOff>
      <xdr:row>57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4D3020-C7EF-3B78-C17C-7AE5F9C35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330200</xdr:colOff>
      <xdr:row>59</xdr:row>
      <xdr:rowOff>120650</xdr:rowOff>
    </xdr:from>
    <xdr:to>
      <xdr:col>18</xdr:col>
      <xdr:colOff>177800</xdr:colOff>
      <xdr:row>83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583F4D-6167-251D-09E8-D3A15E759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139700</xdr:colOff>
      <xdr:row>35</xdr:row>
      <xdr:rowOff>184150</xdr:rowOff>
    </xdr:from>
    <xdr:to>
      <xdr:col>33</xdr:col>
      <xdr:colOff>50800</xdr:colOff>
      <xdr:row>59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B3D719-086E-283D-F551-2EE885988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139700</xdr:colOff>
      <xdr:row>59</xdr:row>
      <xdr:rowOff>184150</xdr:rowOff>
    </xdr:from>
    <xdr:to>
      <xdr:col>33</xdr:col>
      <xdr:colOff>12700</xdr:colOff>
      <xdr:row>83</xdr:row>
      <xdr:rowOff>12700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1413F6A-E67B-100C-8E4F-9CCC7C547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0</xdr:colOff>
      <xdr:row>63</xdr:row>
      <xdr:rowOff>187960</xdr:rowOff>
    </xdr:from>
    <xdr:to>
      <xdr:col>51</xdr:col>
      <xdr:colOff>60960</xdr:colOff>
      <xdr:row>78</xdr:row>
      <xdr:rowOff>35560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377D95-CD91-DD30-6CB3-5E5DBBBD0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152671</xdr:colOff>
      <xdr:row>98</xdr:row>
      <xdr:rowOff>74038</xdr:rowOff>
    </xdr:from>
    <xdr:to>
      <xdr:col>51</xdr:col>
      <xdr:colOff>252649</xdr:colOff>
      <xdr:row>112</xdr:row>
      <xdr:rowOff>169153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D0FD1D-90F9-9E69-6AA9-F6DE07C09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43</xdr:col>
      <xdr:colOff>10810</xdr:colOff>
      <xdr:row>49</xdr:row>
      <xdr:rowOff>6485</xdr:rowOff>
    </xdr:from>
    <xdr:to>
      <xdr:col>51</xdr:col>
      <xdr:colOff>110788</xdr:colOff>
      <xdr:row>63</xdr:row>
      <xdr:rowOff>101600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420CBE6-B99D-4B90-5BBD-15D5FA5AE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159425</xdr:colOff>
      <xdr:row>82</xdr:row>
      <xdr:rowOff>182124</xdr:rowOff>
    </xdr:from>
    <xdr:to>
      <xdr:col>51</xdr:col>
      <xdr:colOff>259403</xdr:colOff>
      <xdr:row>97</xdr:row>
      <xdr:rowOff>88090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C1B77F7-F5FC-D763-2ED1-1D0AA97BB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nstructor" id="{F8B2A78B-1C78-C74B-990F-2487F0E8AC64}" userId="Instructo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0-08-05T14:34:45.94" personId="{F8B2A78B-1C78-C74B-990F-2487F0E8AC64}" id="{6CA89C5A-87C0-4040-AAFE-98F5161C776E}">
    <text>Length at age prediction; use VBGF</text>
  </threadedComment>
  <threadedComment ref="A5" dT="2020-08-05T14:36:45.32" personId="{F8B2A78B-1C78-C74B-990F-2487F0E8AC64}" id="{7A7FDBC4-6B1D-FA47-970A-407FC57FFCDD}">
    <text>Asymptotic maximum length</text>
  </threadedComment>
  <threadedComment ref="E5" dT="2020-08-05T14:34:57.80" personId="{F8B2A78B-1C78-C74B-990F-2487F0E8AC64}" id="{33FFEB0E-53B3-3A42-AA98-768A27A37C6D}">
    <text>Weight at age; convert from length at age</text>
  </threadedComment>
  <threadedComment ref="A6" dT="2020-08-05T14:36:57.99" personId="{F8B2A78B-1C78-C74B-990F-2487F0E8AC64}" id="{D449355F-088F-FD4B-8712-E7467E513ACB}">
    <text>Brody growth coefficient</text>
  </threadedComment>
  <threadedComment ref="E6" dT="2020-08-05T14:35:04.30" personId="{F8B2A78B-1C78-C74B-990F-2487F0E8AC64}" id="{22019272-0802-6348-B7E0-F7D6D2D60E1A}">
    <text>Vulnerability to harvest</text>
  </threadedComment>
  <threadedComment ref="A7" dT="2020-08-05T14:38:12.61" personId="{F8B2A78B-1C78-C74B-990F-2487F0E8AC64}" id="{F4B873B6-F00F-3948-864B-8A7D70CADD1D}">
    <text>theoretical age at length zero (x-intercept)</text>
  </threadedComment>
  <threadedComment ref="E7" dT="2020-08-05T14:35:10.88" personId="{F8B2A78B-1C78-C74B-990F-2487F0E8AC64}" id="{72DDBE22-C539-FE4A-BD03-27C4E3CD4E43}">
    <text>Vulnerability to capture</text>
  </threadedComment>
  <threadedComment ref="E8" dT="2020-08-05T14:35:18.75" personId="{F8B2A78B-1C78-C74B-990F-2487F0E8AC64}" id="{46B6A6C3-3974-2B44-A797-BD5B78E0ED21}">
    <text>Survival in the unfished condition</text>
  </threadedComment>
  <threadedComment ref="A9" dT="2020-08-05T14:38:19.05" personId="{F8B2A78B-1C78-C74B-990F-2487F0E8AC64}" id="{E7EE4F0F-B67D-C94A-AF85-69F285A44EFA}">
    <text>length-weigth scaling</text>
  </threadedComment>
  <threadedComment ref="E9" dT="2020-08-05T14:35:25.50" personId="{F8B2A78B-1C78-C74B-990F-2487F0E8AC64}" id="{544F8E55-E6D6-A246-BEC3-4FA55C50E691}">
    <text>Survival in the fished condition</text>
  </threadedComment>
  <threadedComment ref="A10" dT="2020-08-05T14:38:25.37" personId="{F8B2A78B-1C78-C74B-990F-2487F0E8AC64}" id="{04B071CE-4033-A446-ABD2-AD0A285ED643}">
    <text>length-weight allometry</text>
  </threadedComment>
  <threadedComment ref="E10" dT="2020-08-05T14:35:31.00" personId="{F8B2A78B-1C78-C74B-990F-2487F0E8AC64}" id="{8CFACE28-581F-504E-9C11-449EB7C2EE27}">
    <text>Fecundity; use the maximum of the weight at age minus the weight at maturity</text>
  </threadedComment>
  <threadedComment ref="A12" dT="2020-08-05T14:38:36.87" personId="{F8B2A78B-1C78-C74B-990F-2487F0E8AC64}" id="{615F16F2-4BEB-F14F-9F2C-0C9DF3A37D2E}">
    <text>Length at 50% mature</text>
  </threadedComment>
  <threadedComment ref="A13" dT="2020-08-05T14:38:46.18" personId="{F8B2A78B-1C78-C74B-990F-2487F0E8AC64}" id="{878596CA-D5E3-6149-8945-10CC31A9359F}">
    <text>Weight at 50% mature</text>
  </threadedComment>
  <threadedComment ref="A15" dT="2020-08-05T14:39:00.65" personId="{F8B2A78B-1C78-C74B-990F-2487F0E8AC64}" id="{8734C1EA-6309-B344-9B6A-BE69FBC82763}">
    <text>Minimum Length Limit</text>
  </threadedComment>
  <threadedComment ref="A16" dT="2020-08-05T14:39:09.10" personId="{F8B2A78B-1C78-C74B-990F-2487F0E8AC64}" id="{A488A78A-D1DC-AC41-A05E-0DA87147C399}">
    <text>Minimum length limit sigma</text>
  </threadedComment>
  <threadedComment ref="A17" dT="2020-08-05T14:39:22.78" personId="{F8B2A78B-1C78-C74B-990F-2487F0E8AC64}" id="{1FAB9EFA-14BA-644D-93F8-44179FA622CE}">
    <text>Maximum Length Limit</text>
  </threadedComment>
  <threadedComment ref="A18" dT="2020-08-05T14:39:55.47" personId="{F8B2A78B-1C78-C74B-990F-2487F0E8AC64}" id="{7AF75400-A16C-874B-88B7-C13A1AD27662}">
    <text>Maximum Length Limit sigma</text>
  </threadedComment>
  <threadedComment ref="A19" dT="2020-08-05T14:40:03.65" personId="{F8B2A78B-1C78-C74B-990F-2487F0E8AC64}" id="{00C57BA0-51A4-F249-9339-15F23AD9574E}">
    <text>Capture vulnerability</text>
  </threadedComment>
  <threadedComment ref="A20" dT="2020-08-05T14:40:14.29" personId="{F8B2A78B-1C78-C74B-990F-2487F0E8AC64}" id="{94779454-E625-1248-85DD-7CC8EDE1EBBB}">
    <text>Capture vulnerability sigma</text>
  </threadedComment>
  <threadedComment ref="A22" dT="2020-08-05T14:40:48.96" personId="{F8B2A78B-1C78-C74B-990F-2487F0E8AC64}" id="{5E2A0A46-3D75-A64E-B08C-D9D0DA5351D6}">
    <text>Natural mortality, assumed 1.5*K (Jensen 1996)</text>
  </threadedComment>
  <threadedComment ref="A23" dT="2020-08-05T14:40:55.33" personId="{F8B2A78B-1C78-C74B-990F-2487F0E8AC64}" id="{95C1F008-1AD7-F84F-997D-346E1695C3EB}">
    <text>Survival</text>
  </threadedComment>
  <threadedComment ref="A24" dT="2020-08-05T14:41:01.90" personId="{F8B2A78B-1C78-C74B-990F-2487F0E8AC64}" id="{8AEB2C02-E91D-8440-83F9-F9D6FEA6AF28}">
    <text>Harvest rate</text>
  </threadedComment>
  <threadedComment ref="A25" dT="2020-08-05T14:41:08.29" personId="{F8B2A78B-1C78-C74B-990F-2487F0E8AC64}" id="{D70DC3DF-C2DC-F340-A928-7F1C344321A5}">
    <text>Discard mortality</text>
  </threadedComment>
  <threadedComment ref="A29" dT="2020-08-05T14:41:32.19" personId="{F8B2A78B-1C78-C74B-990F-2487F0E8AC64}" id="{DE70ABA3-612F-7447-A9F0-25D8F2F88420}">
    <text>Vulnerable biomass per recruit in the unfished condition.  It's the total harvestable biomass a fish would have achieved through its life if it had not been fished.</text>
  </threadedComment>
  <threadedComment ref="A30" dT="2020-08-05T14:41:38.86" personId="{F8B2A78B-1C78-C74B-990F-2487F0E8AC64}" id="{C2B0D19D-FD94-0C49-B438-6A0A6E63E4DC}">
    <text>Vulnerable biomass per recruit in the fished condition.</text>
  </threadedComment>
  <threadedComment ref="A31" dT="2020-08-05T14:41:47.43" personId="{F8B2A78B-1C78-C74B-990F-2487F0E8AC64}" id="{7F42C00A-FEA9-4C45-A382-4FB0B045F37A}">
    <text>Yield per recruit</text>
  </threadedComment>
  <threadedComment ref="A32" dT="2020-08-05T14:41:54.67" personId="{F8B2A78B-1C78-C74B-990F-2487F0E8AC64}" id="{FDAF9FB3-6D9B-574F-BF78-5E7D7A59790F}">
    <text>Spawning potential ratio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56"/>
  <sheetViews>
    <sheetView tabSelected="1" topLeftCell="AJ1" zoomScale="94" workbookViewId="0">
      <selection activeCell="BD7" sqref="BD7"/>
    </sheetView>
  </sheetViews>
  <sheetFormatPr baseColWidth="10" defaultColWidth="8.83203125" defaultRowHeight="15" x14ac:dyDescent="0.2"/>
  <cols>
    <col min="1" max="1" width="9.6640625" customWidth="1"/>
    <col min="2" max="2" width="9" bestFit="1" customWidth="1"/>
    <col min="4" max="5" width="9" bestFit="1" customWidth="1"/>
    <col min="6" max="6" width="5.83203125" bestFit="1" customWidth="1"/>
    <col min="7" max="9" width="7.83203125" bestFit="1" customWidth="1"/>
    <col min="10" max="20" width="8" bestFit="1" customWidth="1"/>
    <col min="21" max="40" width="9" bestFit="1" customWidth="1"/>
    <col min="41" max="43" width="7.6640625" bestFit="1" customWidth="1"/>
    <col min="44" max="48" width="8.33203125" bestFit="1" customWidth="1"/>
    <col min="49" max="49" width="8.1640625" bestFit="1" customWidth="1"/>
    <col min="50" max="55" width="12.1640625" bestFit="1" customWidth="1"/>
    <col min="56" max="56" width="11.1640625" bestFit="1" customWidth="1"/>
    <col min="57" max="59" width="12.1640625" bestFit="1" customWidth="1"/>
    <col min="60" max="63" width="7.6640625" bestFit="1" customWidth="1"/>
    <col min="64" max="73" width="4.5" customWidth="1"/>
  </cols>
  <sheetData>
    <row r="1" spans="1:63" x14ac:dyDescent="0.2">
      <c r="A1" s="1" t="s">
        <v>36</v>
      </c>
    </row>
    <row r="3" spans="1:63" x14ac:dyDescent="0.2">
      <c r="A3" s="5" t="s">
        <v>6</v>
      </c>
      <c r="E3" t="s">
        <v>3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32</v>
      </c>
      <c r="AL3">
        <v>33</v>
      </c>
      <c r="AM3">
        <v>34</v>
      </c>
      <c r="AN3">
        <v>35</v>
      </c>
    </row>
    <row r="4" spans="1:63" x14ac:dyDescent="0.2">
      <c r="A4" s="1" t="s">
        <v>19</v>
      </c>
      <c r="E4" t="s">
        <v>4</v>
      </c>
      <c r="F4" s="3">
        <f t="shared" ref="F4:AN4" si="0">Linf*(1-EXP(-K*(F3-tnot)))</f>
        <v>107.49917237398287</v>
      </c>
      <c r="G4" s="3">
        <f t="shared" si="0"/>
        <v>203.8006005027222</v>
      </c>
      <c r="H4" s="3">
        <f t="shared" si="0"/>
        <v>290.07070709825217</v>
      </c>
      <c r="I4" s="3">
        <f t="shared" si="0"/>
        <v>367.35441344219805</v>
      </c>
      <c r="J4" s="3">
        <f t="shared" si="0"/>
        <v>436.5877956873378</v>
      </c>
      <c r="K4" s="3">
        <f t="shared" si="0"/>
        <v>498.60942280456646</v>
      </c>
      <c r="L4" s="3">
        <f t="shared" si="0"/>
        <v>554.17051350281258</v>
      </c>
      <c r="M4" s="3">
        <f t="shared" si="0"/>
        <v>603.94403514460805</v>
      </c>
      <c r="N4" s="3">
        <f t="shared" si="0"/>
        <v>648.53285486524885</v>
      </c>
      <c r="O4" s="3">
        <f t="shared" si="0"/>
        <v>688.47704162358195</v>
      </c>
      <c r="P4" s="3">
        <f t="shared" si="0"/>
        <v>724.26040762835623</v>
      </c>
      <c r="Q4" s="3">
        <f t="shared" si="0"/>
        <v>756.31636837124245</v>
      </c>
      <c r="R4" s="3">
        <f t="shared" si="0"/>
        <v>785.03319224444533</v>
      </c>
      <c r="S4" s="3">
        <f t="shared" si="0"/>
        <v>810.75870332735872</v>
      </c>
      <c r="T4" s="3">
        <f t="shared" si="0"/>
        <v>833.80449430338172</v>
      </c>
      <c r="U4" s="3">
        <f t="shared" si="0"/>
        <v>854.44970053461191</v>
      </c>
      <c r="V4" s="3">
        <f t="shared" si="0"/>
        <v>872.9443810067844</v>
      </c>
      <c r="W4" s="3">
        <f t="shared" si="0"/>
        <v>889.51254709515865</v>
      </c>
      <c r="X4" s="3">
        <f t="shared" si="0"/>
        <v>904.35487583638667</v>
      </c>
      <c r="Y4" s="3">
        <f t="shared" si="0"/>
        <v>917.65114057007145</v>
      </c>
      <c r="Z4" s="3">
        <f t="shared" si="0"/>
        <v>929.56238839044579</v>
      </c>
      <c r="AA4" s="3">
        <f t="shared" si="0"/>
        <v>940.23289078191328</v>
      </c>
      <c r="AB4" s="3">
        <f t="shared" si="0"/>
        <v>949.79189106495323</v>
      </c>
      <c r="AC4" s="3">
        <f t="shared" si="0"/>
        <v>958.3551698178095</v>
      </c>
      <c r="AD4" s="3">
        <f t="shared" si="0"/>
        <v>966.02644723467779</v>
      </c>
      <c r="AE4" s="3">
        <f t="shared" si="0"/>
        <v>972.89863940603766</v>
      </c>
      <c r="AF4" s="3">
        <f t="shared" si="0"/>
        <v>979.05498373745945</v>
      </c>
      <c r="AG4" s="3">
        <f t="shared" si="0"/>
        <v>984.5700471381864</v>
      </c>
      <c r="AH4" s="3">
        <f t="shared" si="0"/>
        <v>989.51062919088213</v>
      </c>
      <c r="AI4" s="3">
        <f t="shared" si="0"/>
        <v>993.93657124192032</v>
      </c>
      <c r="AJ4" s="3">
        <f t="shared" si="0"/>
        <v>997.9014812120846</v>
      </c>
      <c r="AK4" s="3">
        <f t="shared" si="0"/>
        <v>1001.4533829067354</v>
      </c>
      <c r="AL4" s="3">
        <f t="shared" si="0"/>
        <v>1004.6352976900213</v>
      </c>
      <c r="AM4" s="3">
        <f t="shared" si="0"/>
        <v>1007.4857655684932</v>
      </c>
      <c r="AN4" s="3">
        <f t="shared" si="0"/>
        <v>1010.0393119955947</v>
      </c>
    </row>
    <row r="5" spans="1:63" x14ac:dyDescent="0.2">
      <c r="A5" t="s">
        <v>0</v>
      </c>
      <c r="B5">
        <v>1032</v>
      </c>
      <c r="E5" t="s">
        <v>5</v>
      </c>
      <c r="F5" s="2">
        <f t="shared" ref="F5:AN5" si="1">lwa*F4^lwb/1000</f>
        <v>1.4444866616537839E-2</v>
      </c>
      <c r="G5" s="2">
        <f t="shared" si="1"/>
        <v>0.10973384819119404</v>
      </c>
      <c r="H5" s="2">
        <f t="shared" si="1"/>
        <v>0.33596697015078592</v>
      </c>
      <c r="I5" s="2">
        <f t="shared" si="1"/>
        <v>0.7103617747024823</v>
      </c>
      <c r="J5" s="2">
        <f t="shared" si="1"/>
        <v>1.2279657334970362</v>
      </c>
      <c r="K5" s="2">
        <f t="shared" si="1"/>
        <v>1.8709407322930567</v>
      </c>
      <c r="L5" s="2">
        <f t="shared" si="1"/>
        <v>2.6152241960856446</v>
      </c>
      <c r="M5" s="2">
        <f t="shared" si="1"/>
        <v>3.434937432023621</v>
      </c>
      <c r="N5" s="2">
        <f t="shared" si="1"/>
        <v>4.3051044013311612</v>
      </c>
      <c r="O5" s="2">
        <f t="shared" si="1"/>
        <v>5.2031805937897779</v>
      </c>
      <c r="P5" s="2">
        <f t="shared" si="1"/>
        <v>6.1097810087380147</v>
      </c>
      <c r="Q5" s="2">
        <f t="shared" si="1"/>
        <v>7.0088924702636399</v>
      </c>
      <c r="R5" s="2">
        <f t="shared" si="1"/>
        <v>7.8877715854787001</v>
      </c>
      <c r="S5" s="2">
        <f t="shared" si="1"/>
        <v>8.7366660787981978</v>
      </c>
      <c r="T5" s="2">
        <f t="shared" si="1"/>
        <v>9.5484508706613518</v>
      </c>
      <c r="U5" s="2">
        <f t="shared" si="1"/>
        <v>10.318237367347901</v>
      </c>
      <c r="V5" s="2">
        <f t="shared" si="1"/>
        <v>11.042991617010488</v>
      </c>
      <c r="W5" s="2">
        <f t="shared" si="1"/>
        <v>11.721181529955961</v>
      </c>
      <c r="X5" s="2">
        <f t="shared" si="1"/>
        <v>12.352463152157055</v>
      </c>
      <c r="Y5" s="2">
        <f t="shared" si="1"/>
        <v>12.93740944876655</v>
      </c>
      <c r="Z5" s="2">
        <f t="shared" si="1"/>
        <v>13.477281052650884</v>
      </c>
      <c r="AA5" s="2">
        <f t="shared" si="1"/>
        <v>13.973836139549425</v>
      </c>
      <c r="AB5" s="2">
        <f t="shared" si="1"/>
        <v>14.429175425638322</v>
      </c>
      <c r="AC5" s="2">
        <f t="shared" si="1"/>
        <v>14.845617840636342</v>
      </c>
      <c r="AD5" s="2">
        <f t="shared" si="1"/>
        <v>15.225602432758196</v>
      </c>
      <c r="AE5" s="2">
        <f t="shared" si="1"/>
        <v>15.571612323746727</v>
      </c>
      <c r="AF5" s="2">
        <f t="shared" si="1"/>
        <v>15.886116929302933</v>
      </c>
      <c r="AG5" s="2">
        <f t="shared" si="1"/>
        <v>16.17152911294777</v>
      </c>
      <c r="AH5" s="2">
        <f t="shared" si="1"/>
        <v>16.430174400317046</v>
      </c>
      <c r="AI5" s="2">
        <f t="shared" si="1"/>
        <v>16.664269817094443</v>
      </c>
      <c r="AJ5" s="2">
        <f t="shared" si="1"/>
        <v>16.875910311675995</v>
      </c>
      <c r="AK5" s="2">
        <f t="shared" si="1"/>
        <v>17.067061076391322</v>
      </c>
      <c r="AL5" s="2">
        <f t="shared" si="1"/>
        <v>17.239554387268214</v>
      </c>
      <c r="AM5" s="2">
        <f t="shared" si="1"/>
        <v>17.395089843760246</v>
      </c>
      <c r="AN5" s="2">
        <f t="shared" si="1"/>
        <v>17.535237110153744</v>
      </c>
    </row>
    <row r="6" spans="1:63" x14ac:dyDescent="0.2">
      <c r="A6" t="s">
        <v>1</v>
      </c>
      <c r="B6">
        <v>0.11</v>
      </c>
      <c r="E6" t="s">
        <v>33</v>
      </c>
      <c r="F6" s="2">
        <f t="shared" ref="F6:AN6" si="2">1/(1+EXP((LowLim-F4)/LowLim_SD)) - 1/(1+EXP((UpLim-F4)/UpLim_SD))</f>
        <v>1.1454325265729553E-35</v>
      </c>
      <c r="G6" s="2">
        <f t="shared" si="2"/>
        <v>4.6045145249760554E-28</v>
      </c>
      <c r="H6" s="2">
        <f t="shared" si="2"/>
        <v>2.9874360650051664E-21</v>
      </c>
      <c r="I6" s="2">
        <f t="shared" si="2"/>
        <v>3.7828887216837783E-15</v>
      </c>
      <c r="J6" s="2">
        <f t="shared" si="2"/>
        <v>1.1083418301573116E-9</v>
      </c>
      <c r="K6" s="2">
        <f t="shared" si="2"/>
        <v>8.7503758096614922E-5</v>
      </c>
      <c r="L6" s="2">
        <f t="shared" si="2"/>
        <v>0.68097914012382976</v>
      </c>
      <c r="M6" s="2">
        <f t="shared" si="2"/>
        <v>0.99994499362101008</v>
      </c>
      <c r="N6" s="2">
        <f t="shared" si="2"/>
        <v>0.99999998341993113</v>
      </c>
      <c r="O6" s="2">
        <f t="shared" si="2"/>
        <v>0.99999999998837241</v>
      </c>
      <c r="P6" s="2">
        <f t="shared" si="2"/>
        <v>0.99999999999998268</v>
      </c>
      <c r="Q6" s="2">
        <f t="shared" si="2"/>
        <v>1</v>
      </c>
      <c r="R6" s="2">
        <f t="shared" si="2"/>
        <v>1</v>
      </c>
      <c r="S6" s="2">
        <f t="shared" si="2"/>
        <v>1</v>
      </c>
      <c r="T6" s="2">
        <f t="shared" si="2"/>
        <v>1</v>
      </c>
      <c r="U6" s="2">
        <f t="shared" si="2"/>
        <v>1</v>
      </c>
      <c r="V6" s="2">
        <f t="shared" si="2"/>
        <v>1</v>
      </c>
      <c r="W6" s="2">
        <f t="shared" si="2"/>
        <v>1</v>
      </c>
      <c r="X6" s="2">
        <f t="shared" si="2"/>
        <v>1</v>
      </c>
      <c r="Y6" s="2">
        <f t="shared" si="2"/>
        <v>1</v>
      </c>
      <c r="Z6" s="2">
        <f t="shared" si="2"/>
        <v>1</v>
      </c>
      <c r="AA6" s="2">
        <f t="shared" si="2"/>
        <v>1</v>
      </c>
      <c r="AB6" s="2">
        <f t="shared" si="2"/>
        <v>1</v>
      </c>
      <c r="AC6" s="2">
        <f t="shared" si="2"/>
        <v>1</v>
      </c>
      <c r="AD6" s="2">
        <f t="shared" si="2"/>
        <v>1</v>
      </c>
      <c r="AE6" s="2">
        <f t="shared" si="2"/>
        <v>1</v>
      </c>
      <c r="AF6" s="2">
        <f t="shared" si="2"/>
        <v>1</v>
      </c>
      <c r="AG6" s="2">
        <f t="shared" si="2"/>
        <v>1</v>
      </c>
      <c r="AH6" s="2">
        <f t="shared" si="2"/>
        <v>1</v>
      </c>
      <c r="AI6" s="2">
        <f t="shared" si="2"/>
        <v>1</v>
      </c>
      <c r="AJ6" s="2">
        <f t="shared" si="2"/>
        <v>1</v>
      </c>
      <c r="AK6" s="2">
        <f t="shared" si="2"/>
        <v>1</v>
      </c>
      <c r="AL6" s="2">
        <f t="shared" si="2"/>
        <v>1</v>
      </c>
      <c r="AM6" s="2">
        <f t="shared" si="2"/>
        <v>1</v>
      </c>
      <c r="AN6" s="2">
        <f t="shared" si="2"/>
        <v>1</v>
      </c>
    </row>
    <row r="7" spans="1:63" x14ac:dyDescent="0.2">
      <c r="A7" t="s">
        <v>2</v>
      </c>
      <c r="B7">
        <v>0</v>
      </c>
      <c r="E7" t="s">
        <v>34</v>
      </c>
      <c r="F7" s="2">
        <f t="shared" ref="F7:AN7" si="3">1/(1+EXP((CapLim-F4)/CapLim_SD))</f>
        <v>8.118838747256025E-31</v>
      </c>
      <c r="G7" s="2">
        <f t="shared" si="3"/>
        <v>7.2272584086339007E-19</v>
      </c>
      <c r="H7" s="2">
        <f t="shared" si="3"/>
        <v>3.6620591282073002E-8</v>
      </c>
      <c r="I7" s="2">
        <f t="shared" si="3"/>
        <v>0.99302486374612098</v>
      </c>
      <c r="J7" s="2">
        <f t="shared" si="3"/>
        <v>0.99999999998197686</v>
      </c>
      <c r="K7" s="2">
        <f t="shared" si="3"/>
        <v>1</v>
      </c>
      <c r="L7" s="2">
        <f t="shared" si="3"/>
        <v>1</v>
      </c>
      <c r="M7" s="2">
        <f t="shared" si="3"/>
        <v>1</v>
      </c>
      <c r="N7" s="2">
        <f t="shared" si="3"/>
        <v>1</v>
      </c>
      <c r="O7" s="2">
        <f t="shared" si="3"/>
        <v>1</v>
      </c>
      <c r="P7" s="2">
        <f t="shared" si="3"/>
        <v>1</v>
      </c>
      <c r="Q7" s="2">
        <f t="shared" si="3"/>
        <v>1</v>
      </c>
      <c r="R7" s="2">
        <f t="shared" si="3"/>
        <v>1</v>
      </c>
      <c r="S7" s="2">
        <f t="shared" si="3"/>
        <v>1</v>
      </c>
      <c r="T7" s="2">
        <f t="shared" si="3"/>
        <v>1</v>
      </c>
      <c r="U7" s="2">
        <f t="shared" si="3"/>
        <v>1</v>
      </c>
      <c r="V7" s="2">
        <f t="shared" si="3"/>
        <v>1</v>
      </c>
      <c r="W7" s="2">
        <f t="shared" si="3"/>
        <v>1</v>
      </c>
      <c r="X7" s="2">
        <f t="shared" si="3"/>
        <v>1</v>
      </c>
      <c r="Y7" s="2">
        <f t="shared" si="3"/>
        <v>1</v>
      </c>
      <c r="Z7" s="2">
        <f t="shared" si="3"/>
        <v>1</v>
      </c>
      <c r="AA7" s="2">
        <f t="shared" si="3"/>
        <v>1</v>
      </c>
      <c r="AB7" s="2">
        <f t="shared" si="3"/>
        <v>1</v>
      </c>
      <c r="AC7" s="2">
        <f t="shared" si="3"/>
        <v>1</v>
      </c>
      <c r="AD7" s="2">
        <f t="shared" si="3"/>
        <v>1</v>
      </c>
      <c r="AE7" s="2">
        <f t="shared" si="3"/>
        <v>1</v>
      </c>
      <c r="AF7" s="2">
        <f t="shared" si="3"/>
        <v>1</v>
      </c>
      <c r="AG7" s="2">
        <f t="shared" si="3"/>
        <v>1</v>
      </c>
      <c r="AH7" s="2">
        <f t="shared" si="3"/>
        <v>1</v>
      </c>
      <c r="AI7" s="2">
        <f t="shared" si="3"/>
        <v>1</v>
      </c>
      <c r="AJ7" s="2">
        <f t="shared" si="3"/>
        <v>1</v>
      </c>
      <c r="AK7" s="2">
        <f t="shared" si="3"/>
        <v>1</v>
      </c>
      <c r="AL7" s="2">
        <f t="shared" si="3"/>
        <v>1</v>
      </c>
      <c r="AM7" s="2">
        <f t="shared" si="3"/>
        <v>1</v>
      </c>
      <c r="AN7" s="2">
        <f t="shared" si="3"/>
        <v>1</v>
      </c>
    </row>
    <row r="8" spans="1:63" x14ac:dyDescent="0.2">
      <c r="A8" s="1" t="s">
        <v>20</v>
      </c>
      <c r="E8" t="s">
        <v>10</v>
      </c>
      <c r="F8">
        <v>1</v>
      </c>
      <c r="G8" s="2">
        <f t="shared" ref="G8:AN8" si="4">F8*So</f>
        <v>0.84789370408791587</v>
      </c>
      <c r="H8" s="2">
        <f t="shared" si="4"/>
        <v>0.71892373343192628</v>
      </c>
      <c r="I8" s="2">
        <f t="shared" si="4"/>
        <v>0.60957090729630936</v>
      </c>
      <c r="J8" s="2">
        <f t="shared" si="4"/>
        <v>0.51685133449169929</v>
      </c>
      <c r="K8" s="2">
        <f t="shared" si="4"/>
        <v>0.43823499246494929</v>
      </c>
      <c r="L8" s="2">
        <f t="shared" si="4"/>
        <v>0.37157669102204577</v>
      </c>
      <c r="M8" s="2">
        <f t="shared" si="4"/>
        <v>0.31505753690341343</v>
      </c>
      <c r="N8" s="2">
        <f t="shared" si="4"/>
        <v>0.26713530196585045</v>
      </c>
      <c r="O8" s="2">
        <f t="shared" si="4"/>
        <v>0.22650234067646885</v>
      </c>
      <c r="P8" s="2">
        <f t="shared" si="4"/>
        <v>0.19204990862075419</v>
      </c>
      <c r="Q8" s="2">
        <f t="shared" si="4"/>
        <v>0.16283790839019704</v>
      </c>
      <c r="R8" s="2">
        <f t="shared" si="4"/>
        <v>0.13806923731089288</v>
      </c>
      <c r="S8" s="2">
        <f t="shared" si="4"/>
        <v>0.11706803704412644</v>
      </c>
      <c r="T8" s="2">
        <f t="shared" si="4"/>
        <v>9.9261251559645713E-2</v>
      </c>
      <c r="U8" s="2">
        <f t="shared" si="4"/>
        <v>8.4162990257310416E-2</v>
      </c>
      <c r="V8" s="2">
        <f t="shared" si="4"/>
        <v>7.1361269556386109E-2</v>
      </c>
      <c r="W8" s="2">
        <f t="shared" si="4"/>
        <v>6.0506771172580444E-2</v>
      </c>
      <c r="X8" s="2">
        <f t="shared" si="4"/>
        <v>5.1303310331919164E-2</v>
      </c>
      <c r="Y8" s="2">
        <f t="shared" si="4"/>
        <v>4.3499753829302781E-2</v>
      </c>
      <c r="Z8" s="2">
        <f t="shared" si="4"/>
        <v>3.6883167401240036E-2</v>
      </c>
      <c r="AA8" s="2">
        <f t="shared" si="4"/>
        <v>3.127300542633208E-2</v>
      </c>
      <c r="AB8" s="2">
        <f t="shared" si="4"/>
        <v>2.6516184408894201E-2</v>
      </c>
      <c r="AC8" s="2">
        <f t="shared" si="4"/>
        <v>2.2482905816735548E-2</v>
      </c>
      <c r="AD8" s="2">
        <f t="shared" si="4"/>
        <v>1.9063114291611654E-2</v>
      </c>
      <c r="AE8" s="2">
        <f t="shared" si="4"/>
        <v>1.6163494588165891E-2</v>
      </c>
      <c r="AF8" s="2">
        <f t="shared" si="4"/>
        <v>1.3704925297364961E-2</v>
      </c>
      <c r="AG8" s="2">
        <f t="shared" si="4"/>
        <v>1.1620319874630958E-2</v>
      </c>
      <c r="AH8" s="2">
        <f t="shared" si="4"/>
        <v>9.8527960611872693E-3</v>
      </c>
      <c r="AI8" s="2">
        <f t="shared" si="4"/>
        <v>8.3541237479429018E-3</v>
      </c>
      <c r="AJ8" s="2">
        <f t="shared" si="4"/>
        <v>7.0834089290521297E-3</v>
      </c>
      <c r="AK8" s="2">
        <f t="shared" si="4"/>
        <v>6.0059778344234279E-3</v>
      </c>
      <c r="AL8" s="2">
        <f t="shared" si="4"/>
        <v>5.0924307926991999E-3</v>
      </c>
      <c r="AM8" s="2">
        <f t="shared" si="4"/>
        <v>4.3178400076330859E-3</v>
      </c>
      <c r="AN8" s="2">
        <f t="shared" si="4"/>
        <v>3.6610693577310122E-3</v>
      </c>
    </row>
    <row r="9" spans="1:63" x14ac:dyDescent="0.2">
      <c r="A9" t="s">
        <v>24</v>
      </c>
      <c r="B9" s="4">
        <v>5.2499999999999997E-6</v>
      </c>
      <c r="E9" t="s">
        <v>11</v>
      </c>
      <c r="F9">
        <v>1</v>
      </c>
      <c r="G9" s="2">
        <f t="shared" ref="G9:AN9" si="5">F9*So*(1 - U*(F7*F6+F7*(1-F6)*D))</f>
        <v>0.84789370408791587</v>
      </c>
      <c r="H9" s="2">
        <f t="shared" si="5"/>
        <v>0.71892373343192628</v>
      </c>
      <c r="I9" s="2">
        <f t="shared" si="5"/>
        <v>0.60957090662662394</v>
      </c>
      <c r="J9" s="2">
        <f t="shared" si="5"/>
        <v>0.5014539471604742</v>
      </c>
      <c r="K9" s="2">
        <f t="shared" si="5"/>
        <v>0.41242425526689686</v>
      </c>
      <c r="L9" s="2">
        <f t="shared" si="5"/>
        <v>0.3391959696794703</v>
      </c>
      <c r="M9" s="2">
        <f t="shared" si="5"/>
        <v>0.24567938495816047</v>
      </c>
      <c r="N9" s="2">
        <f t="shared" si="5"/>
        <v>0.16664995090860468</v>
      </c>
      <c r="O9" s="2">
        <f t="shared" si="5"/>
        <v>0.11304115572784683</v>
      </c>
      <c r="P9" s="2">
        <f t="shared" si="5"/>
        <v>7.6677507395759834E-2</v>
      </c>
      <c r="Q9" s="2">
        <f t="shared" si="5"/>
        <v>5.2011500612815689E-2</v>
      </c>
      <c r="R9" s="2">
        <f t="shared" si="5"/>
        <v>3.5280179127816967E-2</v>
      </c>
      <c r="S9" s="2">
        <f t="shared" si="5"/>
        <v>2.3931073409255925E-2</v>
      </c>
      <c r="T9" s="2">
        <f t="shared" si="5"/>
        <v>1.6232805180619068E-2</v>
      </c>
      <c r="U9" s="2">
        <f t="shared" si="5"/>
        <v>1.101095464986609E-2</v>
      </c>
      <c r="V9" s="2">
        <f t="shared" si="5"/>
        <v>7.4688952988952164E-3</v>
      </c>
      <c r="W9" s="2">
        <f t="shared" si="5"/>
        <v>5.0662634403400696E-3</v>
      </c>
      <c r="X9" s="2">
        <f t="shared" si="5"/>
        <v>3.4365222994521038E-3</v>
      </c>
      <c r="Y9" s="2">
        <f t="shared" si="5"/>
        <v>2.3310444973305331E-3</v>
      </c>
      <c r="Z9" s="2">
        <f t="shared" si="5"/>
        <v>1.5811823625882717E-3</v>
      </c>
      <c r="AA9" s="2">
        <f t="shared" si="5"/>
        <v>1.0725396562027614E-3</v>
      </c>
      <c r="AB9" s="2">
        <f t="shared" si="5"/>
        <v>7.2751969750315141E-4</v>
      </c>
      <c r="AC9" s="2">
        <f t="shared" si="5"/>
        <v>4.9348749689029369E-4</v>
      </c>
      <c r="AD9" s="2">
        <f t="shared" si="5"/>
        <v>3.3473995332750799E-4</v>
      </c>
      <c r="AE9" s="2">
        <f t="shared" si="5"/>
        <v>2.2705911914646149E-4</v>
      </c>
      <c r="AF9" s="2">
        <f t="shared" si="5"/>
        <v>1.5401759806402614E-4</v>
      </c>
      <c r="AG9" s="2">
        <f t="shared" si="5"/>
        <v>1.0447244137378476E-4</v>
      </c>
      <c r="AH9" s="2">
        <f t="shared" si="5"/>
        <v>7.0865220233220786E-5</v>
      </c>
      <c r="AI9" s="2">
        <f t="shared" si="5"/>
        <v>4.8068939259641196E-5</v>
      </c>
      <c r="AJ9" s="2">
        <f t="shared" si="5"/>
        <v>3.2605880768347372E-5</v>
      </c>
      <c r="AK9" s="2">
        <f t="shared" si="5"/>
        <v>2.2117056815778395E-5</v>
      </c>
      <c r="AL9" s="2">
        <f t="shared" si="5"/>
        <v>1.5002330581642584E-5</v>
      </c>
      <c r="AM9" s="2">
        <f t="shared" si="5"/>
        <v>1.017630531745628E-5</v>
      </c>
      <c r="AN9" s="2">
        <f t="shared" si="5"/>
        <v>6.9027401676380476E-6</v>
      </c>
    </row>
    <row r="10" spans="1:63" x14ac:dyDescent="0.2">
      <c r="A10" t="s">
        <v>25</v>
      </c>
      <c r="B10">
        <v>3.17</v>
      </c>
      <c r="E10" t="s">
        <v>12</v>
      </c>
      <c r="F10" s="2">
        <f t="shared" ref="F10:AN10" si="6">MAX(0,F5-Wmat)</f>
        <v>0</v>
      </c>
      <c r="G10" s="2">
        <f t="shared" si="6"/>
        <v>0</v>
      </c>
      <c r="H10" s="2">
        <f t="shared" si="6"/>
        <v>0</v>
      </c>
      <c r="I10" s="2">
        <f t="shared" si="6"/>
        <v>0</v>
      </c>
      <c r="J10" s="2">
        <f t="shared" si="6"/>
        <v>0</v>
      </c>
      <c r="K10" s="2">
        <f t="shared" si="6"/>
        <v>0.51935694982498282</v>
      </c>
      <c r="L10" s="2">
        <f t="shared" si="6"/>
        <v>1.2636404136175707</v>
      </c>
      <c r="M10" s="2">
        <f t="shared" si="6"/>
        <v>2.0833536495555469</v>
      </c>
      <c r="N10" s="2">
        <f t="shared" si="6"/>
        <v>2.9535206188630871</v>
      </c>
      <c r="O10" s="2">
        <f t="shared" si="6"/>
        <v>3.8515968113217038</v>
      </c>
      <c r="P10" s="2">
        <f t="shared" si="6"/>
        <v>4.7581972262699406</v>
      </c>
      <c r="Q10" s="2">
        <f t="shared" si="6"/>
        <v>5.6573086877955658</v>
      </c>
      <c r="R10" s="2">
        <f t="shared" si="6"/>
        <v>6.536187803010626</v>
      </c>
      <c r="S10" s="2">
        <f t="shared" si="6"/>
        <v>7.3850822963301237</v>
      </c>
      <c r="T10" s="2">
        <f t="shared" si="6"/>
        <v>8.1968670881932777</v>
      </c>
      <c r="U10" s="2">
        <f t="shared" si="6"/>
        <v>8.9666535848798272</v>
      </c>
      <c r="V10" s="2">
        <f t="shared" si="6"/>
        <v>9.6914078345424137</v>
      </c>
      <c r="W10" s="2">
        <f t="shared" si="6"/>
        <v>10.369597747487887</v>
      </c>
      <c r="X10" s="2">
        <f t="shared" si="6"/>
        <v>11.000879369688981</v>
      </c>
      <c r="Y10" s="2">
        <f t="shared" si="6"/>
        <v>11.585825666298476</v>
      </c>
      <c r="Z10" s="2">
        <f t="shared" si="6"/>
        <v>12.12569727018281</v>
      </c>
      <c r="AA10" s="2">
        <f t="shared" si="6"/>
        <v>12.622252357081351</v>
      </c>
      <c r="AB10" s="2">
        <f t="shared" si="6"/>
        <v>13.077591643170248</v>
      </c>
      <c r="AC10" s="2">
        <f t="shared" si="6"/>
        <v>13.494034058168268</v>
      </c>
      <c r="AD10" s="2">
        <f t="shared" si="6"/>
        <v>13.874018650290122</v>
      </c>
      <c r="AE10" s="2">
        <f t="shared" si="6"/>
        <v>14.220028541278653</v>
      </c>
      <c r="AF10" s="2">
        <f t="shared" si="6"/>
        <v>14.534533146834859</v>
      </c>
      <c r="AG10" s="2">
        <f t="shared" si="6"/>
        <v>14.819945330479696</v>
      </c>
      <c r="AH10" s="2">
        <f t="shared" si="6"/>
        <v>15.078590617848972</v>
      </c>
      <c r="AI10" s="2">
        <f t="shared" si="6"/>
        <v>15.312686034626369</v>
      </c>
      <c r="AJ10" s="2">
        <f t="shared" si="6"/>
        <v>15.52432652920792</v>
      </c>
      <c r="AK10" s="2">
        <f t="shared" si="6"/>
        <v>15.715477293923248</v>
      </c>
      <c r="AL10" s="2">
        <f t="shared" si="6"/>
        <v>15.88797060480014</v>
      </c>
      <c r="AM10" s="2">
        <f t="shared" si="6"/>
        <v>16.043506061292174</v>
      </c>
      <c r="AN10" s="2">
        <f t="shared" si="6"/>
        <v>16.183653327685672</v>
      </c>
    </row>
    <row r="11" spans="1:63" x14ac:dyDescent="0.2">
      <c r="A11" s="1" t="s">
        <v>21</v>
      </c>
      <c r="E11" t="s">
        <v>40</v>
      </c>
      <c r="F11" s="2">
        <f t="shared" ref="F11:AN11" si="7">1/(1+EXP((M_50-F4)/M_SD))</f>
        <v>7.1848803288488872E-32</v>
      </c>
      <c r="G11" s="2">
        <f t="shared" si="7"/>
        <v>7.2865044176891708E-21</v>
      </c>
      <c r="H11" s="2">
        <f t="shared" si="7"/>
        <v>5.2742296336609613E-11</v>
      </c>
      <c r="I11" s="2">
        <f t="shared" si="7"/>
        <v>3.4630172264573995E-2</v>
      </c>
      <c r="J11" s="2">
        <f t="shared" si="7"/>
        <v>0.99999965904847377</v>
      </c>
      <c r="K11" s="2">
        <f t="shared" si="7"/>
        <v>0.99999999999997224</v>
      </c>
      <c r="L11" s="2">
        <f t="shared" si="7"/>
        <v>1</v>
      </c>
      <c r="M11" s="2">
        <f t="shared" si="7"/>
        <v>1</v>
      </c>
      <c r="N11" s="2">
        <f t="shared" si="7"/>
        <v>1</v>
      </c>
      <c r="O11" s="2">
        <f t="shared" si="7"/>
        <v>1</v>
      </c>
      <c r="P11" s="2">
        <f t="shared" si="7"/>
        <v>1</v>
      </c>
      <c r="Q11" s="2">
        <f t="shared" si="7"/>
        <v>1</v>
      </c>
      <c r="R11" s="2">
        <f t="shared" si="7"/>
        <v>1</v>
      </c>
      <c r="S11" s="2">
        <f t="shared" si="7"/>
        <v>1</v>
      </c>
      <c r="T11" s="2">
        <f t="shared" si="7"/>
        <v>1</v>
      </c>
      <c r="U11" s="2">
        <f t="shared" si="7"/>
        <v>1</v>
      </c>
      <c r="V11" s="2">
        <f t="shared" si="7"/>
        <v>1</v>
      </c>
      <c r="W11" s="2">
        <f t="shared" si="7"/>
        <v>1</v>
      </c>
      <c r="X11" s="2">
        <f t="shared" si="7"/>
        <v>1</v>
      </c>
      <c r="Y11" s="2">
        <f t="shared" si="7"/>
        <v>1</v>
      </c>
      <c r="Z11" s="2">
        <f t="shared" si="7"/>
        <v>1</v>
      </c>
      <c r="AA11" s="2">
        <f t="shared" si="7"/>
        <v>1</v>
      </c>
      <c r="AB11" s="2">
        <f t="shared" si="7"/>
        <v>1</v>
      </c>
      <c r="AC11" s="2">
        <f t="shared" si="7"/>
        <v>1</v>
      </c>
      <c r="AD11" s="2">
        <f t="shared" si="7"/>
        <v>1</v>
      </c>
      <c r="AE11" s="2">
        <f t="shared" si="7"/>
        <v>1</v>
      </c>
      <c r="AF11" s="2">
        <f t="shared" si="7"/>
        <v>1</v>
      </c>
      <c r="AG11" s="2">
        <f t="shared" si="7"/>
        <v>1</v>
      </c>
      <c r="AH11" s="2">
        <f t="shared" si="7"/>
        <v>1</v>
      </c>
      <c r="AI11" s="2">
        <f t="shared" si="7"/>
        <v>1</v>
      </c>
      <c r="AJ11" s="2">
        <f t="shared" si="7"/>
        <v>1</v>
      </c>
      <c r="AK11" s="2">
        <f t="shared" si="7"/>
        <v>1</v>
      </c>
      <c r="AL11" s="2">
        <f t="shared" si="7"/>
        <v>1</v>
      </c>
      <c r="AM11" s="2">
        <f t="shared" si="7"/>
        <v>1</v>
      </c>
      <c r="AN11" s="2">
        <f t="shared" si="7"/>
        <v>1</v>
      </c>
    </row>
    <row r="12" spans="1:63" x14ac:dyDescent="0.2">
      <c r="A12" t="s">
        <v>22</v>
      </c>
      <c r="B12">
        <v>450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63" x14ac:dyDescent="0.2">
      <c r="A13" t="s">
        <v>23</v>
      </c>
      <c r="B13">
        <f>lwa*Lmat^lwb/1000</f>
        <v>1.3515837824680739</v>
      </c>
      <c r="F13" t="s">
        <v>16</v>
      </c>
      <c r="G13" t="s">
        <v>17</v>
      </c>
      <c r="AI13" s="2"/>
      <c r="AJ13" s="2" t="s">
        <v>16</v>
      </c>
      <c r="AK13" s="2" t="s">
        <v>38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Y13" t="s">
        <v>44</v>
      </c>
      <c r="AZ13" t="s">
        <v>38</v>
      </c>
    </row>
    <row r="14" spans="1:63" x14ac:dyDescent="0.2">
      <c r="A14" s="1" t="s">
        <v>26</v>
      </c>
      <c r="F14">
        <f>Yield</f>
        <v>0.92548350276448099</v>
      </c>
      <c r="G14">
        <f>SPR</f>
        <v>0.26679198379789282</v>
      </c>
      <c r="AI14" s="2"/>
      <c r="AJ14" s="2">
        <f>Yield</f>
        <v>0.92548350276448099</v>
      </c>
      <c r="AK14" s="2">
        <v>700</v>
      </c>
      <c r="AL14" s="2">
        <v>750</v>
      </c>
      <c r="AM14" s="2">
        <v>800</v>
      </c>
      <c r="AN14" s="2">
        <v>850</v>
      </c>
      <c r="AO14" s="2">
        <v>900</v>
      </c>
      <c r="AP14" s="2">
        <v>950</v>
      </c>
      <c r="AQ14" s="2">
        <v>1000</v>
      </c>
      <c r="AR14" s="2">
        <v>1050</v>
      </c>
      <c r="AS14" s="2">
        <v>1100</v>
      </c>
      <c r="AT14" s="2">
        <v>1150</v>
      </c>
      <c r="AU14" s="2">
        <v>1200</v>
      </c>
      <c r="AV14" s="2">
        <v>1250</v>
      </c>
      <c r="AZ14" s="2">
        <v>700</v>
      </c>
      <c r="BA14" s="2">
        <v>750</v>
      </c>
      <c r="BB14" s="2">
        <v>800</v>
      </c>
      <c r="BC14" s="2">
        <v>850</v>
      </c>
      <c r="BD14" s="2">
        <v>900</v>
      </c>
      <c r="BE14" s="2">
        <v>950</v>
      </c>
      <c r="BF14" s="2">
        <v>1000</v>
      </c>
      <c r="BG14" s="2">
        <v>1050</v>
      </c>
      <c r="BH14" s="2">
        <v>1100</v>
      </c>
      <c r="BI14" s="2">
        <v>1150</v>
      </c>
      <c r="BJ14" s="2">
        <v>1200</v>
      </c>
      <c r="BK14" s="2">
        <v>1250</v>
      </c>
    </row>
    <row r="15" spans="1:63" x14ac:dyDescent="0.2">
      <c r="A15" t="s">
        <v>27</v>
      </c>
      <c r="B15">
        <v>550</v>
      </c>
      <c r="D15" t="s">
        <v>9</v>
      </c>
      <c r="E15">
        <v>0.05</v>
      </c>
      <c r="F15">
        <f t="dataTable" ref="F15:G34" dt2D="0" dtr="0" r1="B24"/>
        <v>0.54968769098373504</v>
      </c>
      <c r="G15">
        <v>0.65872437401409045</v>
      </c>
      <c r="V15" s="2"/>
      <c r="W15" s="2"/>
      <c r="X15" s="2"/>
      <c r="Y15" s="2"/>
      <c r="Z15" s="2"/>
      <c r="AA15" s="2"/>
      <c r="AB15" s="2"/>
      <c r="AC15" s="2"/>
      <c r="AD15" s="2"/>
      <c r="AI15" s="2" t="s">
        <v>39</v>
      </c>
      <c r="AJ15" s="2">
        <v>350</v>
      </c>
      <c r="AK15" s="2">
        <f t="dataTable" ref="AK15:AV22" dt2D="1" dtr="1" r1="B17" r2="B15" ca="1"/>
        <v>0.61042924256914677</v>
      </c>
      <c r="AL15" s="2">
        <v>0.67870884011881583</v>
      </c>
      <c r="AM15" s="2">
        <v>0.73698387530167109</v>
      </c>
      <c r="AN15" s="2">
        <v>0.77743037773557555</v>
      </c>
      <c r="AO15" s="2">
        <v>0.80187116238742184</v>
      </c>
      <c r="AP15" s="2">
        <v>0.81317355184407158</v>
      </c>
      <c r="AQ15" s="2">
        <v>0.81619973491575204</v>
      </c>
      <c r="AR15" s="2">
        <v>0.8164047650146895</v>
      </c>
      <c r="AS15" s="2">
        <v>0.81640729643339238</v>
      </c>
      <c r="AT15" s="2">
        <v>0.81640733090732143</v>
      </c>
      <c r="AU15" s="2">
        <v>0.81640733158864576</v>
      </c>
      <c r="AV15" s="2">
        <v>0.81640733160736145</v>
      </c>
      <c r="AX15" t="s">
        <v>39</v>
      </c>
      <c r="AY15">
        <v>350</v>
      </c>
      <c r="AZ15" s="2">
        <f>MIN(MAX($AK$15:$AV$22)/MAX(AK15, 0.01), 10)</f>
        <v>1.518913437606634</v>
      </c>
      <c r="BA15" s="2">
        <f t="shared" ref="BA15:BK15" si="8">MIN(MAX($AK$15:$AV$22)/MAX(AL15, 0.01), 10)</f>
        <v>1.3661074151973642</v>
      </c>
      <c r="BB15" s="2">
        <f t="shared" si="8"/>
        <v>1.2580861133044308</v>
      </c>
      <c r="BC15" s="2">
        <f t="shared" si="8"/>
        <v>1.1926330714615809</v>
      </c>
      <c r="BD15" s="2">
        <f t="shared" si="8"/>
        <v>1.1562819848587442</v>
      </c>
      <c r="BE15" s="2">
        <f t="shared" si="8"/>
        <v>1.1402106932077247</v>
      </c>
      <c r="BF15" s="2">
        <f t="shared" si="8"/>
        <v>1.1359831908571016</v>
      </c>
      <c r="BG15" s="2">
        <f t="shared" si="8"/>
        <v>1.135697902534454</v>
      </c>
      <c r="BH15" s="2">
        <f t="shared" si="8"/>
        <v>1.1356943810973921</v>
      </c>
      <c r="BI15" s="2">
        <f t="shared" si="8"/>
        <v>1.1356943331411256</v>
      </c>
      <c r="BJ15" s="2">
        <f t="shared" si="8"/>
        <v>1.1356943321933435</v>
      </c>
      <c r="BK15" s="2">
        <f t="shared" si="8"/>
        <v>1.1356943321673083</v>
      </c>
    </row>
    <row r="16" spans="1:63" x14ac:dyDescent="0.2">
      <c r="A16" t="s">
        <v>28</v>
      </c>
      <c r="B16">
        <f>0.01*LowLim</f>
        <v>5.5</v>
      </c>
      <c r="E16">
        <v>0.1</v>
      </c>
      <c r="F16">
        <v>0.78726503584774277</v>
      </c>
      <c r="G16">
        <v>0.4638357490592746</v>
      </c>
      <c r="V16" s="2"/>
      <c r="W16" s="2"/>
      <c r="X16" s="2"/>
      <c r="Y16" s="2"/>
      <c r="Z16" s="2"/>
      <c r="AA16" s="2"/>
      <c r="AB16" s="2"/>
      <c r="AC16" s="2"/>
      <c r="AD16" s="2"/>
      <c r="AI16" s="2"/>
      <c r="AJ16" s="2">
        <v>400</v>
      </c>
      <c r="AK16" s="2">
        <v>0.63468671867869719</v>
      </c>
      <c r="AL16" s="2">
        <v>0.71722593489776432</v>
      </c>
      <c r="AM16" s="2">
        <v>0.78767122019155211</v>
      </c>
      <c r="AN16" s="2">
        <v>0.8365646338832271</v>
      </c>
      <c r="AO16" s="2">
        <v>0.86610967048768195</v>
      </c>
      <c r="AP16" s="2">
        <v>0.87977246875587434</v>
      </c>
      <c r="AQ16" s="2">
        <v>0.88343064466545307</v>
      </c>
      <c r="AR16" s="2">
        <v>0.88367849357310568</v>
      </c>
      <c r="AS16" s="2">
        <v>0.8836815536572763</v>
      </c>
      <c r="AT16" s="2">
        <v>0.88368159533079482</v>
      </c>
      <c r="AU16" s="2">
        <v>0.88368159615440856</v>
      </c>
      <c r="AV16" s="2">
        <v>0.88368159617703279</v>
      </c>
      <c r="AY16">
        <v>400</v>
      </c>
      <c r="AZ16" s="2">
        <f t="shared" ref="AZ16:AZ22" si="9">MIN(MAX($AK$15:$AV$22)/MAX(AK16, 0.01), 10)</f>
        <v>1.4608611649800338</v>
      </c>
      <c r="BA16" s="2">
        <f t="shared" ref="BA16:BA22" si="10">MIN(MAX($AK$15:$AV$22)/MAX(AL16, 0.01), 10)</f>
        <v>1.292743519346496</v>
      </c>
      <c r="BB16" s="2">
        <f t="shared" ref="BB16:BB22" si="11">MIN(MAX($AK$15:$AV$22)/MAX(AM16, 0.01), 10)</f>
        <v>1.1771271508699219</v>
      </c>
      <c r="BC16" s="2">
        <f t="shared" ref="BC16:BC22" si="12">MIN(MAX($AK$15:$AV$22)/MAX(AN16, 0.01), 10)</f>
        <v>1.1083294006135807</v>
      </c>
      <c r="BD16" s="2">
        <f t="shared" ref="BD16:BD22" si="13">MIN(MAX($AK$15:$AV$22)/MAX(AO16, 0.01), 10)</f>
        <v>1.0705216796901049</v>
      </c>
      <c r="BE16" s="2">
        <f t="shared" ref="BE16:BE22" si="14">MIN(MAX($AK$15:$AV$22)/MAX(AP16, 0.01), 10)</f>
        <v>1.0538965609568305</v>
      </c>
      <c r="BF16" s="2">
        <f t="shared" ref="BF16:BF22" si="15">MIN(MAX($AK$15:$AV$22)/MAX(AQ16, 0.01), 10)</f>
        <v>1.0495325069886323</v>
      </c>
      <c r="BG16" s="2">
        <f t="shared" ref="BG16:BG22" si="16">MIN(MAX($AK$15:$AV$22)/MAX(AR16, 0.01), 10)</f>
        <v>1.0492381403300626</v>
      </c>
      <c r="BH16" s="2">
        <f t="shared" ref="BH16:BH22" si="17">MIN(MAX($AK$15:$AV$22)/MAX(AS16, 0.01), 10)</f>
        <v>1.0492345069431133</v>
      </c>
      <c r="BI16" s="2">
        <f t="shared" ref="BI16:BI22" si="18">MIN(MAX($AK$15:$AV$22)/MAX(AT16, 0.01), 10)</f>
        <v>1.0492344574622892</v>
      </c>
      <c r="BJ16" s="2">
        <f t="shared" ref="BJ16:BJ22" si="19">MIN(MAX($AK$15:$AV$22)/MAX(AU16, 0.01), 10)</f>
        <v>1.0492344564843759</v>
      </c>
      <c r="BK16" s="2">
        <f t="shared" ref="BK16:BK22" si="20">MIN(MAX($AK$15:$AV$22)/MAX(AV16, 0.01), 10)</f>
        <v>1.0492344564575131</v>
      </c>
    </row>
    <row r="17" spans="1:63" x14ac:dyDescent="0.2">
      <c r="A17" t="s">
        <v>29</v>
      </c>
      <c r="B17">
        <v>30000</v>
      </c>
      <c r="E17">
        <v>0.15</v>
      </c>
      <c r="F17">
        <v>0.88836620785806075</v>
      </c>
      <c r="G17">
        <v>0.34447048743116099</v>
      </c>
      <c r="V17" s="2"/>
      <c r="W17" s="2"/>
      <c r="X17" s="2"/>
      <c r="Y17" s="2"/>
      <c r="Z17" s="2"/>
      <c r="AA17" s="2"/>
      <c r="AB17" s="2"/>
      <c r="AC17" s="2"/>
      <c r="AD17" s="2"/>
      <c r="AI17" s="2"/>
      <c r="AJ17" s="2">
        <v>450</v>
      </c>
      <c r="AK17" s="2">
        <v>0.62094125258970656</v>
      </c>
      <c r="AL17" s="2">
        <v>0.72017573577557903</v>
      </c>
      <c r="AM17" s="2">
        <v>0.80487003988014616</v>
      </c>
      <c r="AN17" s="2">
        <v>0.86365315972476686</v>
      </c>
      <c r="AO17" s="2">
        <v>0.89917429225368728</v>
      </c>
      <c r="AP17" s="2">
        <v>0.91560067461014705</v>
      </c>
      <c r="AQ17" s="2">
        <v>0.91999879240698434</v>
      </c>
      <c r="AR17" s="2">
        <v>0.92029677389246156</v>
      </c>
      <c r="AS17" s="2">
        <v>0.92030045294207119</v>
      </c>
      <c r="AT17" s="2">
        <v>0.92030050304492128</v>
      </c>
      <c r="AU17" s="2">
        <v>0.92030050403512842</v>
      </c>
      <c r="AV17" s="2">
        <v>0.92030050406232888</v>
      </c>
      <c r="AY17">
        <v>450</v>
      </c>
      <c r="AZ17" s="2">
        <f t="shared" si="9"/>
        <v>1.4931995182786906</v>
      </c>
      <c r="BA17" s="2">
        <f t="shared" si="10"/>
        <v>1.2874485117827505</v>
      </c>
      <c r="BB17" s="2">
        <f t="shared" si="11"/>
        <v>1.1519737762687565</v>
      </c>
      <c r="BC17" s="2">
        <f t="shared" si="12"/>
        <v>1.0735665918732906</v>
      </c>
      <c r="BD17" s="2">
        <f t="shared" si="13"/>
        <v>1.0311562365983717</v>
      </c>
      <c r="BE17" s="2">
        <f t="shared" si="14"/>
        <v>1.0126567235668582</v>
      </c>
      <c r="BF17" s="2">
        <f t="shared" si="15"/>
        <v>1.0078156481276679</v>
      </c>
      <c r="BG17" s="2">
        <f t="shared" si="16"/>
        <v>1.0074893290397</v>
      </c>
      <c r="BH17" s="2">
        <f t="shared" si="17"/>
        <v>1.0074853014384848</v>
      </c>
      <c r="BI17" s="2">
        <f t="shared" si="18"/>
        <v>1.007485246589134</v>
      </c>
      <c r="BJ17" s="2">
        <f t="shared" si="19"/>
        <v>1.0074852455051195</v>
      </c>
      <c r="BK17" s="2">
        <f t="shared" si="20"/>
        <v>1.0074852454753422</v>
      </c>
    </row>
    <row r="18" spans="1:63" x14ac:dyDescent="0.2">
      <c r="A18" t="s">
        <v>30</v>
      </c>
      <c r="B18">
        <f>0.01*UpLim</f>
        <v>300</v>
      </c>
      <c r="E18">
        <v>0.2</v>
      </c>
      <c r="F18">
        <v>0.92548350276448099</v>
      </c>
      <c r="G18">
        <v>0.26679198379789282</v>
      </c>
      <c r="V18" s="2"/>
      <c r="W18" s="2"/>
      <c r="X18" s="2"/>
      <c r="Y18" s="2"/>
      <c r="Z18" s="2"/>
      <c r="AA18" s="2"/>
      <c r="AB18" s="2"/>
      <c r="AC18" s="2"/>
      <c r="AD18" s="2"/>
      <c r="AI18" s="2"/>
      <c r="AJ18" s="2">
        <v>500</v>
      </c>
      <c r="AK18" s="2">
        <v>0.5887628707045095</v>
      </c>
      <c r="AL18" s="2">
        <v>0.7009476776194199</v>
      </c>
      <c r="AM18" s="2">
        <v>0.79669477930953647</v>
      </c>
      <c r="AN18" s="2">
        <v>0.86314922879029687</v>
      </c>
      <c r="AO18" s="2">
        <v>0.90330594917843077</v>
      </c>
      <c r="AP18" s="2">
        <v>0.92187601145726861</v>
      </c>
      <c r="AQ18" s="2">
        <v>0.92684809353989539</v>
      </c>
      <c r="AR18" s="2">
        <v>0.9271849622808741</v>
      </c>
      <c r="AS18" s="2">
        <v>0.92718912145475008</v>
      </c>
      <c r="AT18" s="2">
        <v>0.92718917809613566</v>
      </c>
      <c r="AU18" s="2">
        <v>0.92718917921556698</v>
      </c>
      <c r="AV18" s="2">
        <v>0.92718917924631661</v>
      </c>
      <c r="AY18">
        <v>500</v>
      </c>
      <c r="AZ18" s="2">
        <f t="shared" si="9"/>
        <v>1.5748091895415357</v>
      </c>
      <c r="BA18" s="2">
        <f t="shared" si="10"/>
        <v>1.3227651775597076</v>
      </c>
      <c r="BB18" s="2">
        <f t="shared" si="11"/>
        <v>1.1637947220513662</v>
      </c>
      <c r="BC18" s="2">
        <f t="shared" si="12"/>
        <v>1.0741933704161117</v>
      </c>
      <c r="BD18" s="2">
        <f t="shared" si="13"/>
        <v>1.0264398015861713</v>
      </c>
      <c r="BE18" s="2">
        <f t="shared" si="14"/>
        <v>1.0057634299222615</v>
      </c>
      <c r="BF18" s="2">
        <f t="shared" si="15"/>
        <v>1.0003680060506124</v>
      </c>
      <c r="BG18" s="2">
        <f t="shared" si="16"/>
        <v>1.0000045481383046</v>
      </c>
      <c r="BH18" s="2">
        <f t="shared" si="17"/>
        <v>1.0000000623298582</v>
      </c>
      <c r="BI18" s="2">
        <f t="shared" si="18"/>
        <v>1.000000001240503</v>
      </c>
      <c r="BJ18" s="2">
        <f t="shared" si="19"/>
        <v>1.0000000000331644</v>
      </c>
      <c r="BK18" s="2">
        <f t="shared" si="20"/>
        <v>1</v>
      </c>
    </row>
    <row r="19" spans="1:63" x14ac:dyDescent="0.2">
      <c r="A19" t="s">
        <v>31</v>
      </c>
      <c r="B19">
        <v>350</v>
      </c>
      <c r="E19">
        <v>0.25</v>
      </c>
      <c r="F19">
        <v>0.9308544567989534</v>
      </c>
      <c r="G19">
        <v>0.21362903028590774</v>
      </c>
      <c r="V19" s="2"/>
      <c r="W19" s="2"/>
      <c r="X19" s="2"/>
      <c r="Y19" s="2"/>
      <c r="Z19" s="2"/>
      <c r="AA19" s="2"/>
      <c r="AB19" s="2"/>
      <c r="AC19" s="2"/>
      <c r="AD19" s="2"/>
      <c r="AI19" s="2"/>
      <c r="AJ19" s="2">
        <v>550</v>
      </c>
      <c r="AK19" s="2">
        <v>0.53459698227526198</v>
      </c>
      <c r="AL19" s="2">
        <v>0.66417180467546366</v>
      </c>
      <c r="AM19" s="2">
        <v>0.77476087674975047</v>
      </c>
      <c r="AN19" s="2">
        <v>0.85151657769067224</v>
      </c>
      <c r="AO19" s="2">
        <v>0.89789808028324303</v>
      </c>
      <c r="AP19" s="2">
        <v>0.91934672906245618</v>
      </c>
      <c r="AQ19" s="2">
        <v>0.9250895446055788</v>
      </c>
      <c r="AR19" s="2">
        <v>0.92547863211651249</v>
      </c>
      <c r="AS19" s="2">
        <v>0.92548343601314587</v>
      </c>
      <c r="AT19" s="2">
        <v>0.92548350143463853</v>
      </c>
      <c r="AU19" s="2">
        <v>0.92548350272759561</v>
      </c>
      <c r="AV19" s="2">
        <v>0.92548350276311231</v>
      </c>
      <c r="AY19">
        <v>550</v>
      </c>
      <c r="AZ19" s="2">
        <f t="shared" si="9"/>
        <v>1.734370394872357</v>
      </c>
      <c r="BA19" s="2">
        <f t="shared" si="10"/>
        <v>1.3960080399669661</v>
      </c>
      <c r="BB19" s="2">
        <f t="shared" si="11"/>
        <v>1.1967423847420227</v>
      </c>
      <c r="BC19" s="2">
        <f t="shared" si="12"/>
        <v>1.0888680309206309</v>
      </c>
      <c r="BD19" s="2">
        <f t="shared" si="13"/>
        <v>1.0326218527539714</v>
      </c>
      <c r="BE19" s="2">
        <f t="shared" si="14"/>
        <v>1.0085304596578684</v>
      </c>
      <c r="BF19" s="2">
        <f t="shared" si="15"/>
        <v>1.0022696555733239</v>
      </c>
      <c r="BG19" s="2">
        <f t="shared" si="16"/>
        <v>1.0018482837641451</v>
      </c>
      <c r="BH19" s="2">
        <f t="shared" si="17"/>
        <v>1.0018430834813412</v>
      </c>
      <c r="BI19" s="2">
        <f t="shared" si="18"/>
        <v>1.001843012662067</v>
      </c>
      <c r="BJ19" s="2">
        <f t="shared" si="19"/>
        <v>1.001843011262431</v>
      </c>
      <c r="BK19" s="2">
        <f t="shared" si="20"/>
        <v>1.0018430112239838</v>
      </c>
    </row>
    <row r="20" spans="1:63" x14ac:dyDescent="0.2">
      <c r="A20" t="s">
        <v>32</v>
      </c>
      <c r="B20">
        <f>0.01*350</f>
        <v>3.5</v>
      </c>
      <c r="E20">
        <v>0.3</v>
      </c>
      <c r="F20">
        <v>0.91988778131228721</v>
      </c>
      <c r="G20">
        <v>0.17570866234433291</v>
      </c>
      <c r="V20" s="2"/>
      <c r="W20" s="2"/>
      <c r="X20" s="2"/>
      <c r="Y20" s="2"/>
      <c r="Z20" s="2"/>
      <c r="AA20" s="2"/>
      <c r="AB20" s="2"/>
      <c r="AC20" s="2"/>
      <c r="AD20" s="2"/>
      <c r="AI20" s="2"/>
      <c r="AJ20" s="2">
        <v>600</v>
      </c>
      <c r="AK20" s="2">
        <v>0.42462064378672421</v>
      </c>
      <c r="AL20" s="2">
        <v>0.58242541680649651</v>
      </c>
      <c r="AM20" s="2">
        <v>0.71710810557684468</v>
      </c>
      <c r="AN20" s="2">
        <v>0.81058627652304505</v>
      </c>
      <c r="AO20" s="2">
        <v>0.86707273909127314</v>
      </c>
      <c r="AP20" s="2">
        <v>0.89319432266843413</v>
      </c>
      <c r="AQ20" s="2">
        <v>0.90018830339524281</v>
      </c>
      <c r="AR20" s="2">
        <v>0.90066215990901655</v>
      </c>
      <c r="AS20" s="2">
        <v>0.90066801041217437</v>
      </c>
      <c r="AT20" s="2">
        <v>0.90066809008679594</v>
      </c>
      <c r="AU20" s="2">
        <v>0.90066809166144446</v>
      </c>
      <c r="AV20" s="2">
        <v>0.9006680917046993</v>
      </c>
      <c r="AY20">
        <v>600</v>
      </c>
      <c r="AZ20" s="2">
        <f t="shared" si="9"/>
        <v>2.1835706596309983</v>
      </c>
      <c r="BA20" s="2">
        <f t="shared" si="10"/>
        <v>1.5919449125867451</v>
      </c>
      <c r="BB20" s="2">
        <f t="shared" si="11"/>
        <v>1.2929559323562265</v>
      </c>
      <c r="BC20" s="2">
        <f t="shared" si="12"/>
        <v>1.1438500824655358</v>
      </c>
      <c r="BD20" s="2">
        <f t="shared" si="13"/>
        <v>1.0693326377877455</v>
      </c>
      <c r="BE20" s="2">
        <f t="shared" si="14"/>
        <v>1.0380598663864344</v>
      </c>
      <c r="BF20" s="2">
        <f t="shared" si="15"/>
        <v>1.0299946974974397</v>
      </c>
      <c r="BG20" s="2">
        <f t="shared" si="16"/>
        <v>1.0294527965291445</v>
      </c>
      <c r="BH20" s="2">
        <f t="shared" si="17"/>
        <v>1.0294461094737952</v>
      </c>
      <c r="BI20" s="2">
        <f t="shared" si="18"/>
        <v>1.0294460184072525</v>
      </c>
      <c r="BJ20" s="2">
        <f t="shared" si="19"/>
        <v>1.0294460166074599</v>
      </c>
      <c r="BK20" s="2">
        <f t="shared" si="20"/>
        <v>1.0294460165580206</v>
      </c>
    </row>
    <row r="21" spans="1:63" x14ac:dyDescent="0.2">
      <c r="A21" s="1" t="s">
        <v>35</v>
      </c>
      <c r="E21">
        <v>0.35</v>
      </c>
      <c r="F21">
        <v>0.90041099175823625</v>
      </c>
      <c r="G21">
        <v>0.14772292913075238</v>
      </c>
      <c r="V21" s="2"/>
      <c r="W21" s="2"/>
      <c r="X21" s="2"/>
      <c r="Y21" s="2"/>
      <c r="Z21" s="2"/>
      <c r="AA21" s="2"/>
      <c r="AB21" s="2"/>
      <c r="AC21" s="2"/>
      <c r="AD21" s="2"/>
      <c r="AJ21" s="2">
        <v>650</v>
      </c>
      <c r="AK21">
        <v>0.24361049897232046</v>
      </c>
      <c r="AL21">
        <v>0.44315276419067839</v>
      </c>
      <c r="AM21">
        <v>0.61348262754838645</v>
      </c>
      <c r="AN21">
        <v>0.73170219433261419</v>
      </c>
      <c r="AO21">
        <v>0.80313924829711592</v>
      </c>
      <c r="AP21">
        <v>0.83617457907936199</v>
      </c>
      <c r="AQ21">
        <v>0.84501969622596718</v>
      </c>
      <c r="AR21">
        <v>0.84561897102221362</v>
      </c>
      <c r="AS21">
        <v>0.84562637001111851</v>
      </c>
      <c r="AT21">
        <v>0.84562647077367292</v>
      </c>
      <c r="AU21">
        <v>0.84562647276509206</v>
      </c>
      <c r="AV21">
        <v>0.84562647281979531</v>
      </c>
      <c r="AY21">
        <v>650</v>
      </c>
      <c r="AZ21" s="2">
        <f t="shared" si="9"/>
        <v>3.8060312800872587</v>
      </c>
      <c r="BA21" s="2">
        <f t="shared" si="10"/>
        <v>2.0922563372466487</v>
      </c>
      <c r="BB21" s="2">
        <f t="shared" si="11"/>
        <v>1.5113536025487333</v>
      </c>
      <c r="BC21" s="2">
        <f t="shared" si="12"/>
        <v>1.2671674165088518</v>
      </c>
      <c r="BD21" s="2">
        <f t="shared" si="13"/>
        <v>1.1544563177708247</v>
      </c>
      <c r="BE21" s="2">
        <f t="shared" si="14"/>
        <v>1.1088464089247521</v>
      </c>
      <c r="BF21" s="2">
        <f t="shared" si="15"/>
        <v>1.097239725165384</v>
      </c>
      <c r="BG21" s="2">
        <f t="shared" si="16"/>
        <v>1.0964621313137028</v>
      </c>
      <c r="BH21" s="2">
        <f t="shared" si="17"/>
        <v>1.0964525375836207</v>
      </c>
      <c r="BI21" s="2">
        <f t="shared" si="18"/>
        <v>1.096452406933313</v>
      </c>
      <c r="BJ21" s="2">
        <f t="shared" si="19"/>
        <v>1.0964524043512081</v>
      </c>
      <c r="BK21" s="2">
        <f t="shared" si="20"/>
        <v>1.096452404280279</v>
      </c>
    </row>
    <row r="22" spans="1:63" x14ac:dyDescent="0.2">
      <c r="A22" t="s">
        <v>7</v>
      </c>
      <c r="B22">
        <f>1.5*K</f>
        <v>0.16500000000000001</v>
      </c>
      <c r="E22">
        <v>0.4</v>
      </c>
      <c r="F22">
        <v>0.8765906056144841</v>
      </c>
      <c r="G22">
        <v>0.12647298948757144</v>
      </c>
      <c r="V22" s="2"/>
      <c r="W22" s="2"/>
      <c r="X22" s="2"/>
      <c r="Y22" s="2"/>
      <c r="Z22" s="2"/>
      <c r="AA22" s="2"/>
      <c r="AB22" s="2"/>
      <c r="AC22" s="2"/>
      <c r="AD22" s="2"/>
      <c r="AJ22" s="2">
        <v>700</v>
      </c>
      <c r="AK22">
        <v>0</v>
      </c>
      <c r="AL22">
        <v>0.24963486511083466</v>
      </c>
      <c r="AM22">
        <v>0.4684835313913574</v>
      </c>
      <c r="AN22">
        <v>0.62041264249702044</v>
      </c>
      <c r="AO22">
        <v>0.7122195913664493</v>
      </c>
      <c r="AP22">
        <v>0.7546747707407272</v>
      </c>
      <c r="AQ22">
        <v>0.7660420259242342</v>
      </c>
      <c r="AR22">
        <v>0.76681218073632873</v>
      </c>
      <c r="AS22">
        <v>0.76682168950750573</v>
      </c>
      <c r="AT22">
        <v>0.76682181900196644</v>
      </c>
      <c r="AU22">
        <v>0.76682182156122802</v>
      </c>
      <c r="AV22">
        <v>0.76682182163152923</v>
      </c>
      <c r="AY22">
        <v>700</v>
      </c>
      <c r="AZ22" s="2">
        <f t="shared" si="9"/>
        <v>10</v>
      </c>
      <c r="BA22" s="2">
        <f t="shared" si="10"/>
        <v>3.7141814258783787</v>
      </c>
      <c r="BB22" s="2">
        <f t="shared" si="11"/>
        <v>1.9791286504621439</v>
      </c>
      <c r="BC22" s="2">
        <f t="shared" si="12"/>
        <v>1.49447176884499</v>
      </c>
      <c r="BD22" s="2">
        <f t="shared" si="13"/>
        <v>1.3018304894806829</v>
      </c>
      <c r="BE22" s="2">
        <f t="shared" si="14"/>
        <v>1.2285943762718652</v>
      </c>
      <c r="BF22" s="2">
        <f t="shared" si="15"/>
        <v>1.2103633323872243</v>
      </c>
      <c r="BG22" s="2">
        <f t="shared" si="16"/>
        <v>1.2091476929278646</v>
      </c>
      <c r="BH22" s="2">
        <f t="shared" si="17"/>
        <v>1.2091326992091311</v>
      </c>
      <c r="BI22" s="2">
        <f t="shared" si="18"/>
        <v>1.209132495020905</v>
      </c>
      <c r="BJ22" s="2">
        <f t="shared" si="19"/>
        <v>1.2091324909854353</v>
      </c>
      <c r="BK22" s="2">
        <f t="shared" si="20"/>
        <v>1.2091324908745835</v>
      </c>
    </row>
    <row r="23" spans="1:63" x14ac:dyDescent="0.2">
      <c r="A23" t="s">
        <v>8</v>
      </c>
      <c r="B23">
        <f>EXP(-M)</f>
        <v>0.84789370408791587</v>
      </c>
      <c r="E23">
        <v>0.45</v>
      </c>
      <c r="F23">
        <v>0.85071952434449261</v>
      </c>
      <c r="G23">
        <v>0.10994399803093848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63" x14ac:dyDescent="0.2">
      <c r="A24" t="s">
        <v>9</v>
      </c>
      <c r="B24">
        <v>0.2</v>
      </c>
      <c r="E24">
        <v>0.5</v>
      </c>
      <c r="F24">
        <v>0.82408674109481728</v>
      </c>
      <c r="G24">
        <v>9.6818272271419495E-2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 t="s">
        <v>17</v>
      </c>
      <c r="AK24" s="2" t="s">
        <v>38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Y24" t="s">
        <v>47</v>
      </c>
      <c r="AZ24" t="s">
        <v>38</v>
      </c>
    </row>
    <row r="25" spans="1:63" x14ac:dyDescent="0.2">
      <c r="A25" t="s">
        <v>18</v>
      </c>
      <c r="B25">
        <v>0.15</v>
      </c>
      <c r="E25">
        <v>0.55000000000000004</v>
      </c>
      <c r="F25">
        <v>0.79742386160762524</v>
      </c>
      <c r="G25">
        <v>8.6205959004342844E-2</v>
      </c>
      <c r="AI25" s="2"/>
      <c r="AJ25" s="2">
        <f>SPR</f>
        <v>0.26679198379789282</v>
      </c>
      <c r="AK25" s="2">
        <v>700</v>
      </c>
      <c r="AL25" s="2">
        <v>750</v>
      </c>
      <c r="AM25" s="2">
        <v>800</v>
      </c>
      <c r="AN25" s="2">
        <v>850</v>
      </c>
      <c r="AO25" s="2">
        <v>900</v>
      </c>
      <c r="AP25" s="2">
        <v>950</v>
      </c>
      <c r="AQ25" s="2">
        <v>1000</v>
      </c>
      <c r="AR25" s="2">
        <v>1050</v>
      </c>
      <c r="AS25" s="2">
        <v>1100</v>
      </c>
      <c r="AT25" s="2">
        <v>1150</v>
      </c>
      <c r="AU25" s="2">
        <v>1200</v>
      </c>
      <c r="AV25" s="2">
        <v>1250</v>
      </c>
      <c r="AZ25" s="2">
        <v>700</v>
      </c>
      <c r="BA25" s="2">
        <v>750</v>
      </c>
      <c r="BB25" s="2">
        <v>800</v>
      </c>
      <c r="BC25" s="2">
        <v>850</v>
      </c>
      <c r="BD25" s="2">
        <v>900</v>
      </c>
      <c r="BE25" s="2">
        <v>950</v>
      </c>
      <c r="BF25" s="2">
        <v>1000</v>
      </c>
      <c r="BG25" s="2">
        <v>1050</v>
      </c>
      <c r="BH25" s="2">
        <v>1100</v>
      </c>
      <c r="BI25" s="2">
        <v>1150</v>
      </c>
      <c r="BJ25" s="2">
        <v>1200</v>
      </c>
      <c r="BK25" s="2">
        <v>1250</v>
      </c>
    </row>
    <row r="26" spans="1:63" x14ac:dyDescent="0.2">
      <c r="E26">
        <v>0.6</v>
      </c>
      <c r="F26">
        <v>0.77114446039644235</v>
      </c>
      <c r="G26">
        <v>7.7489271368872556E-2</v>
      </c>
      <c r="AI26" s="2" t="s">
        <v>39</v>
      </c>
      <c r="AJ26" s="2">
        <v>350</v>
      </c>
      <c r="AK26" s="2">
        <f t="dataTable" ref="AK26:AV33" dt2D="1" dtr="1" r1="B17" r2="B15" ca="1"/>
        <v>0.22238051047152849</v>
      </c>
      <c r="AL26" s="2">
        <v>0.19323488296880589</v>
      </c>
      <c r="AM26" s="2">
        <v>0.17059912672799285</v>
      </c>
      <c r="AN26" s="2">
        <v>0.15625030889137692</v>
      </c>
      <c r="AO26" s="2">
        <v>0.1482980815786126</v>
      </c>
      <c r="AP26" s="2">
        <v>0.14495737954810783</v>
      </c>
      <c r="AQ26" s="2">
        <v>0.14419223688034194</v>
      </c>
      <c r="AR26" s="2">
        <v>0.14415338892681911</v>
      </c>
      <c r="AS26" s="2">
        <v>0.14415294315637081</v>
      </c>
      <c r="AT26" s="2">
        <v>0.14415293689288497</v>
      </c>
      <c r="AU26" s="2">
        <v>0.14415293676527657</v>
      </c>
      <c r="AV26" s="2">
        <v>0.14415293676167132</v>
      </c>
      <c r="AX26" t="s">
        <v>39</v>
      </c>
      <c r="AY26">
        <v>350</v>
      </c>
      <c r="AZ26" s="2">
        <f>AZ15+AZ37</f>
        <v>3.5215980595184355</v>
      </c>
      <c r="BA26" s="2">
        <f t="shared" ref="BA26:BK26" si="21">BA15+BA37</f>
        <v>3.4345702704382655</v>
      </c>
      <c r="BB26" s="2">
        <f t="shared" si="21"/>
        <v>3.3748022571715079</v>
      </c>
      <c r="BC26" s="2">
        <f t="shared" si="21"/>
        <v>3.3376986291002519</v>
      </c>
      <c r="BD26" s="2">
        <f t="shared" si="21"/>
        <v>3.3157697798377357</v>
      </c>
      <c r="BE26" s="2">
        <f t="shared" si="21"/>
        <v>3.3052401647758822</v>
      </c>
      <c r="BF26" s="2">
        <f t="shared" si="21"/>
        <v>3.3021855589329601</v>
      </c>
      <c r="BG26" s="2">
        <f t="shared" si="21"/>
        <v>3.3019572469332479</v>
      </c>
      <c r="BH26" s="2">
        <f t="shared" si="21"/>
        <v>3.3019543775164628</v>
      </c>
      <c r="BI26" s="2">
        <f t="shared" si="21"/>
        <v>3.30195433875127</v>
      </c>
      <c r="BJ26" s="2">
        <f t="shared" si="21"/>
        <v>3.3019543379913676</v>
      </c>
      <c r="BK26" s="2">
        <f t="shared" si="21"/>
        <v>3.3019543379706584</v>
      </c>
    </row>
    <row r="27" spans="1:63" x14ac:dyDescent="0.2">
      <c r="A27" s="5" t="s">
        <v>13</v>
      </c>
      <c r="E27">
        <v>0.65</v>
      </c>
      <c r="F27">
        <v>0.74547693281312755</v>
      </c>
      <c r="G27">
        <v>7.0228853999839136E-2</v>
      </c>
      <c r="AI27" s="2"/>
      <c r="AJ27" s="2">
        <v>400</v>
      </c>
      <c r="AK27" s="2">
        <v>0.26882280645195866</v>
      </c>
      <c r="AL27" s="2">
        <v>0.23359036020712481</v>
      </c>
      <c r="AM27" s="2">
        <v>0.20622731698936914</v>
      </c>
      <c r="AN27" s="2">
        <v>0.18888186944125029</v>
      </c>
      <c r="AO27" s="2">
        <v>0.17926888645443695</v>
      </c>
      <c r="AP27" s="2">
        <v>0.17523050695141298</v>
      </c>
      <c r="AQ27" s="2">
        <v>0.17430557068407154</v>
      </c>
      <c r="AR27" s="2">
        <v>0.17425860966276258</v>
      </c>
      <c r="AS27" s="2">
        <v>0.17425807079691208</v>
      </c>
      <c r="AT27" s="2">
        <v>0.17425806322535006</v>
      </c>
      <c r="AU27" s="2">
        <v>0.17425806307109171</v>
      </c>
      <c r="AV27" s="2">
        <v>0.17425806306673339</v>
      </c>
      <c r="AY27">
        <v>400</v>
      </c>
      <c r="AZ27" s="2">
        <f t="shared" ref="AZ27:BK27" si="22">AZ16+AZ38</f>
        <v>3.1218130253665706</v>
      </c>
      <c r="BA27" s="2">
        <f t="shared" si="22"/>
        <v>3.008394103234652</v>
      </c>
      <c r="BB27" s="2">
        <f t="shared" si="22"/>
        <v>2.9329092366097784</v>
      </c>
      <c r="BC27" s="2">
        <f t="shared" si="22"/>
        <v>2.8876915647157926</v>
      </c>
      <c r="BD27" s="2">
        <f t="shared" si="22"/>
        <v>2.8618804284581723</v>
      </c>
      <c r="BE27" s="2">
        <f t="shared" si="22"/>
        <v>2.8498650587602885</v>
      </c>
      <c r="BF27" s="2">
        <f t="shared" si="22"/>
        <v>2.8464766671247839</v>
      </c>
      <c r="BG27" s="2">
        <f t="shared" si="22"/>
        <v>2.8462296957303894</v>
      </c>
      <c r="BH27" s="2">
        <f t="shared" si="22"/>
        <v>2.8462266047209384</v>
      </c>
      <c r="BI27" s="2">
        <f t="shared" si="22"/>
        <v>2.8462265628856311</v>
      </c>
      <c r="BJ27" s="2">
        <f t="shared" si="22"/>
        <v>2.846226562064003</v>
      </c>
      <c r="BK27" s="2">
        <f t="shared" si="22"/>
        <v>2.8462265620415712</v>
      </c>
    </row>
    <row r="28" spans="1:63" x14ac:dyDescent="0.2">
      <c r="E28">
        <v>0.7</v>
      </c>
      <c r="F28">
        <v>0.72054035684810758</v>
      </c>
      <c r="G28">
        <v>6.4105567163913094E-2</v>
      </c>
      <c r="AI28" s="2"/>
      <c r="AJ28" s="2">
        <v>450</v>
      </c>
      <c r="AK28" s="2">
        <v>0.32319772250775847</v>
      </c>
      <c r="AL28" s="2">
        <v>0.28083878387668798</v>
      </c>
      <c r="AM28" s="2">
        <v>0.24794099811507078</v>
      </c>
      <c r="AN28" s="2">
        <v>0.22708707434510414</v>
      </c>
      <c r="AO28" s="2">
        <v>0.21552966633629586</v>
      </c>
      <c r="AP28" s="2">
        <v>0.21067444089015902</v>
      </c>
      <c r="AQ28" s="2">
        <v>0.20956241709499862</v>
      </c>
      <c r="AR28" s="2">
        <v>0.20950595723394189</v>
      </c>
      <c r="AS28" s="2">
        <v>0.20950530937130574</v>
      </c>
      <c r="AT28" s="2">
        <v>0.20950530026823838</v>
      </c>
      <c r="AU28" s="2">
        <v>0.20950530008277807</v>
      </c>
      <c r="AV28" s="2">
        <v>0.20950530007753823</v>
      </c>
      <c r="AY28">
        <v>450</v>
      </c>
      <c r="AZ28" s="2">
        <f t="shared" ref="AZ28:BK28" si="23">AZ17+AZ39</f>
        <v>2.9495865724176866</v>
      </c>
      <c r="BA28" s="2">
        <f t="shared" si="23"/>
        <v>2.7944873600079543</v>
      </c>
      <c r="BB28" s="2">
        <f t="shared" si="23"/>
        <v>2.6962903150204998</v>
      </c>
      <c r="BC28" s="2">
        <f t="shared" si="23"/>
        <v>2.6398321063860051</v>
      </c>
      <c r="BD28" s="2">
        <f t="shared" si="23"/>
        <v>2.6086015158081528</v>
      </c>
      <c r="BE28" s="2">
        <f t="shared" si="23"/>
        <v>2.5944002226806453</v>
      </c>
      <c r="BF28" s="2">
        <f t="shared" si="23"/>
        <v>2.5904690403695403</v>
      </c>
      <c r="BG28" s="2">
        <f t="shared" si="23"/>
        <v>2.5901869231224897</v>
      </c>
      <c r="BH28" s="2">
        <f t="shared" si="23"/>
        <v>2.5901834013549685</v>
      </c>
      <c r="BI28" s="2">
        <f t="shared" si="23"/>
        <v>2.5901833536360019</v>
      </c>
      <c r="BJ28" s="2">
        <f t="shared" si="23"/>
        <v>2.5901833526977436</v>
      </c>
      <c r="BK28" s="2">
        <f t="shared" si="23"/>
        <v>2.5901833526720983</v>
      </c>
    </row>
    <row r="29" spans="1:63" x14ac:dyDescent="0.2">
      <c r="A29" t="s">
        <v>14</v>
      </c>
      <c r="B29">
        <f>SUMPRODUCT(Wt,Vul_cap,Vul_harv,Surv_uf)</f>
        <v>16.357315624737925</v>
      </c>
      <c r="E29">
        <v>0.75</v>
      </c>
      <c r="F29">
        <v>0.69638882748249342</v>
      </c>
      <c r="G29">
        <v>5.8883208200117193E-2</v>
      </c>
      <c r="V29" s="2"/>
      <c r="W29" s="2"/>
      <c r="X29" s="2"/>
      <c r="Y29" s="2"/>
      <c r="Z29" s="2"/>
      <c r="AA29" s="2"/>
      <c r="AB29" s="2"/>
      <c r="AC29" s="2"/>
      <c r="AD29" s="2"/>
      <c r="AI29" s="2"/>
      <c r="AJ29" s="2">
        <v>500</v>
      </c>
      <c r="AK29" s="2">
        <v>0.36347392382829141</v>
      </c>
      <c r="AL29" s="2">
        <v>0.31558704822935096</v>
      </c>
      <c r="AM29" s="2">
        <v>0.27839602727464496</v>
      </c>
      <c r="AN29" s="2">
        <v>0.25482061944821399</v>
      </c>
      <c r="AO29" s="2">
        <v>0.24175494364400318</v>
      </c>
      <c r="AP29" s="2">
        <v>0.23626610033352788</v>
      </c>
      <c r="AQ29" s="2">
        <v>0.23500895492661145</v>
      </c>
      <c r="AR29" s="2">
        <v>0.23494512692642688</v>
      </c>
      <c r="AS29" s="2">
        <v>0.23494439451625662</v>
      </c>
      <c r="AT29" s="2">
        <v>0.23494438422521835</v>
      </c>
      <c r="AU29" s="2">
        <v>0.23494438401555515</v>
      </c>
      <c r="AV29" s="2">
        <v>0.23494438400963147</v>
      </c>
      <c r="AY29">
        <v>500</v>
      </c>
      <c r="AZ29" s="2">
        <f t="shared" ref="AZ29:BK29" si="24">AZ18+AZ40</f>
        <v>2.9359982884594231</v>
      </c>
      <c r="BA29" s="2">
        <f t="shared" si="24"/>
        <v>2.7340736242863541</v>
      </c>
      <c r="BB29" s="2">
        <f t="shared" si="24"/>
        <v>2.6121154932667152</v>
      </c>
      <c r="BC29" s="2">
        <f t="shared" si="24"/>
        <v>2.5443572525641844</v>
      </c>
      <c r="BD29" s="2">
        <f t="shared" si="24"/>
        <v>2.5077439196058853</v>
      </c>
      <c r="BE29" s="2">
        <f t="shared" si="24"/>
        <v>2.491353159662749</v>
      </c>
      <c r="BF29" s="2">
        <f t="shared" si="24"/>
        <v>2.486865144435662</v>
      </c>
      <c r="BG29" s="2">
        <f t="shared" si="24"/>
        <v>2.4865457693128934</v>
      </c>
      <c r="BH29" s="2">
        <f t="shared" si="24"/>
        <v>2.4865417879766305</v>
      </c>
      <c r="BI29" s="2">
        <f t="shared" si="24"/>
        <v>2.4865417339984672</v>
      </c>
      <c r="BJ29" s="2">
        <f t="shared" si="24"/>
        <v>2.4865417329364927</v>
      </c>
      <c r="BK29" s="2">
        <f t="shared" si="24"/>
        <v>2.4865417329074484</v>
      </c>
    </row>
    <row r="30" spans="1:63" x14ac:dyDescent="0.2">
      <c r="A30" t="s">
        <v>15</v>
      </c>
      <c r="B30">
        <f>SUMPRODUCT(Wt,Vul_harv,Vul_cap,Surv_f)</f>
        <v>4.6274175138224045</v>
      </c>
      <c r="E30">
        <v>0.8</v>
      </c>
      <c r="F30">
        <v>0.67303785258054427</v>
      </c>
      <c r="G30">
        <v>5.4384010300358582E-2</v>
      </c>
      <c r="V30" s="2"/>
      <c r="W30" s="2"/>
      <c r="X30" s="2"/>
      <c r="Y30" s="2"/>
      <c r="Z30" s="2"/>
      <c r="AA30" s="2"/>
      <c r="AB30" s="2"/>
      <c r="AC30" s="2"/>
      <c r="AD30" s="2"/>
      <c r="AI30" s="2"/>
      <c r="AJ30" s="2">
        <v>550</v>
      </c>
      <c r="AK30" s="2">
        <v>0.41524517236734909</v>
      </c>
      <c r="AL30" s="2">
        <v>0.35993524608218108</v>
      </c>
      <c r="AM30" s="2">
        <v>0.31697916256347031</v>
      </c>
      <c r="AN30" s="2">
        <v>0.28974927853276039</v>
      </c>
      <c r="AO30" s="2">
        <v>0.27465826337192639</v>
      </c>
      <c r="AP30" s="2">
        <v>0.26831858229801453</v>
      </c>
      <c r="AQ30" s="2">
        <v>0.26686656399605752</v>
      </c>
      <c r="AR30" s="2">
        <v>0.26679284187613772</v>
      </c>
      <c r="AS30" s="2">
        <v>0.26679199593344399</v>
      </c>
      <c r="AT30" s="2">
        <v>0.2667919840471692</v>
      </c>
      <c r="AU30" s="2">
        <v>0.26679198380500552</v>
      </c>
      <c r="AV30" s="2">
        <v>0.26679198379816366</v>
      </c>
      <c r="AY30">
        <v>550</v>
      </c>
      <c r="AZ30" s="2">
        <f t="shared" ref="AZ30:BK30" si="25">AZ19+AZ41</f>
        <v>3.001183664882058</v>
      </c>
      <c r="BA30" s="2">
        <f t="shared" si="25"/>
        <v>2.7130995587371105</v>
      </c>
      <c r="BB30" s="2">
        <f t="shared" si="25"/>
        <v>2.5511425231522855</v>
      </c>
      <c r="BC30" s="2">
        <f t="shared" si="25"/>
        <v>2.4653579076835612</v>
      </c>
      <c r="BD30" s="2">
        <f t="shared" si="25"/>
        <v>2.4203983398443123</v>
      </c>
      <c r="BE30" s="2">
        <f t="shared" si="25"/>
        <v>2.4006525806826762</v>
      </c>
      <c r="BF30" s="2">
        <f t="shared" si="25"/>
        <v>2.3953121588299053</v>
      </c>
      <c r="BG30" s="2">
        <f t="shared" si="25"/>
        <v>2.3949355024379377</v>
      </c>
      <c r="BH30" s="2">
        <f t="shared" si="25"/>
        <v>2.3949308138682124</v>
      </c>
      <c r="BI30" s="2">
        <f t="shared" si="25"/>
        <v>2.3949307502621995</v>
      </c>
      <c r="BJ30" s="2">
        <f t="shared" si="25"/>
        <v>2.3949307490100136</v>
      </c>
      <c r="BK30" s="2">
        <f t="shared" si="25"/>
        <v>2.3949307489757472</v>
      </c>
    </row>
    <row r="31" spans="1:63" x14ac:dyDescent="0.2">
      <c r="A31" t="s">
        <v>16</v>
      </c>
      <c r="B31">
        <f>U*phivbf</f>
        <v>0.92548350276448099</v>
      </c>
      <c r="E31">
        <v>0.85</v>
      </c>
      <c r="F31">
        <v>0.65048029525463946</v>
      </c>
      <c r="G31">
        <v>5.0472161748944047E-2</v>
      </c>
      <c r="V31" s="2"/>
      <c r="W31" s="2"/>
      <c r="X31" s="2"/>
      <c r="Y31" s="2"/>
      <c r="Z31" s="2"/>
      <c r="AA31" s="2"/>
      <c r="AB31" s="2"/>
      <c r="AC31" s="2"/>
      <c r="AD31" s="2"/>
      <c r="AI31" s="2"/>
      <c r="AJ31" s="2">
        <v>600</v>
      </c>
      <c r="AK31" s="2">
        <v>0.49233137272499361</v>
      </c>
      <c r="AL31" s="2">
        <v>0.42497129547441059</v>
      </c>
      <c r="AM31" s="2">
        <v>0.37265653491189726</v>
      </c>
      <c r="AN31" s="2">
        <v>0.33949418054524644</v>
      </c>
      <c r="AO31" s="2">
        <v>0.32111534382477452</v>
      </c>
      <c r="AP31" s="2">
        <v>0.31339446076452238</v>
      </c>
      <c r="AQ31" s="2">
        <v>0.31162609680740017</v>
      </c>
      <c r="AR31" s="2">
        <v>0.31153631313213015</v>
      </c>
      <c r="AS31" s="2">
        <v>0.31153528288714827</v>
      </c>
      <c r="AT31" s="2">
        <v>0.31153526841125617</v>
      </c>
      <c r="AU31" s="2">
        <v>0.31153526811633359</v>
      </c>
      <c r="AV31" s="2">
        <v>0.31153526810800097</v>
      </c>
      <c r="AY31">
        <v>600</v>
      </c>
      <c r="AZ31" s="2">
        <f t="shared" ref="AZ31:BK31" si="26">AZ20+AZ42</f>
        <v>3.3511840969691971</v>
      </c>
      <c r="BA31" s="2">
        <f t="shared" si="26"/>
        <v>2.8118303592779945</v>
      </c>
      <c r="BB31" s="2">
        <f t="shared" si="26"/>
        <v>2.5519607854860134</v>
      </c>
      <c r="BC31" s="2">
        <f t="shared" si="26"/>
        <v>2.4261512689917759</v>
      </c>
      <c r="BD31" s="2">
        <f t="shared" si="26"/>
        <v>2.3635758080246223</v>
      </c>
      <c r="BE31" s="2">
        <f t="shared" si="26"/>
        <v>2.3369080417134942</v>
      </c>
      <c r="BF31" s="2">
        <f t="shared" si="26"/>
        <v>2.329818691276512</v>
      </c>
      <c r="BG31" s="2">
        <f t="shared" si="26"/>
        <v>2.3293242034917103</v>
      </c>
      <c r="BH31" s="2">
        <f t="shared" si="26"/>
        <v>2.3293180590244655</v>
      </c>
      <c r="BI31" s="2">
        <f t="shared" si="26"/>
        <v>2.3293179756064095</v>
      </c>
      <c r="BJ31" s="2">
        <f t="shared" si="26"/>
        <v>2.3293179739629633</v>
      </c>
      <c r="BK31" s="2">
        <f t="shared" si="26"/>
        <v>2.3293179739179561</v>
      </c>
    </row>
    <row r="32" spans="1:63" x14ac:dyDescent="0.2">
      <c r="A32" t="s">
        <v>17</v>
      </c>
      <c r="B32">
        <f>SUMPRODUCT(Surv_f,Fec)/SUMPRODUCT(Surv_uf,Fec)</f>
        <v>0.26679198379789282</v>
      </c>
      <c r="E32">
        <v>0.9</v>
      </c>
      <c r="F32">
        <v>0.6286960996857357</v>
      </c>
      <c r="G32">
        <v>4.7042487700094962E-2</v>
      </c>
      <c r="V32" s="2"/>
      <c r="W32" s="2"/>
      <c r="X32" s="2"/>
      <c r="Y32" s="2"/>
      <c r="Z32" s="2"/>
      <c r="AA32" s="2"/>
      <c r="AB32" s="2"/>
      <c r="AC32" s="2"/>
      <c r="AD32" s="2"/>
      <c r="AJ32" s="2">
        <v>650</v>
      </c>
      <c r="AK32">
        <v>0.5929086428948368</v>
      </c>
      <c r="AL32">
        <v>0.50773428395817199</v>
      </c>
      <c r="AM32">
        <v>0.44157310628413349</v>
      </c>
      <c r="AN32">
        <v>0.39963348418120093</v>
      </c>
      <c r="AO32">
        <v>0.37639021684069546</v>
      </c>
      <c r="AP32">
        <v>0.36662580401047917</v>
      </c>
      <c r="AQ32">
        <v>0.36438939716728791</v>
      </c>
      <c r="AR32">
        <v>0.3642758499390879</v>
      </c>
      <c r="AS32">
        <v>0.36427454701334216</v>
      </c>
      <c r="AT32">
        <v>0.36427452870603405</v>
      </c>
      <c r="AU32">
        <v>0.36427452833305202</v>
      </c>
      <c r="AV32">
        <v>0.36427452832251433</v>
      </c>
      <c r="AY32">
        <v>650</v>
      </c>
      <c r="AZ32" s="2">
        <f t="shared" ref="AZ32:BK32" si="27">AZ21+AZ43</f>
        <v>4.8828047140024804</v>
      </c>
      <c r="BA32" s="2">
        <f t="shared" si="27"/>
        <v>3.2256609966187613</v>
      </c>
      <c r="BB32" s="2">
        <f t="shared" si="27"/>
        <v>2.6877067057719484</v>
      </c>
      <c r="BC32" s="2">
        <f t="shared" si="27"/>
        <v>2.4693282346539549</v>
      </c>
      <c r="BD32" s="2">
        <f t="shared" si="27"/>
        <v>2.3699140894226236</v>
      </c>
      <c r="BE32" s="2">
        <f t="shared" si="27"/>
        <v>2.3294439943453122</v>
      </c>
      <c r="BF32" s="2">
        <f t="shared" si="27"/>
        <v>2.31892733926201</v>
      </c>
      <c r="BG32" s="2">
        <f t="shared" si="27"/>
        <v>2.3182027157192548</v>
      </c>
      <c r="BH32" s="2">
        <f t="shared" si="27"/>
        <v>2.3181937281762597</v>
      </c>
      <c r="BI32" s="2">
        <f t="shared" si="27"/>
        <v>2.3181936060709489</v>
      </c>
      <c r="BJ32" s="2">
        <f t="shared" si="27"/>
        <v>2.3181936036635169</v>
      </c>
      <c r="BK32" s="2">
        <f t="shared" si="27"/>
        <v>2.3181936035975399</v>
      </c>
    </row>
    <row r="33" spans="1:63" x14ac:dyDescent="0.2">
      <c r="A33" t="s">
        <v>41</v>
      </c>
      <c r="B33">
        <f>SUMPRODUCT(Vul_cap,Surv_f,Memorable)*U</f>
        <v>0.40755085979582245</v>
      </c>
      <c r="E33">
        <v>0.95</v>
      </c>
      <c r="F33">
        <v>0.60765825659565476</v>
      </c>
      <c r="G33">
        <v>4.4012530633239601E-2</v>
      </c>
      <c r="V33" s="2"/>
      <c r="W33" s="2"/>
      <c r="X33" s="2"/>
      <c r="Y33" s="2"/>
      <c r="Z33" s="2"/>
      <c r="AA33" s="2"/>
      <c r="AB33" s="2"/>
      <c r="AC33" s="2"/>
      <c r="AD33" s="2"/>
      <c r="AJ33" s="2">
        <v>700</v>
      </c>
      <c r="AK33">
        <v>0.70882167844880473</v>
      </c>
      <c r="AL33">
        <v>0.60246386677647867</v>
      </c>
      <c r="AM33">
        <v>0.51745867156591729</v>
      </c>
      <c r="AN33">
        <v>0.46356024816824509</v>
      </c>
      <c r="AO33">
        <v>0.43368928718838734</v>
      </c>
      <c r="AP33">
        <v>0.42114060405575515</v>
      </c>
      <c r="AQ33">
        <v>0.41826649771445668</v>
      </c>
      <c r="AR33">
        <v>0.4181205730989952</v>
      </c>
      <c r="AS33">
        <v>0.41811889865091345</v>
      </c>
      <c r="AT33">
        <v>0.4181188751233742</v>
      </c>
      <c r="AU33">
        <v>0.41811887464403874</v>
      </c>
      <c r="AV33">
        <v>0.41811887463049596</v>
      </c>
      <c r="AY33">
        <v>700</v>
      </c>
      <c r="AZ33" s="2">
        <f t="shared" ref="AZ33:BK33" si="28">AZ22+AZ44</f>
        <v>11</v>
      </c>
      <c r="BA33" s="2">
        <f t="shared" si="28"/>
        <v>4.7755429640351448</v>
      </c>
      <c r="BB33" s="2">
        <f t="shared" si="28"/>
        <v>3.0892528552190277</v>
      </c>
      <c r="BC33" s="2">
        <f t="shared" si="28"/>
        <v>2.6342716679114115</v>
      </c>
      <c r="BD33" s="2">
        <f t="shared" si="28"/>
        <v>2.4570291938939173</v>
      </c>
      <c r="BE33" s="2">
        <f t="shared" si="28"/>
        <v>2.3897653569520729</v>
      </c>
      <c r="BF33" s="2">
        <f t="shared" si="28"/>
        <v>2.3728023257862079</v>
      </c>
      <c r="BG33" s="2">
        <f t="shared" si="28"/>
        <v>2.3716483186757435</v>
      </c>
      <c r="BH33" s="2">
        <f t="shared" si="28"/>
        <v>2.3716340302785355</v>
      </c>
      <c r="BI33" s="2">
        <f t="shared" si="28"/>
        <v>2.3716338360327369</v>
      </c>
      <c r="BJ33" s="2">
        <f t="shared" si="28"/>
        <v>2.3716338322005051</v>
      </c>
      <c r="BK33" s="2">
        <f t="shared" si="28"/>
        <v>2.3716338320954158</v>
      </c>
    </row>
    <row r="34" spans="1:63" x14ac:dyDescent="0.2">
      <c r="E34">
        <v>1</v>
      </c>
      <c r="F34">
        <v>0.58733646211221879</v>
      </c>
      <c r="G34">
        <v>4.1316914227106358E-2</v>
      </c>
      <c r="V34" s="2"/>
      <c r="W34" s="2"/>
      <c r="X34" s="2"/>
      <c r="Y34" s="2"/>
      <c r="Z34" s="2"/>
      <c r="AA34" s="2"/>
      <c r="AB34" s="2"/>
      <c r="AC34" s="2"/>
      <c r="AD34" s="2"/>
      <c r="AM34" s="2"/>
      <c r="AN34" s="2"/>
      <c r="AO34" s="2"/>
      <c r="AP34" s="2"/>
      <c r="AQ34" s="2"/>
      <c r="AR34" s="2"/>
      <c r="AS34" s="2"/>
    </row>
    <row r="35" spans="1:63" x14ac:dyDescent="0.2">
      <c r="B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 t="s">
        <v>41</v>
      </c>
      <c r="AK35" s="2" t="s">
        <v>38</v>
      </c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Y35" t="s">
        <v>45</v>
      </c>
      <c r="AZ35" t="s">
        <v>38</v>
      </c>
    </row>
    <row r="36" spans="1:63" x14ac:dyDescent="0.2"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>
        <f>Mem_Catch</f>
        <v>0.40755085979582245</v>
      </c>
      <c r="AK36" s="2">
        <v>700</v>
      </c>
      <c r="AL36" s="2">
        <v>750</v>
      </c>
      <c r="AM36" s="2">
        <v>800</v>
      </c>
      <c r="AN36" s="2">
        <v>850</v>
      </c>
      <c r="AO36" s="2">
        <v>900</v>
      </c>
      <c r="AP36" s="2">
        <v>950</v>
      </c>
      <c r="AQ36" s="2">
        <v>1000</v>
      </c>
      <c r="AR36" s="2">
        <v>1050</v>
      </c>
      <c r="AS36" s="2">
        <v>1100</v>
      </c>
      <c r="AT36" s="2">
        <v>1150</v>
      </c>
      <c r="AU36" s="2">
        <v>1200</v>
      </c>
      <c r="AV36" s="2">
        <v>1250</v>
      </c>
      <c r="AZ36" s="2">
        <v>700</v>
      </c>
      <c r="BA36" s="2">
        <v>750</v>
      </c>
      <c r="BB36" s="2">
        <v>800</v>
      </c>
      <c r="BC36" s="2">
        <v>850</v>
      </c>
      <c r="BD36" s="2">
        <v>900</v>
      </c>
      <c r="BE36" s="2">
        <v>950</v>
      </c>
      <c r="BF36" s="2">
        <v>1000</v>
      </c>
      <c r="BG36" s="2">
        <v>1050</v>
      </c>
      <c r="BH36" s="2">
        <v>1100</v>
      </c>
      <c r="BI36" s="2">
        <v>1150</v>
      </c>
      <c r="BJ36" s="2">
        <v>1200</v>
      </c>
      <c r="BK36" s="2">
        <v>1250</v>
      </c>
    </row>
    <row r="37" spans="1:63" x14ac:dyDescent="0.2">
      <c r="A37" t="s">
        <v>42</v>
      </c>
      <c r="B37">
        <v>380</v>
      </c>
      <c r="F37" t="s">
        <v>16</v>
      </c>
      <c r="G37" t="s">
        <v>17</v>
      </c>
      <c r="V37" s="2"/>
      <c r="W37" s="2" t="s">
        <v>16</v>
      </c>
      <c r="X37" s="2" t="s">
        <v>17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 t="s">
        <v>39</v>
      </c>
      <c r="AJ37" s="2">
        <v>350</v>
      </c>
      <c r="AK37" s="2">
        <f t="dataTable" ref="AK37:AV44" dt2D="1" dtr="1" r1="B17" r2="B15" ca="1"/>
        <v>0.28349651217166022</v>
      </c>
      <c r="AL37" s="2">
        <v>0.27448117033056069</v>
      </c>
      <c r="AM37" s="2">
        <v>0.2682240162134224</v>
      </c>
      <c r="AN37" s="2">
        <v>0.26467913918528918</v>
      </c>
      <c r="AO37" s="2">
        <v>0.26291146753035444</v>
      </c>
      <c r="AP37" s="2">
        <v>0.26223851118321473</v>
      </c>
      <c r="AQ37" s="2">
        <v>0.26209652138646983</v>
      </c>
      <c r="AR37" s="2">
        <v>0.26208962780002948</v>
      </c>
      <c r="AS37" s="2">
        <v>0.26208954891395303</v>
      </c>
      <c r="AT37" s="2">
        <v>0.26208954780195159</v>
      </c>
      <c r="AU37" s="2">
        <v>0.26208954777922056</v>
      </c>
      <c r="AV37" s="2">
        <v>0.26208954777857618</v>
      </c>
      <c r="AX37" t="s">
        <v>39</v>
      </c>
      <c r="AY37" s="2">
        <v>350</v>
      </c>
      <c r="AZ37">
        <f>MIN(MAX($AK$37:$AV$44)/MAX(AK37, 0.01), 10)</f>
        <v>2.0026846219118015</v>
      </c>
      <c r="BA37">
        <f t="shared" ref="BA37:BK37" si="29">MIN(MAX($AK$37:$AV$44)/MAX(AL37, 0.01), 10)</f>
        <v>2.0684628552409015</v>
      </c>
      <c r="BB37">
        <f t="shared" si="29"/>
        <v>2.1167161438670772</v>
      </c>
      <c r="BC37">
        <f t="shared" si="29"/>
        <v>2.145065557638671</v>
      </c>
      <c r="BD37">
        <f t="shared" si="29"/>
        <v>2.1594877949789915</v>
      </c>
      <c r="BE37">
        <f t="shared" si="29"/>
        <v>2.1650294715681575</v>
      </c>
      <c r="BF37">
        <f t="shared" si="29"/>
        <v>2.1662023680758584</v>
      </c>
      <c r="BG37">
        <f t="shared" si="29"/>
        <v>2.1662593443987941</v>
      </c>
      <c r="BH37">
        <f t="shared" si="29"/>
        <v>2.166259996419071</v>
      </c>
      <c r="BI37">
        <f t="shared" si="29"/>
        <v>2.1662600056101442</v>
      </c>
      <c r="BJ37">
        <f t="shared" si="29"/>
        <v>2.1662600057980241</v>
      </c>
      <c r="BK37">
        <f t="shared" si="29"/>
        <v>2.1662600058033501</v>
      </c>
    </row>
    <row r="38" spans="1:63" x14ac:dyDescent="0.2">
      <c r="A38" t="s">
        <v>43</v>
      </c>
      <c r="B38">
        <f>B37*0.01</f>
        <v>3.8000000000000003</v>
      </c>
      <c r="F38">
        <f>Yield</f>
        <v>0.92548350276448099</v>
      </c>
      <c r="G38">
        <f>SPR</f>
        <v>0.26679198379789282</v>
      </c>
      <c r="V38" s="2"/>
      <c r="W38" s="2">
        <f>Yield</f>
        <v>0.92548350276448099</v>
      </c>
      <c r="X38" s="2">
        <f>SPR</f>
        <v>0.26679198379789282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>
        <v>400</v>
      </c>
      <c r="AK38" s="2">
        <v>0.34182453979110994</v>
      </c>
      <c r="AL38" s="2">
        <v>0.33092641976382065</v>
      </c>
      <c r="AM38" s="2">
        <v>0.32336251172797109</v>
      </c>
      <c r="AN38" s="2">
        <v>0.31907731699930775</v>
      </c>
      <c r="AO38" s="2">
        <v>0.31694048201247527</v>
      </c>
      <c r="AP38" s="2">
        <v>0.31612698440212172</v>
      </c>
      <c r="AQ38" s="2">
        <v>0.31595534123263908</v>
      </c>
      <c r="AR38" s="2">
        <v>0.3159470079787513</v>
      </c>
      <c r="AS38" s="2">
        <v>0.31594691261798263</v>
      </c>
      <c r="AT38" s="2">
        <v>0.31594691127374891</v>
      </c>
      <c r="AU38" s="2">
        <v>0.31594691124627078</v>
      </c>
      <c r="AV38" s="2">
        <v>0.31594691124549179</v>
      </c>
      <c r="AY38" s="2">
        <v>400</v>
      </c>
      <c r="AZ38">
        <f t="shared" ref="AZ38:AZ44" si="30">MIN(MAX($AK$37:$AV$44)/MAX(AK38, 0.01), 10)</f>
        <v>1.6609518603865367</v>
      </c>
      <c r="BA38">
        <f t="shared" ref="BA38:BA44" si="31">MIN(MAX($AK$37:$AV$44)/MAX(AL38, 0.01), 10)</f>
        <v>1.7156505838881557</v>
      </c>
      <c r="BB38">
        <f t="shared" ref="BB38:BB44" si="32">MIN(MAX($AK$37:$AV$44)/MAX(AM38, 0.01), 10)</f>
        <v>1.7557820857398563</v>
      </c>
      <c r="BC38">
        <f t="shared" ref="BC38:BC44" si="33">MIN(MAX($AK$37:$AV$44)/MAX(AN38, 0.01), 10)</f>
        <v>1.7793621641022122</v>
      </c>
      <c r="BD38">
        <f t="shared" ref="BD38:BD44" si="34">MIN(MAX($AK$37:$AV$44)/MAX(AO38, 0.01), 10)</f>
        <v>1.7913587487680671</v>
      </c>
      <c r="BE38">
        <f t="shared" ref="BE38:BE44" si="35">MIN(MAX($AK$37:$AV$44)/MAX(AP38, 0.01), 10)</f>
        <v>1.7959684978034582</v>
      </c>
      <c r="BF38">
        <f t="shared" ref="BF38:BF44" si="36">MIN(MAX($AK$37:$AV$44)/MAX(AQ38, 0.01), 10)</f>
        <v>1.7969441601361515</v>
      </c>
      <c r="BG38">
        <f t="shared" ref="BG38:BG44" si="37">MIN(MAX($AK$37:$AV$44)/MAX(AR38, 0.01), 10)</f>
        <v>1.7969915554003268</v>
      </c>
      <c r="BH38">
        <f t="shared" ref="BH38:BH44" si="38">MIN(MAX($AK$37:$AV$44)/MAX(AS38, 0.01), 10)</f>
        <v>1.7969920977778251</v>
      </c>
      <c r="BI38">
        <f t="shared" ref="BI38:BI44" si="39">MIN(MAX($AK$37:$AV$44)/MAX(AT38, 0.01), 10)</f>
        <v>1.7969921054233418</v>
      </c>
      <c r="BJ38">
        <f t="shared" ref="BJ38:BJ44" si="40">MIN(MAX($AK$37:$AV$44)/MAX(AU38, 0.01), 10)</f>
        <v>1.7969921055796274</v>
      </c>
      <c r="BK38">
        <f t="shared" ref="BK38:BK44" si="41">MIN(MAX($AK$37:$AV$44)/MAX(AV38, 0.01), 10)</f>
        <v>1.7969921055840581</v>
      </c>
    </row>
    <row r="39" spans="1:63" x14ac:dyDescent="0.2">
      <c r="C39" t="s">
        <v>7</v>
      </c>
      <c r="D39">
        <v>-0.45</v>
      </c>
      <c r="E39">
        <f t="shared" ref="E39:E47" si="42">0.165+0.165*D39</f>
        <v>9.0749999999999997E-2</v>
      </c>
      <c r="F39">
        <f t="dataTable" ref="F39:G58" dt2D="0" dtr="0" r1="B22" ca="1"/>
        <v>1.9537872825996048</v>
      </c>
      <c r="G39">
        <v>0.16547498097754967</v>
      </c>
      <c r="U39">
        <v>-0.5</v>
      </c>
      <c r="V39">
        <f t="shared" ref="V39:V48" si="43">450*(1+U39)</f>
        <v>225</v>
      </c>
      <c r="W39">
        <f t="dataTable" ref="W39:X59" dt2D="0" dtr="0" r1="B12" ca="1"/>
        <v>0.92548350276448099</v>
      </c>
      <c r="X39">
        <v>0.35765970846149359</v>
      </c>
      <c r="AI39" s="2"/>
      <c r="AJ39" s="2">
        <v>450</v>
      </c>
      <c r="AK39" s="2">
        <v>0.38983737439733512</v>
      </c>
      <c r="AL39" s="2">
        <v>0.3767348837493098</v>
      </c>
      <c r="AM39" s="2">
        <v>0.36764101856393139</v>
      </c>
      <c r="AN39" s="2">
        <v>0.36248905439793933</v>
      </c>
      <c r="AO39" s="2">
        <v>0.35992000025270693</v>
      </c>
      <c r="AP39" s="2">
        <v>0.358941955892289</v>
      </c>
      <c r="AQ39" s="2">
        <v>0.35873559433476232</v>
      </c>
      <c r="AR39" s="2">
        <v>0.35872557550758311</v>
      </c>
      <c r="AS39" s="2">
        <v>0.35872546085812274</v>
      </c>
      <c r="AT39" s="2">
        <v>0.3587254592419899</v>
      </c>
      <c r="AU39" s="2">
        <v>0.35872545920895371</v>
      </c>
      <c r="AV39" s="2">
        <v>0.35872545920801707</v>
      </c>
      <c r="AY39" s="2">
        <v>450</v>
      </c>
      <c r="AZ39">
        <f t="shared" si="30"/>
        <v>1.4563870541389961</v>
      </c>
      <c r="BA39">
        <f t="shared" si="31"/>
        <v>1.5070388482252035</v>
      </c>
      <c r="BB39">
        <f t="shared" si="32"/>
        <v>1.544316538751743</v>
      </c>
      <c r="BC39">
        <f t="shared" si="33"/>
        <v>1.5662655145127145</v>
      </c>
      <c r="BD39">
        <f t="shared" si="34"/>
        <v>1.5774452792097813</v>
      </c>
      <c r="BE39">
        <f t="shared" si="35"/>
        <v>1.5817434991137871</v>
      </c>
      <c r="BF39">
        <f t="shared" si="36"/>
        <v>1.5826533922418724</v>
      </c>
      <c r="BG39">
        <f t="shared" si="37"/>
        <v>1.5826975940827894</v>
      </c>
      <c r="BH39">
        <f t="shared" si="38"/>
        <v>1.5826980999164837</v>
      </c>
      <c r="BI39">
        <f t="shared" si="39"/>
        <v>1.582698107046868</v>
      </c>
      <c r="BJ39">
        <f t="shared" si="40"/>
        <v>1.5826981071926238</v>
      </c>
      <c r="BK39">
        <f t="shared" si="41"/>
        <v>1.5826981071967563</v>
      </c>
    </row>
    <row r="40" spans="1:63" x14ac:dyDescent="0.2">
      <c r="D40">
        <v>-0.4</v>
      </c>
      <c r="E40">
        <f t="shared" si="42"/>
        <v>9.9000000000000005E-2</v>
      </c>
      <c r="F40">
        <v>1.7912592305818948</v>
      </c>
      <c r="G40">
        <v>0.17610848807515966</v>
      </c>
      <c r="U40">
        <v>-0.45</v>
      </c>
      <c r="V40">
        <f t="shared" si="43"/>
        <v>247.50000000000003</v>
      </c>
      <c r="W40">
        <v>0.92548350276448099</v>
      </c>
      <c r="X40">
        <v>0.35272466160281224</v>
      </c>
      <c r="AI40" s="2"/>
      <c r="AJ40" s="2">
        <v>500</v>
      </c>
      <c r="AK40" s="2">
        <v>0.4171015663754335</v>
      </c>
      <c r="AL40" s="2">
        <v>0.40228917116499263</v>
      </c>
      <c r="AM40" s="2">
        <v>0.39200853607546388</v>
      </c>
      <c r="AN40" s="2">
        <v>0.38618422897334681</v>
      </c>
      <c r="AO40" s="2">
        <v>0.38327990747154589</v>
      </c>
      <c r="AP40" s="2">
        <v>0.38217422611759361</v>
      </c>
      <c r="AQ40" s="2">
        <v>0.38194093391167339</v>
      </c>
      <c r="AR40" s="2">
        <v>0.38192960760496475</v>
      </c>
      <c r="AS40" s="2">
        <v>0.38192947799349147</v>
      </c>
      <c r="AT40" s="2">
        <v>0.38192947616644979</v>
      </c>
      <c r="AU40" s="2">
        <v>0.38192947612910211</v>
      </c>
      <c r="AV40" s="2">
        <v>0.38192947612804351</v>
      </c>
      <c r="AY40" s="2">
        <v>500</v>
      </c>
      <c r="AZ40">
        <f t="shared" si="30"/>
        <v>1.3611890989178876</v>
      </c>
      <c r="BA40">
        <f t="shared" si="31"/>
        <v>1.4113084467266466</v>
      </c>
      <c r="BB40">
        <f t="shared" si="32"/>
        <v>1.448320771215349</v>
      </c>
      <c r="BC40">
        <f t="shared" si="33"/>
        <v>1.4701638821480727</v>
      </c>
      <c r="BD40">
        <f t="shared" si="34"/>
        <v>1.4813041180197137</v>
      </c>
      <c r="BE40">
        <f t="shared" si="35"/>
        <v>1.4855897297404874</v>
      </c>
      <c r="BF40">
        <f t="shared" si="36"/>
        <v>1.4864971383850496</v>
      </c>
      <c r="BG40">
        <f t="shared" si="37"/>
        <v>1.4865412211745888</v>
      </c>
      <c r="BH40">
        <f t="shared" si="38"/>
        <v>1.4865417256467723</v>
      </c>
      <c r="BI40">
        <f t="shared" si="39"/>
        <v>1.486541732757964</v>
      </c>
      <c r="BJ40">
        <f t="shared" si="40"/>
        <v>1.4865417329033284</v>
      </c>
      <c r="BK40">
        <f t="shared" si="41"/>
        <v>1.4865417329074486</v>
      </c>
    </row>
    <row r="41" spans="1:63" x14ac:dyDescent="0.2">
      <c r="D41">
        <v>-0.35</v>
      </c>
      <c r="E41">
        <f t="shared" si="42"/>
        <v>0.10725000000000001</v>
      </c>
      <c r="F41">
        <v>1.6439924495081311</v>
      </c>
      <c r="G41">
        <v>0.18697562053961533</v>
      </c>
      <c r="U41">
        <v>-0.4</v>
      </c>
      <c r="V41">
        <f t="shared" si="43"/>
        <v>270</v>
      </c>
      <c r="W41">
        <v>0.92548350276448099</v>
      </c>
      <c r="X41">
        <v>0.34652401461086191</v>
      </c>
      <c r="AI41" s="2"/>
      <c r="AJ41" s="2">
        <v>550</v>
      </c>
      <c r="AK41" s="2">
        <v>0.44817505368211696</v>
      </c>
      <c r="AL41" s="2">
        <v>0.43106655627238832</v>
      </c>
      <c r="AM41" s="2">
        <v>0.41919229715837258</v>
      </c>
      <c r="AN41" s="2">
        <v>0.41246515130717443</v>
      </c>
      <c r="AO41" s="2">
        <v>0.40911062449414182</v>
      </c>
      <c r="AP41" s="2">
        <v>0.40783354902360491</v>
      </c>
      <c r="AQ41" s="2">
        <v>0.40756409367592883</v>
      </c>
      <c r="AR41" s="2">
        <v>0.4075510116533213</v>
      </c>
      <c r="AS41" s="2">
        <v>0.40755086195048618</v>
      </c>
      <c r="AT41" s="2">
        <v>0.40755085984023076</v>
      </c>
      <c r="AU41" s="2">
        <v>0.40755085979709388</v>
      </c>
      <c r="AV41" s="2">
        <v>0.40755085979587086</v>
      </c>
      <c r="AY41" s="2">
        <v>550</v>
      </c>
      <c r="AZ41">
        <f t="shared" si="30"/>
        <v>1.2668132700097008</v>
      </c>
      <c r="BA41">
        <f t="shared" si="31"/>
        <v>1.3170915187701442</v>
      </c>
      <c r="BB41">
        <f t="shared" si="32"/>
        <v>1.3544001384102626</v>
      </c>
      <c r="BC41">
        <f t="shared" si="33"/>
        <v>1.3764898767629301</v>
      </c>
      <c r="BD41">
        <f t="shared" si="34"/>
        <v>1.3877764870903411</v>
      </c>
      <c r="BE41">
        <f t="shared" si="35"/>
        <v>1.3921221210248078</v>
      </c>
      <c r="BF41">
        <f t="shared" si="36"/>
        <v>1.3930425032565816</v>
      </c>
      <c r="BG41">
        <f t="shared" si="37"/>
        <v>1.3930872186737926</v>
      </c>
      <c r="BH41">
        <f t="shared" si="38"/>
        <v>1.3930877303868712</v>
      </c>
      <c r="BI41">
        <f t="shared" si="39"/>
        <v>1.3930877376001325</v>
      </c>
      <c r="BJ41">
        <f t="shared" si="40"/>
        <v>1.3930877377475828</v>
      </c>
      <c r="BK41">
        <f t="shared" si="41"/>
        <v>1.3930877377517634</v>
      </c>
    </row>
    <row r="42" spans="1:63" x14ac:dyDescent="0.2">
      <c r="D42">
        <v>-0.3</v>
      </c>
      <c r="E42">
        <f t="shared" si="42"/>
        <v>0.11550000000000001</v>
      </c>
      <c r="F42">
        <v>1.5103603272237152</v>
      </c>
      <c r="G42">
        <v>0.19804258831267732</v>
      </c>
      <c r="U42">
        <v>-0.35</v>
      </c>
      <c r="V42">
        <f t="shared" si="43"/>
        <v>292.5</v>
      </c>
      <c r="W42">
        <v>0.92548350276448099</v>
      </c>
      <c r="X42">
        <v>0.33905471962559075</v>
      </c>
      <c r="AI42" s="2"/>
      <c r="AJ42" s="2">
        <v>600</v>
      </c>
      <c r="AK42" s="2">
        <v>0.48625177403415409</v>
      </c>
      <c r="AL42" s="2">
        <v>0.46541591821737116</v>
      </c>
      <c r="AM42" s="2">
        <v>0.45095465984934358</v>
      </c>
      <c r="AN42" s="2">
        <v>0.44276189654777148</v>
      </c>
      <c r="AO42" s="2">
        <v>0.4386765318513548</v>
      </c>
      <c r="AP42" s="2">
        <v>0.43712122484897142</v>
      </c>
      <c r="AQ42" s="2">
        <v>0.43679306429876191</v>
      </c>
      <c r="AR42" s="2">
        <v>0.43677713214609259</v>
      </c>
      <c r="AS42" s="2">
        <v>0.43677694982807547</v>
      </c>
      <c r="AT42" s="2">
        <v>0.43677694725806654</v>
      </c>
      <c r="AU42" s="2">
        <v>0.43677694720553167</v>
      </c>
      <c r="AV42" s="2">
        <v>0.43677694720404237</v>
      </c>
      <c r="AY42" s="2">
        <v>600</v>
      </c>
      <c r="AZ42">
        <f t="shared" si="30"/>
        <v>1.1676134373381988</v>
      </c>
      <c r="BA42">
        <f t="shared" si="31"/>
        <v>1.2198854466912494</v>
      </c>
      <c r="BB42">
        <f t="shared" si="32"/>
        <v>1.2590048531297868</v>
      </c>
      <c r="BC42">
        <f t="shared" si="33"/>
        <v>1.2823011865262401</v>
      </c>
      <c r="BD42">
        <f t="shared" si="34"/>
        <v>1.2942431702368771</v>
      </c>
      <c r="BE42">
        <f t="shared" si="35"/>
        <v>1.2988481753270595</v>
      </c>
      <c r="BF42">
        <f t="shared" si="36"/>
        <v>1.2998239937790723</v>
      </c>
      <c r="BG42">
        <f t="shared" si="37"/>
        <v>1.2998714069625656</v>
      </c>
      <c r="BH42">
        <f t="shared" si="38"/>
        <v>1.2998719495506703</v>
      </c>
      <c r="BI42">
        <f t="shared" si="39"/>
        <v>1.2998719571991568</v>
      </c>
      <c r="BJ42">
        <f t="shared" si="40"/>
        <v>1.2998719573555033</v>
      </c>
      <c r="BK42">
        <f t="shared" si="41"/>
        <v>1.2998719573599355</v>
      </c>
    </row>
    <row r="43" spans="1:63" x14ac:dyDescent="0.2">
      <c r="D43">
        <v>-0.25</v>
      </c>
      <c r="E43">
        <f t="shared" si="42"/>
        <v>0.12375</v>
      </c>
      <c r="F43">
        <v>1.3889322663659012</v>
      </c>
      <c r="G43">
        <v>0.20927543881532734</v>
      </c>
      <c r="U43">
        <v>-0.3</v>
      </c>
      <c r="V43">
        <f t="shared" si="43"/>
        <v>315</v>
      </c>
      <c r="W43">
        <v>0.92548350276448099</v>
      </c>
      <c r="X43">
        <v>0.33213078435404969</v>
      </c>
      <c r="AJ43" s="2">
        <v>650</v>
      </c>
      <c r="AK43">
        <v>0.52727350750791024</v>
      </c>
      <c r="AL43">
        <v>0.50092797889708895</v>
      </c>
      <c r="AM43">
        <v>0.48263918693814462</v>
      </c>
      <c r="AN43">
        <v>0.47227799868560238</v>
      </c>
      <c r="AO43">
        <v>0.46711133741836375</v>
      </c>
      <c r="AP43">
        <v>0.46514437851865359</v>
      </c>
      <c r="AQ43">
        <v>0.46472936186034774</v>
      </c>
      <c r="AR43">
        <v>0.4647092128547578</v>
      </c>
      <c r="AS43">
        <v>0.46470898228160024</v>
      </c>
      <c r="AT43">
        <v>0.46470897903137276</v>
      </c>
      <c r="AU43">
        <v>0.46470897896493302</v>
      </c>
      <c r="AV43">
        <v>0.46470897896304958</v>
      </c>
      <c r="AY43" s="2">
        <v>650</v>
      </c>
      <c r="AZ43">
        <f t="shared" si="30"/>
        <v>1.0767734339152215</v>
      </c>
      <c r="BA43">
        <f t="shared" si="31"/>
        <v>1.1334046593721123</v>
      </c>
      <c r="BB43">
        <f t="shared" si="32"/>
        <v>1.1763531032232151</v>
      </c>
      <c r="BC43">
        <f t="shared" si="33"/>
        <v>1.2021608181451033</v>
      </c>
      <c r="BD43">
        <f t="shared" si="34"/>
        <v>1.2154577716517987</v>
      </c>
      <c r="BE43">
        <f t="shared" si="35"/>
        <v>1.2205975854205604</v>
      </c>
      <c r="BF43">
        <f t="shared" si="36"/>
        <v>1.221687614096626</v>
      </c>
      <c r="BG43">
        <f t="shared" si="37"/>
        <v>1.2217405844055518</v>
      </c>
      <c r="BH43">
        <f t="shared" si="38"/>
        <v>1.221741190592639</v>
      </c>
      <c r="BI43">
        <f t="shared" si="39"/>
        <v>1.2217411991376359</v>
      </c>
      <c r="BJ43">
        <f t="shared" si="40"/>
        <v>1.2217411993123088</v>
      </c>
      <c r="BK43">
        <f t="shared" si="41"/>
        <v>1.2217411993172607</v>
      </c>
    </row>
    <row r="44" spans="1:63" x14ac:dyDescent="0.2">
      <c r="D44">
        <v>-0.2</v>
      </c>
      <c r="E44">
        <f t="shared" si="42"/>
        <v>0.13200000000000001</v>
      </c>
      <c r="F44">
        <v>1.2784472820754944</v>
      </c>
      <c r="G44">
        <v>0.22064060589674078</v>
      </c>
      <c r="U44">
        <v>-0.25</v>
      </c>
      <c r="V44">
        <f t="shared" si="43"/>
        <v>337.5</v>
      </c>
      <c r="W44">
        <v>0.92548350276448099</v>
      </c>
      <c r="X44">
        <v>0.32365664197978505</v>
      </c>
      <c r="AJ44" s="2">
        <v>700</v>
      </c>
      <c r="AK44">
        <v>0.5677541052918158</v>
      </c>
      <c r="AL44">
        <v>0.53492997897570005</v>
      </c>
      <c r="AM44">
        <v>0.51143295755464901</v>
      </c>
      <c r="AN44">
        <v>0.49811735003385005</v>
      </c>
      <c r="AO44">
        <v>0.49147744290467998</v>
      </c>
      <c r="AP44">
        <v>0.48894961615319432</v>
      </c>
      <c r="AQ44">
        <v>0.48841625970554975</v>
      </c>
      <c r="AR44">
        <v>0.4883903653183489</v>
      </c>
      <c r="AS44">
        <v>0.48839006899848392</v>
      </c>
      <c r="AT44">
        <v>0.48839006482147118</v>
      </c>
      <c r="AU44">
        <v>0.48839006473608687</v>
      </c>
      <c r="AV44">
        <v>0.48839006473366608</v>
      </c>
      <c r="AY44" s="2">
        <v>700</v>
      </c>
      <c r="AZ44">
        <f t="shared" si="30"/>
        <v>1</v>
      </c>
      <c r="BA44">
        <f t="shared" si="31"/>
        <v>1.0613615381567665</v>
      </c>
      <c r="BB44">
        <f t="shared" si="32"/>
        <v>1.1101242047568838</v>
      </c>
      <c r="BC44">
        <f t="shared" si="33"/>
        <v>1.1397998990664218</v>
      </c>
      <c r="BD44">
        <f t="shared" si="34"/>
        <v>1.1551987044132346</v>
      </c>
      <c r="BE44">
        <f t="shared" si="35"/>
        <v>1.1611709806802077</v>
      </c>
      <c r="BF44">
        <f t="shared" si="36"/>
        <v>1.1624389933989836</v>
      </c>
      <c r="BG44">
        <f t="shared" si="37"/>
        <v>1.1625006257478789</v>
      </c>
      <c r="BH44">
        <f t="shared" si="38"/>
        <v>1.1625013310694043</v>
      </c>
      <c r="BI44">
        <f t="shared" si="39"/>
        <v>1.1625013410118319</v>
      </c>
      <c r="BJ44">
        <f t="shared" si="40"/>
        <v>1.16250134121507</v>
      </c>
      <c r="BK44">
        <f t="shared" si="41"/>
        <v>1.162501341220832</v>
      </c>
    </row>
    <row r="45" spans="1:63" x14ac:dyDescent="0.2">
      <c r="D45">
        <v>-0.15</v>
      </c>
      <c r="E45">
        <f t="shared" si="42"/>
        <v>0.14025000000000001</v>
      </c>
      <c r="F45">
        <v>1.1777915149600406</v>
      </c>
      <c r="G45">
        <v>0.23210539870929253</v>
      </c>
      <c r="U45">
        <v>-0.2</v>
      </c>
      <c r="V45">
        <f t="shared" si="43"/>
        <v>360</v>
      </c>
      <c r="W45">
        <v>0.92548350276448099</v>
      </c>
      <c r="X45">
        <v>0.31329884386006879</v>
      </c>
      <c r="AY45" s="2"/>
    </row>
    <row r="46" spans="1:63" x14ac:dyDescent="0.2">
      <c r="D46">
        <v>-0.1</v>
      </c>
      <c r="E46">
        <f t="shared" si="42"/>
        <v>0.14850000000000002</v>
      </c>
      <c r="F46">
        <v>1.0859790300230019</v>
      </c>
      <c r="G46">
        <v>0.2436384194906181</v>
      </c>
      <c r="U46">
        <v>-0.15</v>
      </c>
      <c r="V46">
        <f t="shared" si="43"/>
        <v>382.5</v>
      </c>
      <c r="W46">
        <v>0.92548350276448099</v>
      </c>
      <c r="X46">
        <v>0.3033089606620521</v>
      </c>
    </row>
    <row r="47" spans="1:63" x14ac:dyDescent="0.2">
      <c r="D47">
        <v>-0.05</v>
      </c>
      <c r="E47">
        <f t="shared" si="42"/>
        <v>0.15675</v>
      </c>
      <c r="F47">
        <v>1.0021353803426531</v>
      </c>
      <c r="G47">
        <v>0.25520990411525657</v>
      </c>
      <c r="U47">
        <v>-0.1</v>
      </c>
      <c r="V47">
        <f t="shared" si="43"/>
        <v>405</v>
      </c>
      <c r="W47">
        <v>0.92548350276448099</v>
      </c>
      <c r="X47">
        <v>0.29259306081403008</v>
      </c>
    </row>
    <row r="48" spans="1:63" x14ac:dyDescent="0.2">
      <c r="D48">
        <v>0</v>
      </c>
      <c r="E48" s="7">
        <f>0.165+0.165*D48</f>
        <v>0.16500000000000001</v>
      </c>
      <c r="F48" s="7">
        <v>0.92548350276448099</v>
      </c>
      <c r="G48" s="7">
        <v>0.26679198379789282</v>
      </c>
      <c r="U48">
        <v>-0.05</v>
      </c>
      <c r="V48">
        <f t="shared" si="43"/>
        <v>427.5</v>
      </c>
      <c r="W48">
        <v>0.92548350276448099</v>
      </c>
      <c r="X48">
        <v>0.27952569768562746</v>
      </c>
    </row>
    <row r="49" spans="3:41" x14ac:dyDescent="0.2">
      <c r="D49">
        <v>0.05</v>
      </c>
      <c r="E49">
        <f t="shared" ref="E49:E58" si="44">0.165+0.165*D49</f>
        <v>0.17325000000000002</v>
      </c>
      <c r="F49">
        <v>0.85533158547195054</v>
      </c>
      <c r="G49">
        <v>0.27835887021027766</v>
      </c>
      <c r="U49">
        <v>0</v>
      </c>
      <c r="V49" s="7">
        <f>450*(1+U49)</f>
        <v>450</v>
      </c>
      <c r="W49" s="7">
        <v>0.92548350276448099</v>
      </c>
      <c r="X49" s="7">
        <v>0.26679198379789282</v>
      </c>
      <c r="AO49" s="6"/>
    </row>
    <row r="50" spans="3:41" x14ac:dyDescent="0.2">
      <c r="D50">
        <v>0.1</v>
      </c>
      <c r="E50">
        <f t="shared" si="44"/>
        <v>0.18149999999999999</v>
      </c>
      <c r="F50">
        <v>0.79106260700484177</v>
      </c>
      <c r="G50">
        <v>0.28988696934769387</v>
      </c>
      <c r="U50">
        <v>0.05</v>
      </c>
      <c r="V50">
        <f t="shared" ref="V50:V59" si="45">450*(1+U50)</f>
        <v>472.5</v>
      </c>
      <c r="W50">
        <v>0.92548350276448099</v>
      </c>
      <c r="X50">
        <v>0.25368603476698903</v>
      </c>
      <c r="AJ50" t="s">
        <v>41</v>
      </c>
      <c r="AK50" t="s">
        <v>16</v>
      </c>
      <c r="AL50" t="s">
        <v>17</v>
      </c>
      <c r="AM50" t="s">
        <v>45</v>
      </c>
      <c r="AN50" t="s">
        <v>44</v>
      </c>
      <c r="AO50" s="6" t="s">
        <v>46</v>
      </c>
    </row>
    <row r="51" spans="3:41" x14ac:dyDescent="0.2">
      <c r="D51">
        <v>0.15</v>
      </c>
      <c r="E51">
        <f t="shared" si="44"/>
        <v>0.18975</v>
      </c>
      <c r="F51">
        <v>0.73212529550244099</v>
      </c>
      <c r="G51">
        <v>0.30135493168614808</v>
      </c>
      <c r="U51">
        <v>0.1</v>
      </c>
      <c r="V51">
        <f t="shared" si="45"/>
        <v>495.00000000000006</v>
      </c>
      <c r="W51">
        <v>0.92548350276448099</v>
      </c>
      <c r="X51">
        <v>0.2375363098392827</v>
      </c>
      <c r="AJ51">
        <f>Mem_Catch</f>
        <v>0.40755085979582245</v>
      </c>
      <c r="AK51">
        <f>Yield</f>
        <v>0.92548350276448099</v>
      </c>
      <c r="AL51">
        <f>SPR</f>
        <v>0.26679198379789282</v>
      </c>
      <c r="AO51" s="6"/>
    </row>
    <row r="52" spans="3:41" x14ac:dyDescent="0.2">
      <c r="D52">
        <v>0.2</v>
      </c>
      <c r="E52">
        <f t="shared" si="44"/>
        <v>0.19800000000000001</v>
      </c>
      <c r="F52">
        <v>0.67802629759747646</v>
      </c>
      <c r="G52">
        <v>0.31274364753335887</v>
      </c>
      <c r="U52">
        <v>0.15</v>
      </c>
      <c r="V52">
        <f t="shared" si="45"/>
        <v>517.5</v>
      </c>
      <c r="W52">
        <v>0.92548350276448099</v>
      </c>
      <c r="X52">
        <v>0.22378497643193673</v>
      </c>
      <c r="AI52">
        <v>1</v>
      </c>
      <c r="AJ52">
        <f t="dataTable" ref="AJ52:AL78" dt2D="0" dtr="0" r1="B15" ca="1"/>
        <v>0.26171116988358456</v>
      </c>
      <c r="AK52">
        <v>0.81593467802814179</v>
      </c>
      <c r="AL52">
        <v>0.1439414404562844</v>
      </c>
      <c r="AM52">
        <f>MIN(MAX($AJ$52:$AJ$78)/MAX(AJ52, 0.01), 10)</f>
        <v>2.1693919504627219</v>
      </c>
      <c r="AN52">
        <f>MIN(MAX($AK$52:$AK$78)/MAX(AK52, 0.01), 10)</f>
        <v>1.1363522157046042</v>
      </c>
      <c r="AO52" s="2">
        <f>AM52+AN52</f>
        <v>3.3057441661673259</v>
      </c>
    </row>
    <row r="53" spans="3:41" x14ac:dyDescent="0.2">
      <c r="D53">
        <v>0.25</v>
      </c>
      <c r="E53">
        <f t="shared" si="44"/>
        <v>0.20625000000000002</v>
      </c>
      <c r="F53">
        <v>0.62832338004037003</v>
      </c>
      <c r="G53">
        <v>0.32403619708419223</v>
      </c>
      <c r="U53">
        <v>0.2</v>
      </c>
      <c r="V53">
        <f t="shared" si="45"/>
        <v>540</v>
      </c>
      <c r="W53">
        <v>0.92548350276448099</v>
      </c>
      <c r="X53">
        <v>0.20804294209801008</v>
      </c>
      <c r="AI53">
        <v>50</v>
      </c>
      <c r="AJ53">
        <v>0.26171116988358456</v>
      </c>
      <c r="AK53">
        <v>0.81593467802814179</v>
      </c>
      <c r="AL53">
        <v>0.1439414404562844</v>
      </c>
      <c r="AM53">
        <f>MIN(MAX($AJ$52:$AJ$78)/MAX(AJ53, 0.01), 10)</f>
        <v>2.1693919504627219</v>
      </c>
      <c r="AN53">
        <f>MIN(MAX($AK$52:$AK$78)/MAX(AK53, 0.01), 10)</f>
        <v>1.1363522157046042</v>
      </c>
      <c r="AO53" s="2">
        <f t="shared" ref="AO53:AO78" si="46">AM53+AN53</f>
        <v>3.3057441661673259</v>
      </c>
    </row>
    <row r="54" spans="3:41" x14ac:dyDescent="0.2">
      <c r="D54">
        <v>0.3</v>
      </c>
      <c r="E54">
        <f t="shared" si="44"/>
        <v>0.21450000000000002</v>
      </c>
      <c r="F54">
        <v>0.58261951505889698</v>
      </c>
      <c r="G54">
        <v>0.33521776467319042</v>
      </c>
      <c r="U54">
        <v>0.25</v>
      </c>
      <c r="V54">
        <f t="shared" si="45"/>
        <v>562.5</v>
      </c>
      <c r="W54">
        <v>0.92548350276448099</v>
      </c>
      <c r="X54">
        <v>0.19154549683635005</v>
      </c>
      <c r="AI54">
        <v>100</v>
      </c>
      <c r="AJ54">
        <v>0.26171116988358456</v>
      </c>
      <c r="AK54">
        <v>0.81593467802814179</v>
      </c>
      <c r="AL54">
        <v>0.1439414404562844</v>
      </c>
      <c r="AM54">
        <f>MIN(MAX($AJ$52:$AJ$78)/MAX(AJ54, 0.01), 10)</f>
        <v>2.1693919504627219</v>
      </c>
      <c r="AN54">
        <f>MIN(MAX($AK$52:$AK$78)/MAX(AK54, 0.01), 10)</f>
        <v>1.1363522157046042</v>
      </c>
      <c r="AO54" s="2">
        <f t="shared" si="46"/>
        <v>3.3057441661673259</v>
      </c>
    </row>
    <row r="55" spans="3:41" x14ac:dyDescent="0.2">
      <c r="D55">
        <v>0.35</v>
      </c>
      <c r="E55">
        <f t="shared" si="44"/>
        <v>0.22275</v>
      </c>
      <c r="F55">
        <v>0.54055772368328481</v>
      </c>
      <c r="G55">
        <v>0.34627552621915836</v>
      </c>
      <c r="U55">
        <v>0.3</v>
      </c>
      <c r="V55">
        <f t="shared" si="45"/>
        <v>585</v>
      </c>
      <c r="W55">
        <v>0.92548350276448099</v>
      </c>
      <c r="X55">
        <v>0.17711262514205589</v>
      </c>
      <c r="AI55">
        <v>150</v>
      </c>
      <c r="AJ55">
        <v>0.26171116988358456</v>
      </c>
      <c r="AK55">
        <v>0.81593467802814179</v>
      </c>
      <c r="AL55">
        <v>0.1439414404562844</v>
      </c>
      <c r="AM55">
        <f>MIN(MAX($AJ$52:$AJ$78)/MAX(AJ55, 0.01), 10)</f>
        <v>2.1693919504627219</v>
      </c>
      <c r="AN55">
        <f>MIN(MAX($AK$52:$AK$78)/MAX(AK55, 0.01), 10)</f>
        <v>1.1363522157046042</v>
      </c>
      <c r="AO55" s="2">
        <f t="shared" si="46"/>
        <v>3.3057441661673259</v>
      </c>
    </row>
    <row r="56" spans="3:41" x14ac:dyDescent="0.2">
      <c r="D56">
        <v>0.4</v>
      </c>
      <c r="E56">
        <f t="shared" si="44"/>
        <v>0.23100000000000001</v>
      </c>
      <c r="F56">
        <v>0.50181657062599783</v>
      </c>
      <c r="G56">
        <v>0.35719851802483193</v>
      </c>
      <c r="U56">
        <v>0.35</v>
      </c>
      <c r="V56">
        <f t="shared" si="45"/>
        <v>607.5</v>
      </c>
      <c r="W56">
        <v>0.92548350276448099</v>
      </c>
      <c r="X56">
        <v>0.1600408554063423</v>
      </c>
      <c r="AI56">
        <v>200</v>
      </c>
      <c r="AJ56">
        <v>0.26171116988358456</v>
      </c>
      <c r="AK56">
        <v>0.81593467802814179</v>
      </c>
      <c r="AL56">
        <v>0.1439414404562844</v>
      </c>
      <c r="AM56">
        <f>MIN(MAX($AJ$52:$AJ$78)/MAX(AJ56, 0.01), 10)</f>
        <v>2.1693919504627219</v>
      </c>
      <c r="AN56">
        <f>MIN(MAX($AK$52:$AK$78)/MAX(AK56, 0.01), 10)</f>
        <v>1.1363522157046042</v>
      </c>
      <c r="AO56" s="2">
        <f t="shared" si="46"/>
        <v>3.3057441661673259</v>
      </c>
    </row>
    <row r="57" spans="3:41" x14ac:dyDescent="0.2">
      <c r="D57">
        <v>0.45</v>
      </c>
      <c r="E57">
        <f t="shared" si="44"/>
        <v>0.23925000000000002</v>
      </c>
      <c r="F57">
        <v>0.46610622047885975</v>
      </c>
      <c r="G57">
        <v>0.36797749406046093</v>
      </c>
      <c r="U57">
        <v>0.4</v>
      </c>
      <c r="V57">
        <f t="shared" si="45"/>
        <v>630</v>
      </c>
      <c r="W57">
        <v>0.92548350276448099</v>
      </c>
      <c r="X57">
        <v>0.1468649932102512</v>
      </c>
      <c r="AI57">
        <v>250</v>
      </c>
      <c r="AJ57">
        <v>0.26171116988358484</v>
      </c>
      <c r="AK57">
        <v>0.81593467802814235</v>
      </c>
      <c r="AL57">
        <v>0.14394144045628457</v>
      </c>
      <c r="AM57">
        <f>MIN(MAX($AJ$52:$AJ$78)/MAX(AJ57, 0.01), 10)</f>
        <v>2.1693919504627197</v>
      </c>
      <c r="AN57">
        <f>MIN(MAX($AK$52:$AK$78)/MAX(AK57, 0.01), 10)</f>
        <v>1.1363522157046035</v>
      </c>
      <c r="AO57" s="2">
        <f t="shared" si="46"/>
        <v>3.3057441661673233</v>
      </c>
    </row>
    <row r="58" spans="3:41" x14ac:dyDescent="0.2">
      <c r="D58">
        <v>0.5</v>
      </c>
      <c r="E58">
        <f t="shared" si="44"/>
        <v>0.2475</v>
      </c>
      <c r="F58">
        <v>0.43316497853244657</v>
      </c>
      <c r="G58">
        <v>0.37860477773500589</v>
      </c>
      <c r="U58">
        <v>0.45</v>
      </c>
      <c r="V58">
        <f t="shared" si="45"/>
        <v>652.5</v>
      </c>
      <c r="W58">
        <v>0.92548350276448099</v>
      </c>
      <c r="X58">
        <v>0.13106544350678981</v>
      </c>
      <c r="AI58">
        <v>300</v>
      </c>
      <c r="AJ58">
        <v>0.26171117146508976</v>
      </c>
      <c r="AK58">
        <v>0.81593468123409318</v>
      </c>
      <c r="AL58">
        <v>0.14394144132620038</v>
      </c>
      <c r="AM58">
        <f>MIN(MAX($AJ$52:$AJ$78)/MAX(AJ58, 0.01), 10)</f>
        <v>2.1693919373532142</v>
      </c>
      <c r="AN58">
        <f>MIN(MAX($AK$52:$AK$78)/MAX(AK58, 0.01), 10)</f>
        <v>1.1363522112396758</v>
      </c>
      <c r="AO58" s="2">
        <f t="shared" si="46"/>
        <v>3.3057441485928898</v>
      </c>
    </row>
    <row r="59" spans="3:41" x14ac:dyDescent="0.2">
      <c r="U59">
        <v>0.5</v>
      </c>
      <c r="V59">
        <f t="shared" si="45"/>
        <v>675</v>
      </c>
      <c r="W59">
        <v>0.92548350276448099</v>
      </c>
      <c r="X59">
        <v>0.11847732643395123</v>
      </c>
      <c r="AI59">
        <v>350</v>
      </c>
      <c r="AJ59">
        <v>0.26208954777855037</v>
      </c>
      <c r="AK59">
        <v>0.81640733160808299</v>
      </c>
      <c r="AL59">
        <v>0.14415293676152846</v>
      </c>
      <c r="AM59">
        <f>MIN(MAX($AJ$52:$AJ$78)/MAX(AJ59, 0.01), 10)</f>
        <v>2.1662600058028554</v>
      </c>
      <c r="AN59">
        <f>MIN(MAX($AK$52:$AK$78)/MAX(AK59, 0.01), 10)</f>
        <v>1.1356943321677564</v>
      </c>
      <c r="AO59" s="2">
        <f t="shared" si="46"/>
        <v>3.3019543379706118</v>
      </c>
    </row>
    <row r="60" spans="3:41" x14ac:dyDescent="0.2">
      <c r="AI60">
        <v>400</v>
      </c>
      <c r="AJ60">
        <v>0.31594691124546087</v>
      </c>
      <c r="AK60">
        <v>0.88368159617790454</v>
      </c>
      <c r="AL60">
        <v>0.17425806306656078</v>
      </c>
      <c r="AM60">
        <f>MIN(MAX($AJ$52:$AJ$78)/MAX(AJ60, 0.01), 10)</f>
        <v>1.7969921055836466</v>
      </c>
      <c r="AN60">
        <f>MIN(MAX($AK$52:$AK$78)/MAX(AK60, 0.01), 10)</f>
        <v>1.0492344564578193</v>
      </c>
      <c r="AO60" s="2">
        <f t="shared" si="46"/>
        <v>2.846226562041466</v>
      </c>
    </row>
    <row r="61" spans="3:41" x14ac:dyDescent="0.2">
      <c r="F61" t="s">
        <v>16</v>
      </c>
      <c r="G61" t="s">
        <v>17</v>
      </c>
      <c r="W61" t="s">
        <v>16</v>
      </c>
      <c r="X61" t="s">
        <v>17</v>
      </c>
      <c r="AI61">
        <v>450</v>
      </c>
      <c r="AJ61">
        <v>0.35872545920797982</v>
      </c>
      <c r="AK61">
        <v>0.92030050406337738</v>
      </c>
      <c r="AL61">
        <v>0.2095053000773307</v>
      </c>
      <c r="AM61">
        <f>MIN(MAX($AJ$52:$AJ$78)/MAX(AJ61, 0.01), 10)</f>
        <v>1.5826981071964035</v>
      </c>
      <c r="AN61">
        <f>MIN(MAX($AK$52:$AK$78)/MAX(AK61, 0.01), 10)</f>
        <v>1.0074852454754821</v>
      </c>
      <c r="AO61" s="2">
        <f t="shared" si="46"/>
        <v>2.5901833526718856</v>
      </c>
    </row>
    <row r="62" spans="3:41" x14ac:dyDescent="0.2">
      <c r="F62">
        <f>Yield</f>
        <v>0.92548350276448099</v>
      </c>
      <c r="G62">
        <f>SPR</f>
        <v>0.26679198379789282</v>
      </c>
      <c r="W62">
        <f>Yield</f>
        <v>0.92548350276448099</v>
      </c>
      <c r="X62">
        <f>SPR</f>
        <v>0.26679198379789282</v>
      </c>
      <c r="AI62">
        <v>500</v>
      </c>
      <c r="AJ62">
        <v>0.38192947612800132</v>
      </c>
      <c r="AK62">
        <v>0.92718917924750177</v>
      </c>
      <c r="AL62">
        <v>0.23494438400939685</v>
      </c>
      <c r="AM62">
        <f>MIN(MAX($AJ$52:$AJ$78)/MAX(AJ62, 0.01), 10)</f>
        <v>1.4865417329071271</v>
      </c>
      <c r="AN62">
        <f>MIN(MAX($AK$52:$AK$78)/MAX(AK62, 0.01), 10)</f>
        <v>1</v>
      </c>
      <c r="AO62" s="2">
        <f t="shared" si="46"/>
        <v>2.4865417329071269</v>
      </c>
    </row>
    <row r="63" spans="3:41" x14ac:dyDescent="0.2">
      <c r="C63" t="s">
        <v>37</v>
      </c>
      <c r="D63">
        <v>-0.5</v>
      </c>
      <c r="E63" s="2">
        <f t="shared" ref="E63:E72" si="47">0.11*(1+D63)</f>
        <v>5.5E-2</v>
      </c>
      <c r="F63">
        <f t="dataTable" ref="F63:G83" dt2D="0" dtr="0" r1="B6" ca="1"/>
        <v>0.81858779700250384</v>
      </c>
      <c r="G63">
        <v>0.20007456507353569</v>
      </c>
      <c r="U63">
        <v>-0.5</v>
      </c>
      <c r="V63">
        <f t="shared" ref="V63:V83" si="48">0.15*(1+U63)</f>
        <v>7.4999999999999997E-2</v>
      </c>
      <c r="W63">
        <f t="dataTable" ref="W63:X83" dt2D="0" dtr="0" r1="B25" ca="1"/>
        <v>0.97369839935656977</v>
      </c>
      <c r="X63">
        <v>0.28036788133575413</v>
      </c>
      <c r="AI63">
        <v>550</v>
      </c>
      <c r="AJ63">
        <v>0.40755085979582245</v>
      </c>
      <c r="AK63">
        <v>0.92548350276448099</v>
      </c>
      <c r="AL63">
        <v>0.26679198379789282</v>
      </c>
      <c r="AM63">
        <f>MIN(MAX($AJ$52:$AJ$78)/MAX(AJ63, 0.01), 10)</f>
        <v>1.3930877377514737</v>
      </c>
      <c r="AN63">
        <f>MIN(MAX($AK$52:$AK$78)/MAX(AK63, 0.01), 10)</f>
        <v>1.0018430112237828</v>
      </c>
      <c r="AO63" s="2">
        <f t="shared" si="46"/>
        <v>2.3949307489752565</v>
      </c>
    </row>
    <row r="64" spans="3:41" x14ac:dyDescent="0.2">
      <c r="D64">
        <v>-0.45</v>
      </c>
      <c r="E64" s="2">
        <f t="shared" si="47"/>
        <v>6.0500000000000005E-2</v>
      </c>
      <c r="F64">
        <v>0.83608556254108191</v>
      </c>
      <c r="G64">
        <v>0.19864557389562346</v>
      </c>
      <c r="U64">
        <v>-0.45</v>
      </c>
      <c r="V64">
        <f t="shared" si="48"/>
        <v>8.2500000000000004E-2</v>
      </c>
      <c r="W64">
        <v>0.96879753170978045</v>
      </c>
      <c r="X64">
        <v>0.27898839012440679</v>
      </c>
      <c r="AI64">
        <v>600</v>
      </c>
      <c r="AJ64">
        <v>0.43677694720398325</v>
      </c>
      <c r="AK64">
        <v>0.90066809170636608</v>
      </c>
      <c r="AL64">
        <v>0.31153526810767102</v>
      </c>
      <c r="AM64">
        <f>MIN(MAX($AJ$52:$AJ$78)/MAX(AJ64, 0.01), 10)</f>
        <v>1.2998719573596869</v>
      </c>
      <c r="AN64">
        <f>MIN(MAX($AK$52:$AK$78)/MAX(AK64, 0.01), 10)</f>
        <v>1.0294460165574313</v>
      </c>
      <c r="AO64" s="2">
        <f t="shared" si="46"/>
        <v>2.3293179739171181</v>
      </c>
    </row>
    <row r="65" spans="4:41" x14ac:dyDescent="0.2">
      <c r="D65">
        <v>-0.4</v>
      </c>
      <c r="E65" s="2">
        <f t="shared" si="47"/>
        <v>6.6000000000000003E-2</v>
      </c>
      <c r="F65">
        <v>0.86453659628806645</v>
      </c>
      <c r="G65">
        <v>0.20410568742063639</v>
      </c>
      <c r="U65">
        <v>-0.4</v>
      </c>
      <c r="V65">
        <f t="shared" si="48"/>
        <v>0.09</v>
      </c>
      <c r="W65">
        <v>0.96391441018982538</v>
      </c>
      <c r="X65">
        <v>0.27761379490055282</v>
      </c>
      <c r="AI65">
        <v>650</v>
      </c>
      <c r="AJ65">
        <v>0.46470897896297481</v>
      </c>
      <c r="AK65">
        <v>0.84562647282190351</v>
      </c>
      <c r="AL65">
        <v>0.364274528322097</v>
      </c>
      <c r="AM65">
        <f>MIN(MAX($AJ$52:$AJ$78)/MAX(AJ65, 0.01), 10)</f>
        <v>1.2217411993170579</v>
      </c>
      <c r="AN65">
        <f>MIN(MAX($AK$52:$AK$78)/MAX(AK65, 0.01), 10)</f>
        <v>1.096452404278947</v>
      </c>
      <c r="AO65" s="2">
        <f t="shared" si="46"/>
        <v>2.3181936035960051</v>
      </c>
    </row>
    <row r="66" spans="4:41" x14ac:dyDescent="0.2">
      <c r="D66">
        <v>-0.35</v>
      </c>
      <c r="E66" s="2">
        <f t="shared" si="47"/>
        <v>7.1500000000000008E-2</v>
      </c>
      <c r="F66">
        <v>0.86846262787023454</v>
      </c>
      <c r="G66">
        <v>0.20402361997756763</v>
      </c>
      <c r="U66">
        <v>-0.35</v>
      </c>
      <c r="V66">
        <f t="shared" si="48"/>
        <v>9.7500000000000003E-2</v>
      </c>
      <c r="W66">
        <v>0.95904899476191785</v>
      </c>
      <c r="X66">
        <v>0.27624408477137224</v>
      </c>
      <c r="AI66">
        <v>700</v>
      </c>
      <c r="AJ66">
        <v>0.48839006473356988</v>
      </c>
      <c r="AK66">
        <v>0.76682182163423884</v>
      </c>
      <c r="AL66">
        <v>0.41811887462995945</v>
      </c>
      <c r="AM66">
        <f>MIN(MAX($AJ$52:$AJ$78)/MAX(AJ66, 0.01), 10)</f>
        <v>1.1625013412206811</v>
      </c>
      <c r="AN66">
        <f>MIN(MAX($AK$52:$AK$78)/MAX(AK66, 0.01), 10)</f>
        <v>1.2091324908718566</v>
      </c>
      <c r="AO66" s="2">
        <f t="shared" si="46"/>
        <v>2.3716338320925376</v>
      </c>
    </row>
    <row r="67" spans="4:41" x14ac:dyDescent="0.2">
      <c r="D67">
        <v>-0.3</v>
      </c>
      <c r="E67" s="2">
        <f t="shared" si="47"/>
        <v>7.6999999999999999E-2</v>
      </c>
      <c r="F67">
        <v>0.89012171783844196</v>
      </c>
      <c r="G67">
        <v>0.21382164047741664</v>
      </c>
      <c r="U67">
        <v>-0.3</v>
      </c>
      <c r="V67">
        <f t="shared" si="48"/>
        <v>0.105</v>
      </c>
      <c r="W67">
        <v>0.95420124543099893</v>
      </c>
      <c r="X67">
        <v>0.27487924885488685</v>
      </c>
      <c r="AI67">
        <v>750</v>
      </c>
      <c r="AJ67">
        <v>0.50769534297057373</v>
      </c>
      <c r="AK67">
        <v>0.67033751475772907</v>
      </c>
      <c r="AL67">
        <v>0.47034932069869562</v>
      </c>
      <c r="AM67">
        <f>MIN(MAX($AJ$52:$AJ$78)/MAX(AJ67, 0.01), 10)</f>
        <v>1.1182968549005139</v>
      </c>
      <c r="AN67">
        <f>MIN(MAX($AK$52:$AK$78)/MAX(AK67, 0.01), 10)</f>
        <v>1.3831676712627416</v>
      </c>
      <c r="AO67" s="2">
        <f t="shared" si="46"/>
        <v>2.5014645261632555</v>
      </c>
    </row>
    <row r="68" spans="4:41" x14ac:dyDescent="0.2">
      <c r="D68">
        <v>-0.25</v>
      </c>
      <c r="E68" s="2">
        <f t="shared" si="47"/>
        <v>8.2500000000000004E-2</v>
      </c>
      <c r="F68">
        <v>0.89856346264807163</v>
      </c>
      <c r="G68">
        <v>0.22704042924984039</v>
      </c>
      <c r="U68">
        <v>-0.25</v>
      </c>
      <c r="V68">
        <f t="shared" si="48"/>
        <v>0.11249999999999999</v>
      </c>
      <c r="W68">
        <v>0.94937112224173648</v>
      </c>
      <c r="X68">
        <v>0.27351927627996081</v>
      </c>
      <c r="AI68">
        <v>800</v>
      </c>
      <c r="AJ68">
        <v>0.52580925214902507</v>
      </c>
      <c r="AK68">
        <v>0.54571860083100288</v>
      </c>
      <c r="AL68">
        <v>0.52750622935891445</v>
      </c>
      <c r="AM68">
        <f>MIN(MAX($AJ$52:$AJ$78)/MAX(AJ68, 0.01), 10)</f>
        <v>1.0797719952077169</v>
      </c>
      <c r="AN68">
        <f>MIN(MAX($AK$52:$AK$78)/MAX(AK68, 0.01), 10)</f>
        <v>1.6990243283545909</v>
      </c>
      <c r="AO68" s="2">
        <f t="shared" si="46"/>
        <v>2.7787963235623079</v>
      </c>
    </row>
    <row r="69" spans="4:41" x14ac:dyDescent="0.2">
      <c r="D69">
        <v>-0.2</v>
      </c>
      <c r="E69" s="2">
        <f t="shared" si="47"/>
        <v>8.8000000000000009E-2</v>
      </c>
      <c r="F69">
        <v>0.90300445344698432</v>
      </c>
      <c r="G69">
        <v>0.22779794063333417</v>
      </c>
      <c r="U69">
        <v>-0.2</v>
      </c>
      <c r="V69">
        <f t="shared" si="48"/>
        <v>0.12</v>
      </c>
      <c r="W69">
        <v>0.94455858527852343</v>
      </c>
      <c r="X69">
        <v>0.27216415618629985</v>
      </c>
      <c r="AI69">
        <v>850</v>
      </c>
      <c r="AJ69">
        <v>0.54082266813144675</v>
      </c>
      <c r="AK69">
        <v>0.40786456478750344</v>
      </c>
      <c r="AL69">
        <v>0.58260334739459274</v>
      </c>
      <c r="AM69">
        <f>MIN(MAX($AJ$52:$AJ$78)/MAX(AJ69, 0.01), 10)</f>
        <v>1.0497971678096116</v>
      </c>
      <c r="AN69">
        <f>MIN(MAX($AK$52:$AK$78)/MAX(AK69, 0.01), 10)</f>
        <v>2.2732771103333413</v>
      </c>
      <c r="AO69" s="2">
        <f t="shared" si="46"/>
        <v>3.3230742781429532</v>
      </c>
    </row>
    <row r="70" spans="4:41" x14ac:dyDescent="0.2">
      <c r="D70">
        <v>-0.15</v>
      </c>
      <c r="E70" s="2">
        <f t="shared" si="47"/>
        <v>9.35E-2</v>
      </c>
      <c r="F70">
        <v>0.91501850959376196</v>
      </c>
      <c r="G70">
        <v>0.24672178240869319</v>
      </c>
      <c r="U70">
        <v>-0.15</v>
      </c>
      <c r="V70">
        <f t="shared" si="48"/>
        <v>0.1275</v>
      </c>
      <c r="W70">
        <v>0.93976359466548132</v>
      </c>
      <c r="X70">
        <v>0.27081387772445198</v>
      </c>
      <c r="AI70">
        <v>900</v>
      </c>
      <c r="AJ70">
        <v>0.5528984645059305</v>
      </c>
      <c r="AK70">
        <v>0.26517280506755797</v>
      </c>
      <c r="AL70">
        <v>0.6335877890446171</v>
      </c>
      <c r="AM70">
        <f>MIN(MAX($AJ$52:$AJ$78)/MAX(AJ70, 0.01), 10)</f>
        <v>1.0268686598704426</v>
      </c>
      <c r="AN70">
        <f>MIN(MAX($AK$52:$AK$78)/MAX(AK70, 0.01), 10)</f>
        <v>3.4965470120938011</v>
      </c>
      <c r="AO70" s="2">
        <f t="shared" si="46"/>
        <v>4.5234156719642442</v>
      </c>
    </row>
    <row r="71" spans="4:41" x14ac:dyDescent="0.2">
      <c r="D71">
        <v>-0.1</v>
      </c>
      <c r="E71" s="2">
        <f t="shared" si="47"/>
        <v>9.9000000000000005E-2</v>
      </c>
      <c r="F71">
        <v>0.93206968941763924</v>
      </c>
      <c r="G71">
        <v>0.24915005414501287</v>
      </c>
      <c r="U71">
        <v>-0.1</v>
      </c>
      <c r="V71">
        <f t="shared" si="48"/>
        <v>0.13500000000000001</v>
      </c>
      <c r="W71">
        <v>0.93498611056645675</v>
      </c>
      <c r="X71">
        <v>0.2694684300558069</v>
      </c>
      <c r="AI71">
        <v>950</v>
      </c>
      <c r="AJ71">
        <v>0.56177604038739093</v>
      </c>
      <c r="AK71">
        <v>0.13302283712171334</v>
      </c>
      <c r="AL71">
        <v>0.6763141196527156</v>
      </c>
      <c r="AM71">
        <f>MIN(MAX($AJ$52:$AJ$78)/MAX(AJ71, 0.01), 10)</f>
        <v>1.0106413667982654</v>
      </c>
      <c r="AN71">
        <f>MIN(MAX($AK$52:$AK$78)/MAX(AK71, 0.01), 10)</f>
        <v>6.9701503840212151</v>
      </c>
      <c r="AO71" s="2">
        <f t="shared" si="46"/>
        <v>7.9807917508194803</v>
      </c>
    </row>
    <row r="72" spans="4:41" x14ac:dyDescent="0.2">
      <c r="D72">
        <v>-0.05</v>
      </c>
      <c r="E72" s="2">
        <f t="shared" si="47"/>
        <v>0.1045</v>
      </c>
      <c r="F72">
        <v>0.92203891765852808</v>
      </c>
      <c r="G72">
        <v>0.26838769218348091</v>
      </c>
      <c r="U72">
        <v>-0.05</v>
      </c>
      <c r="V72">
        <f t="shared" si="48"/>
        <v>0.14249999999999999</v>
      </c>
      <c r="W72">
        <v>0.93022609318502314</v>
      </c>
      <c r="X72">
        <v>0.26812780235259576</v>
      </c>
      <c r="AI72">
        <v>1000</v>
      </c>
      <c r="AJ72">
        <v>0.56688830495191755</v>
      </c>
      <c r="AK72">
        <v>3.1764337900715575E-2</v>
      </c>
      <c r="AL72">
        <v>0.70386474718366399</v>
      </c>
      <c r="AM72">
        <f>MIN(MAX($AJ$52:$AJ$78)/MAX(AJ72, 0.01), 10)</f>
        <v>1.0015272855907411</v>
      </c>
      <c r="AN72">
        <f>MIN(MAX($AK$52:$AK$78)/MAX(AK72, 0.01), 10)</f>
        <v>10</v>
      </c>
      <c r="AO72" s="2">
        <f t="shared" si="46"/>
        <v>11.001527285590742</v>
      </c>
    </row>
    <row r="73" spans="4:41" x14ac:dyDescent="0.2">
      <c r="D73">
        <v>0</v>
      </c>
      <c r="E73" s="8">
        <f>0.11*(1+D73)</f>
        <v>0.11</v>
      </c>
      <c r="F73" s="7">
        <v>0.92548350276448099</v>
      </c>
      <c r="G73" s="7">
        <v>0.26679198379789282</v>
      </c>
      <c r="U73">
        <v>0</v>
      </c>
      <c r="V73" s="7">
        <f>0.15*(1+U73)</f>
        <v>0.15</v>
      </c>
      <c r="W73" s="7">
        <v>0.92548350276448099</v>
      </c>
      <c r="X73" s="7">
        <v>0.26679198379789282</v>
      </c>
      <c r="AI73">
        <v>1050</v>
      </c>
      <c r="AJ73">
        <v>0.56774056902938042</v>
      </c>
      <c r="AK73">
        <v>6.6894717282204642E-4</v>
      </c>
      <c r="AL73">
        <v>0.70874357802980426</v>
      </c>
      <c r="AM73">
        <f>MIN(MAX($AJ$52:$AJ$78)/MAX(AJ73, 0.01), 10)</f>
        <v>1.0000238423374834</v>
      </c>
      <c r="AN73">
        <f>MIN(MAX($AK$52:$AK$78)/MAX(AK73, 0.01), 10)</f>
        <v>10</v>
      </c>
      <c r="AO73" s="2">
        <f t="shared" si="46"/>
        <v>11.000023842337484</v>
      </c>
    </row>
    <row r="74" spans="4:41" x14ac:dyDescent="0.2">
      <c r="D74">
        <v>0.05</v>
      </c>
      <c r="E74" s="2">
        <f t="shared" ref="E74:E83" si="49">0.11*(1+D74)</f>
        <v>0.11550000000000001</v>
      </c>
      <c r="F74">
        <v>0.93675413015638331</v>
      </c>
      <c r="G74">
        <v>0.27891698843594298</v>
      </c>
      <c r="U74">
        <v>0.05</v>
      </c>
      <c r="V74">
        <f t="shared" si="48"/>
        <v>0.1575</v>
      </c>
      <c r="W74">
        <v>0.92075829958785593</v>
      </c>
      <c r="X74">
        <v>0.26546096358561294</v>
      </c>
      <c r="AI74">
        <v>1100</v>
      </c>
      <c r="AJ74">
        <v>0.56775391796814489</v>
      </c>
      <c r="AK74">
        <v>9.0204962894235485E-6</v>
      </c>
      <c r="AL74">
        <v>0.70882059919554907</v>
      </c>
      <c r="AM74">
        <f>MIN(MAX($AJ$52:$AJ$78)/MAX(AJ74, 0.01), 10)</f>
        <v>1.000000329937812</v>
      </c>
      <c r="AN74">
        <f>MIN(MAX($AK$52:$AK$78)/MAX(AK74, 0.01), 10)</f>
        <v>10</v>
      </c>
      <c r="AO74" s="2">
        <f t="shared" si="46"/>
        <v>11.000000329937812</v>
      </c>
    </row>
    <row r="75" spans="4:41" x14ac:dyDescent="0.2">
      <c r="D75">
        <v>0.1</v>
      </c>
      <c r="E75" s="2">
        <f t="shared" si="49"/>
        <v>0.12100000000000001</v>
      </c>
      <c r="F75">
        <v>0.93976381244308083</v>
      </c>
      <c r="G75">
        <v>0.30426262241112223</v>
      </c>
      <c r="U75">
        <v>0.1</v>
      </c>
      <c r="V75">
        <f t="shared" si="48"/>
        <v>0.16500000000000001</v>
      </c>
      <c r="W75">
        <v>0.9160504439779027</v>
      </c>
      <c r="X75">
        <v>0.26413473092051387</v>
      </c>
      <c r="AI75">
        <v>1150</v>
      </c>
      <c r="AJ75">
        <v>0.56775410154532069</v>
      </c>
      <c r="AK75">
        <v>1.7494659025919601E-7</v>
      </c>
      <c r="AL75">
        <v>0.70882165689759724</v>
      </c>
      <c r="AM75">
        <f>MIN(MAX($AJ$52:$AJ$78)/MAX(AJ75, 0.01), 10)</f>
        <v>1.000000006598472</v>
      </c>
      <c r="AN75">
        <f>MIN(MAX($AK$52:$AK$78)/MAX(AK75, 0.01), 10)</f>
        <v>10</v>
      </c>
      <c r="AO75" s="2">
        <f t="shared" si="46"/>
        <v>11.000000006598473</v>
      </c>
    </row>
    <row r="76" spans="4:41" x14ac:dyDescent="0.2">
      <c r="D76">
        <v>0.15</v>
      </c>
      <c r="E76" s="2">
        <f t="shared" si="49"/>
        <v>0.1265</v>
      </c>
      <c r="F76">
        <v>0.94682549649121794</v>
      </c>
      <c r="G76">
        <v>0.31079072147722181</v>
      </c>
      <c r="U76">
        <v>0.15</v>
      </c>
      <c r="V76">
        <f t="shared" si="48"/>
        <v>0.17249999999999999</v>
      </c>
      <c r="W76">
        <v>0.91135989629710046</v>
      </c>
      <c r="X76">
        <v>0.26281327501819479</v>
      </c>
      <c r="AI76">
        <v>1200</v>
      </c>
      <c r="AJ76">
        <v>0.56775410518769309</v>
      </c>
      <c r="AK76">
        <v>4.7232269355696844E-9</v>
      </c>
      <c r="AL76">
        <v>0.7088216778507983</v>
      </c>
      <c r="AM76">
        <f>MIN(MAX($AJ$52:$AJ$78)/MAX(AJ76, 0.01), 10)</f>
        <v>1.0000000001830673</v>
      </c>
      <c r="AN76">
        <f>MIN(MAX($AK$52:$AK$78)/MAX(AK76, 0.01), 10)</f>
        <v>10</v>
      </c>
      <c r="AO76" s="2">
        <f t="shared" si="46"/>
        <v>11.000000000183068</v>
      </c>
    </row>
    <row r="77" spans="4:41" x14ac:dyDescent="0.2">
      <c r="D77">
        <v>0.2</v>
      </c>
      <c r="E77" s="2">
        <f t="shared" si="49"/>
        <v>0.13200000000000001</v>
      </c>
      <c r="F77">
        <v>0.96017757496890155</v>
      </c>
      <c r="G77">
        <v>0.31034036304051626</v>
      </c>
      <c r="U77">
        <v>0.2</v>
      </c>
      <c r="V77">
        <f t="shared" si="48"/>
        <v>0.18</v>
      </c>
      <c r="W77">
        <v>0.90668661694765429</v>
      </c>
      <c r="X77">
        <v>0.26149658510509699</v>
      </c>
      <c r="AC77" s="6"/>
      <c r="AI77">
        <v>1250</v>
      </c>
      <c r="AJ77">
        <v>0.56775410528795045</v>
      </c>
      <c r="AK77">
        <v>1.7061748421163059E-10</v>
      </c>
      <c r="AL77">
        <v>0.70882167842663979</v>
      </c>
      <c r="AM77">
        <f>MIN(MAX($AJ$52:$AJ$78)/MAX(AJ77, 0.01), 10)</f>
        <v>1.0000000000064815</v>
      </c>
      <c r="AN77">
        <f>MIN(MAX($AK$52:$AK$78)/MAX(AK77, 0.01), 10)</f>
        <v>10</v>
      </c>
      <c r="AO77" s="2">
        <f t="shared" si="46"/>
        <v>11.000000000006482</v>
      </c>
    </row>
    <row r="78" spans="4:41" x14ac:dyDescent="0.2">
      <c r="D78">
        <v>0.25</v>
      </c>
      <c r="E78" s="2">
        <f t="shared" si="49"/>
        <v>0.13750000000000001</v>
      </c>
      <c r="F78">
        <v>0.95240707183912598</v>
      </c>
      <c r="G78">
        <v>0.32634929862864798</v>
      </c>
      <c r="U78">
        <v>0.25</v>
      </c>
      <c r="V78">
        <f t="shared" si="48"/>
        <v>0.1875</v>
      </c>
      <c r="W78">
        <v>0.90203056637149792</v>
      </c>
      <c r="X78">
        <v>0.26018465041850325</v>
      </c>
      <c r="AC78" s="6"/>
      <c r="AI78">
        <v>1300</v>
      </c>
      <c r="AJ78">
        <v>0.56775410529163028</v>
      </c>
      <c r="AK78">
        <v>7.9732606614445101E-12</v>
      </c>
      <c r="AL78">
        <v>0.70882167844774358</v>
      </c>
      <c r="AM78">
        <f>MIN(MAX($AJ$52:$AJ$78)/MAX(AJ78, 0.01), 10)</f>
        <v>1</v>
      </c>
      <c r="AN78">
        <f>MIN(MAX($AK$52:$AK$78)/MAX(AK78, 0.01), 10)</f>
        <v>10</v>
      </c>
      <c r="AO78" s="2">
        <f t="shared" si="46"/>
        <v>11</v>
      </c>
    </row>
    <row r="79" spans="4:41" x14ac:dyDescent="0.2">
      <c r="D79">
        <v>0.3</v>
      </c>
      <c r="E79" s="2">
        <f t="shared" si="49"/>
        <v>0.14300000000000002</v>
      </c>
      <c r="F79">
        <v>0.93630065328698786</v>
      </c>
      <c r="G79">
        <v>0.34189998578294023</v>
      </c>
      <c r="U79">
        <v>0.3</v>
      </c>
      <c r="V79">
        <f t="shared" si="48"/>
        <v>0.19500000000000001</v>
      </c>
      <c r="W79">
        <v>0.89739170505028842</v>
      </c>
      <c r="X79">
        <v>0.25887746020653868</v>
      </c>
      <c r="AC79" s="6"/>
    </row>
    <row r="80" spans="4:41" x14ac:dyDescent="0.2">
      <c r="D80">
        <v>0.35</v>
      </c>
      <c r="E80" s="2">
        <f t="shared" si="49"/>
        <v>0.14850000000000002</v>
      </c>
      <c r="F80">
        <v>0.93467741819322403</v>
      </c>
      <c r="G80">
        <v>0.35760819489655621</v>
      </c>
      <c r="U80">
        <v>0.35</v>
      </c>
      <c r="V80">
        <f t="shared" si="48"/>
        <v>0.20250000000000001</v>
      </c>
      <c r="W80">
        <v>0.89276999350541297</v>
      </c>
      <c r="X80">
        <v>0.2575750037281701</v>
      </c>
      <c r="AC80" s="6"/>
    </row>
    <row r="81" spans="4:41" x14ac:dyDescent="0.2">
      <c r="D81">
        <v>0.4</v>
      </c>
      <c r="E81" s="2">
        <f t="shared" si="49"/>
        <v>0.154</v>
      </c>
      <c r="F81">
        <v>0.94748572089863736</v>
      </c>
      <c r="G81">
        <v>0.35040983346638854</v>
      </c>
      <c r="U81">
        <v>0.4</v>
      </c>
      <c r="V81">
        <f t="shared" si="48"/>
        <v>0.21</v>
      </c>
      <c r="W81">
        <v>0.88816539229798175</v>
      </c>
      <c r="X81">
        <v>0.25627727025320618</v>
      </c>
      <c r="AC81" s="6"/>
    </row>
    <row r="82" spans="4:41" x14ac:dyDescent="0.2">
      <c r="D82">
        <v>0.45</v>
      </c>
      <c r="E82" s="2">
        <f t="shared" si="49"/>
        <v>0.1595</v>
      </c>
      <c r="F82">
        <v>0.95768038483721518</v>
      </c>
      <c r="G82">
        <v>0.35537836838713371</v>
      </c>
      <c r="U82">
        <v>0.45</v>
      </c>
      <c r="V82">
        <f t="shared" si="48"/>
        <v>0.2175</v>
      </c>
      <c r="W82">
        <v>0.88357786202883448</v>
      </c>
      <c r="X82">
        <v>0.25498424906229772</v>
      </c>
      <c r="AC82" s="6"/>
    </row>
    <row r="83" spans="4:41" x14ac:dyDescent="0.2">
      <c r="D83">
        <v>0.5</v>
      </c>
      <c r="E83" s="2">
        <f t="shared" si="49"/>
        <v>0.16500000000000001</v>
      </c>
      <c r="F83">
        <v>0.95873089328005767</v>
      </c>
      <c r="G83">
        <v>0.37353719443027006</v>
      </c>
      <c r="U83">
        <v>0.5</v>
      </c>
      <c r="V83">
        <f t="shared" si="48"/>
        <v>0.22499999999999998</v>
      </c>
      <c r="W83">
        <v>0.87900736333853402</v>
      </c>
      <c r="X83">
        <v>0.25369592944693681</v>
      </c>
      <c r="AC83" s="6"/>
    </row>
    <row r="84" spans="4:41" x14ac:dyDescent="0.2">
      <c r="E84" s="6"/>
      <c r="AC84" s="6"/>
    </row>
    <row r="85" spans="4:41" x14ac:dyDescent="0.2">
      <c r="E85" s="6"/>
      <c r="AC85" s="6"/>
      <c r="AJ85" t="s">
        <v>41</v>
      </c>
      <c r="AK85" t="s">
        <v>16</v>
      </c>
      <c r="AL85" t="s">
        <v>17</v>
      </c>
      <c r="AM85" t="s">
        <v>45</v>
      </c>
      <c r="AN85" t="s">
        <v>44</v>
      </c>
      <c r="AO85" s="6" t="s">
        <v>46</v>
      </c>
    </row>
    <row r="86" spans="4:41" x14ac:dyDescent="0.2">
      <c r="AC86" s="6"/>
      <c r="AJ86">
        <f>Mem_Catch</f>
        <v>0.40755085979582245</v>
      </c>
      <c r="AK86">
        <f>Yield</f>
        <v>0.92548350276448099</v>
      </c>
      <c r="AL86">
        <f>SPR</f>
        <v>0.26679198379789282</v>
      </c>
      <c r="AO86" s="6"/>
    </row>
    <row r="87" spans="4:41" x14ac:dyDescent="0.2">
      <c r="AC87" s="6"/>
      <c r="AI87">
        <v>550</v>
      </c>
      <c r="AJ87">
        <f t="dataTable" ref="AJ87:AL113" dt2D="0" dtr="0" r1="B17" ca="1"/>
        <v>0.5677541052918158</v>
      </c>
      <c r="AK87">
        <v>0</v>
      </c>
      <c r="AL87">
        <v>0.70882167844880473</v>
      </c>
      <c r="AM87">
        <f>MIN(MAX($AJ$52:$AJ$78)/MAX(AJ87, 0.01), 10)</f>
        <v>0.99999999999967326</v>
      </c>
      <c r="AN87">
        <f>MIN(MAX($AK$52:$AK$78)/MAX(AK87, 0.01), 10)</f>
        <v>10</v>
      </c>
      <c r="AO87" s="2">
        <f>AM87+AN87</f>
        <v>10.999999999999673</v>
      </c>
    </row>
    <row r="88" spans="4:41" x14ac:dyDescent="0.2">
      <c r="AC88" s="6"/>
      <c r="AI88">
        <v>600</v>
      </c>
      <c r="AJ88">
        <v>0.51687051674833517</v>
      </c>
      <c r="AK88">
        <v>0.17840079019765262</v>
      </c>
      <c r="AL88">
        <v>0.59727406510718506</v>
      </c>
      <c r="AM88">
        <f>MIN(MAX($AJ$52:$AJ$78)/MAX(AJ88, 0.01), 10)</f>
        <v>1.0984455233844774</v>
      </c>
      <c r="AN88">
        <f>MIN(MAX($AK$52:$AK$78)/MAX(AK88, 0.01), 10)</f>
        <v>5.1972257422192829</v>
      </c>
      <c r="AO88" s="2">
        <f t="shared" ref="AO88:AO113" si="50">AM88+AN88</f>
        <v>6.2956712656037599</v>
      </c>
    </row>
    <row r="89" spans="4:41" x14ac:dyDescent="0.2">
      <c r="AC89" s="6"/>
      <c r="AI89">
        <v>650</v>
      </c>
      <c r="AJ89">
        <v>0.47573374164424354</v>
      </c>
      <c r="AK89">
        <v>0.36962511493786332</v>
      </c>
      <c r="AL89">
        <v>0.49394021215635958</v>
      </c>
      <c r="AM89">
        <f>MIN(MAX($AJ$52:$AJ$78)/MAX(AJ89, 0.01), 10)</f>
        <v>1.1934282889612655</v>
      </c>
      <c r="AN89">
        <f>MIN(MAX($AK$52:$AK$78)/MAX(AK89, 0.01), 10)</f>
        <v>2.5084582777968674</v>
      </c>
      <c r="AO89" s="2">
        <f t="shared" si="50"/>
        <v>3.7018865667581329</v>
      </c>
    </row>
    <row r="90" spans="4:41" x14ac:dyDescent="0.2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AC90" s="6"/>
      <c r="AI90">
        <v>700</v>
      </c>
      <c r="AJ90">
        <v>0.44817505368211696</v>
      </c>
      <c r="AK90">
        <v>0.53459698227526198</v>
      </c>
      <c r="AL90">
        <v>0.41524517236734909</v>
      </c>
      <c r="AM90">
        <f>MIN(MAX($AJ$52:$AJ$78)/MAX(AJ90, 0.01), 10)</f>
        <v>1.2668132700092869</v>
      </c>
      <c r="AN90">
        <f>MIN(MAX($AK$52:$AK$78)/MAX(AK90, 0.01), 10)</f>
        <v>1.7343703948745741</v>
      </c>
      <c r="AO90" s="2">
        <f t="shared" si="50"/>
        <v>3.001183664883861</v>
      </c>
    </row>
    <row r="91" spans="4:41" x14ac:dyDescent="0.2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AC91" s="6"/>
      <c r="AI91">
        <v>750</v>
      </c>
      <c r="AJ91">
        <v>0.43106655627238832</v>
      </c>
      <c r="AK91">
        <v>0.66417180467546366</v>
      </c>
      <c r="AL91">
        <v>0.35993524608218108</v>
      </c>
      <c r="AM91">
        <f>MIN(MAX($AJ$52:$AJ$78)/MAX(AJ91, 0.01), 10)</f>
        <v>1.3170915187697139</v>
      </c>
      <c r="AN91">
        <f>MIN(MAX($AK$52:$AK$78)/MAX(AK91, 0.01), 10)</f>
        <v>1.3960080399687504</v>
      </c>
      <c r="AO91" s="2">
        <f t="shared" si="50"/>
        <v>2.7130995587384641</v>
      </c>
    </row>
    <row r="92" spans="4:41" x14ac:dyDescent="0.2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AC92" s="6"/>
      <c r="AI92">
        <v>800</v>
      </c>
      <c r="AJ92">
        <v>0.41919229715837258</v>
      </c>
      <c r="AK92">
        <v>0.77476087674975047</v>
      </c>
      <c r="AL92">
        <v>0.31697916256347031</v>
      </c>
      <c r="AM92">
        <f>MIN(MAX($AJ$52:$AJ$78)/MAX(AJ92, 0.01), 10)</f>
        <v>1.3544001384098201</v>
      </c>
      <c r="AN92">
        <f>MIN(MAX($AK$52:$AK$78)/MAX(AK92, 0.01), 10)</f>
        <v>1.1967423847435523</v>
      </c>
      <c r="AO92" s="2">
        <f t="shared" si="50"/>
        <v>2.5511425231533726</v>
      </c>
    </row>
    <row r="93" spans="4:41" x14ac:dyDescent="0.2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AC93" s="6"/>
      <c r="AI93">
        <v>850</v>
      </c>
      <c r="AJ93">
        <v>0.41246515130717443</v>
      </c>
      <c r="AK93">
        <v>0.85151657769067224</v>
      </c>
      <c r="AL93">
        <v>0.28974927853276039</v>
      </c>
      <c r="AM93">
        <f>MIN(MAX($AJ$52:$AJ$78)/MAX(AJ93, 0.01), 10)</f>
        <v>1.3764898767624802</v>
      </c>
      <c r="AN93">
        <f>MIN(MAX($AK$52:$AK$78)/MAX(AK93, 0.01), 10)</f>
        <v>1.0888680309220227</v>
      </c>
      <c r="AO93" s="2">
        <f t="shared" si="50"/>
        <v>2.4653579076845027</v>
      </c>
    </row>
    <row r="94" spans="4:41" x14ac:dyDescent="0.2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AC94" s="6"/>
      <c r="AI94">
        <v>900</v>
      </c>
      <c r="AJ94">
        <v>0.40911062449414182</v>
      </c>
      <c r="AK94">
        <v>0.89789808028324303</v>
      </c>
      <c r="AL94">
        <v>0.27465826337192639</v>
      </c>
      <c r="AM94">
        <f>MIN(MAX($AJ$52:$AJ$78)/MAX(AJ94, 0.01), 10)</f>
        <v>1.3877764870898877</v>
      </c>
      <c r="AN94">
        <f>MIN(MAX($AK$52:$AK$78)/MAX(AK94, 0.01), 10)</f>
        <v>1.0326218527552913</v>
      </c>
      <c r="AO94" s="2">
        <f t="shared" si="50"/>
        <v>2.4203983398451792</v>
      </c>
    </row>
    <row r="95" spans="4:41" x14ac:dyDescent="0.2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AC95" s="6"/>
      <c r="AI95">
        <v>950</v>
      </c>
      <c r="AJ95">
        <v>0.40783354902360491</v>
      </c>
      <c r="AK95">
        <v>0.91934672906245618</v>
      </c>
      <c r="AL95">
        <v>0.26831858229801453</v>
      </c>
      <c r="AM95">
        <f>MIN(MAX($AJ$52:$AJ$78)/MAX(AJ95, 0.01), 10)</f>
        <v>1.3921221210243528</v>
      </c>
      <c r="AN95">
        <f>MIN(MAX($AK$52:$AK$78)/MAX(AK95, 0.01), 10)</f>
        <v>1.0085304596591573</v>
      </c>
      <c r="AO95" s="2">
        <f t="shared" si="50"/>
        <v>2.4006525806835102</v>
      </c>
    </row>
    <row r="96" spans="4:41" x14ac:dyDescent="0.2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AI96">
        <v>1000</v>
      </c>
      <c r="AJ96">
        <v>0.40756409367592883</v>
      </c>
      <c r="AK96">
        <v>0.9250895446055788</v>
      </c>
      <c r="AL96">
        <v>0.26686656399605752</v>
      </c>
      <c r="AM96">
        <f>MIN(MAX($AJ$52:$AJ$78)/MAX(AJ96, 0.01), 10)</f>
        <v>1.3930425032561264</v>
      </c>
      <c r="AN96">
        <f>MIN(MAX($AK$52:$AK$78)/MAX(AK96, 0.01), 10)</f>
        <v>1.0022696555746051</v>
      </c>
      <c r="AO96" s="2">
        <f t="shared" si="50"/>
        <v>2.3953121588307313</v>
      </c>
    </row>
    <row r="97" spans="5:41" x14ac:dyDescent="0.2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AI97">
        <v>1050</v>
      </c>
      <c r="AJ97">
        <v>0.4075510116533213</v>
      </c>
      <c r="AK97">
        <v>0.92547863211651249</v>
      </c>
      <c r="AL97">
        <v>0.26679284187613772</v>
      </c>
      <c r="AM97">
        <f>MIN(MAX($AJ$52:$AJ$78)/MAX(AJ97, 0.01), 10)</f>
        <v>1.3930872186733374</v>
      </c>
      <c r="AN97">
        <f>MIN(MAX($AK$52:$AK$78)/MAX(AK97, 0.01), 10)</f>
        <v>1.0018482837654257</v>
      </c>
      <c r="AO97" s="2">
        <f t="shared" si="50"/>
        <v>2.3949355024387629</v>
      </c>
    </row>
    <row r="98" spans="5:41" x14ac:dyDescent="0.2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AI98">
        <v>1100</v>
      </c>
      <c r="AJ98">
        <v>0.40755086195048618</v>
      </c>
      <c r="AK98">
        <v>0.92548343601314587</v>
      </c>
      <c r="AL98">
        <v>0.26679199593344399</v>
      </c>
      <c r="AM98">
        <f>MIN(MAX($AJ$52:$AJ$78)/MAX(AJ98, 0.01), 10)</f>
        <v>1.393087730386416</v>
      </c>
      <c r="AN98">
        <f>MIN(MAX($AK$52:$AK$78)/MAX(AK98, 0.01), 10)</f>
        <v>1.0018430834826217</v>
      </c>
      <c r="AO98" s="2">
        <f t="shared" si="50"/>
        <v>2.3949308138690375</v>
      </c>
    </row>
    <row r="99" spans="5:41" x14ac:dyDescent="0.2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AI99">
        <v>1150</v>
      </c>
      <c r="AJ99">
        <v>0.40755085984023076</v>
      </c>
      <c r="AK99">
        <v>0.92548350143463853</v>
      </c>
      <c r="AL99">
        <v>0.2667919840471692</v>
      </c>
      <c r="AM99">
        <f>MIN(MAX($AJ$52:$AJ$78)/MAX(AJ99, 0.01), 10)</f>
        <v>1.3930877375996773</v>
      </c>
      <c r="AN99">
        <f>MIN(MAX($AK$52:$AK$78)/MAX(AK99, 0.01), 10)</f>
        <v>1.0018430126633475</v>
      </c>
      <c r="AO99" s="2">
        <f t="shared" si="50"/>
        <v>2.3949307502630246</v>
      </c>
    </row>
    <row r="100" spans="5:41" x14ac:dyDescent="0.2">
      <c r="AI100">
        <v>1200</v>
      </c>
      <c r="AJ100">
        <v>0.40755085979709388</v>
      </c>
      <c r="AK100">
        <v>0.92548350272759561</v>
      </c>
      <c r="AL100">
        <v>0.26679198380500552</v>
      </c>
      <c r="AM100">
        <f>MIN(MAX($AJ$52:$AJ$78)/MAX(AJ100, 0.01), 10)</f>
        <v>1.3930877377471276</v>
      </c>
      <c r="AN100">
        <f>MIN(MAX($AK$52:$AK$78)/MAX(AK100, 0.01), 10)</f>
        <v>1.0018430112637116</v>
      </c>
      <c r="AO100" s="2">
        <f t="shared" si="50"/>
        <v>2.3949307490108391</v>
      </c>
    </row>
    <row r="101" spans="5:41" x14ac:dyDescent="0.2">
      <c r="AI101">
        <v>1250</v>
      </c>
      <c r="AJ101">
        <v>0.40755085979587086</v>
      </c>
      <c r="AK101">
        <v>0.92548350276311231</v>
      </c>
      <c r="AL101">
        <v>0.26679198379816366</v>
      </c>
      <c r="AM101">
        <f>MIN(MAX($AJ$52:$AJ$78)/MAX(AJ101, 0.01), 10)</f>
        <v>1.3930877377513082</v>
      </c>
      <c r="AN101">
        <f>MIN(MAX($AK$52:$AK$78)/MAX(AK101, 0.01), 10)</f>
        <v>1.0018430112252645</v>
      </c>
      <c r="AO101" s="2">
        <f t="shared" si="50"/>
        <v>2.3949307489765728</v>
      </c>
    </row>
    <row r="102" spans="5:41" x14ac:dyDescent="0.2">
      <c r="AI102">
        <v>1300</v>
      </c>
      <c r="AJ102">
        <v>0.40755085979582478</v>
      </c>
      <c r="AK102">
        <v>0.92548350276441482</v>
      </c>
      <c r="AL102">
        <v>0.26679198379790608</v>
      </c>
      <c r="AM102">
        <f>MIN(MAX($AJ$52:$AJ$78)/MAX(AJ102, 0.01), 10)</f>
        <v>1.3930877377514657</v>
      </c>
      <c r="AN102">
        <f>MIN(MAX($AK$52:$AK$78)/MAX(AK102, 0.01), 10)</f>
        <v>1.0018430112238546</v>
      </c>
      <c r="AO102" s="2">
        <f t="shared" si="50"/>
        <v>2.3949307489753204</v>
      </c>
    </row>
    <row r="103" spans="5:41" x14ac:dyDescent="0.2">
      <c r="AI103">
        <v>1350</v>
      </c>
      <c r="AJ103">
        <v>0.40755085979582256</v>
      </c>
      <c r="AK103">
        <v>0.92548350276447722</v>
      </c>
      <c r="AL103">
        <v>0.26679198379789359</v>
      </c>
      <c r="AM103">
        <f>MIN(MAX($AJ$52:$AJ$78)/MAX(AJ103, 0.01), 10)</f>
        <v>1.3930877377514732</v>
      </c>
      <c r="AN103">
        <f>MIN(MAX($AK$52:$AK$78)/MAX(AK103, 0.01), 10)</f>
        <v>1.0018430112237868</v>
      </c>
      <c r="AO103" s="2">
        <f t="shared" si="50"/>
        <v>2.39493074897526</v>
      </c>
    </row>
    <row r="104" spans="5:41" x14ac:dyDescent="0.2">
      <c r="AI104">
        <v>1400</v>
      </c>
      <c r="AJ104">
        <v>0.40755085979582245</v>
      </c>
      <c r="AK104">
        <v>0.92548350276448077</v>
      </c>
      <c r="AL104">
        <v>0.26679198379789282</v>
      </c>
      <c r="AM104">
        <f>MIN(MAX($AJ$52:$AJ$78)/MAX(AJ104, 0.01), 10)</f>
        <v>1.3930877377514737</v>
      </c>
      <c r="AN104">
        <f>MIN(MAX($AK$52:$AK$78)/MAX(AK104, 0.01), 10)</f>
        <v>1.0018430112237831</v>
      </c>
      <c r="AO104" s="2">
        <f t="shared" si="50"/>
        <v>2.3949307489752565</v>
      </c>
    </row>
    <row r="105" spans="5:41" x14ac:dyDescent="0.2">
      <c r="E105" s="6"/>
      <c r="AI105">
        <v>1450</v>
      </c>
      <c r="AJ105">
        <v>0.40755085979582245</v>
      </c>
      <c r="AK105">
        <v>0.92548350276448099</v>
      </c>
      <c r="AL105">
        <v>0.26679198379789282</v>
      </c>
      <c r="AM105">
        <f>MIN(MAX($AJ$52:$AJ$78)/MAX(AJ105, 0.01), 10)</f>
        <v>1.3930877377514737</v>
      </c>
      <c r="AN105">
        <f>MIN(MAX($AK$52:$AK$78)/MAX(AK105, 0.01), 10)</f>
        <v>1.0018430112237828</v>
      </c>
      <c r="AO105" s="2">
        <f t="shared" si="50"/>
        <v>2.3949307489752565</v>
      </c>
    </row>
    <row r="106" spans="5:41" x14ac:dyDescent="0.2">
      <c r="E106" s="6"/>
      <c r="AF106" s="6"/>
      <c r="AI106">
        <v>1500</v>
      </c>
      <c r="AJ106">
        <v>0.40755085979582245</v>
      </c>
      <c r="AK106">
        <v>0.92548350276448099</v>
      </c>
      <c r="AL106">
        <v>0.26679198379789282</v>
      </c>
      <c r="AM106">
        <f>MIN(MAX($AJ$52:$AJ$78)/MAX(AJ106, 0.01), 10)</f>
        <v>1.3930877377514737</v>
      </c>
      <c r="AN106">
        <f>MIN(MAX($AK$52:$AK$78)/MAX(AK106, 0.01), 10)</f>
        <v>1.0018430112237828</v>
      </c>
      <c r="AO106" s="2">
        <f t="shared" si="50"/>
        <v>2.3949307489752565</v>
      </c>
    </row>
    <row r="107" spans="5:41" x14ac:dyDescent="0.2">
      <c r="E107" s="6"/>
      <c r="AF107" s="6"/>
      <c r="AI107">
        <v>1550</v>
      </c>
      <c r="AJ107">
        <v>0.40755085979582245</v>
      </c>
      <c r="AK107">
        <v>0.92548350276448099</v>
      </c>
      <c r="AL107">
        <v>0.26679198379789282</v>
      </c>
      <c r="AM107">
        <f>MIN(MAX($AJ$52:$AJ$78)/MAX(AJ107, 0.01), 10)</f>
        <v>1.3930877377514737</v>
      </c>
      <c r="AN107">
        <f>MIN(MAX($AK$52:$AK$78)/MAX(AK107, 0.01), 10)</f>
        <v>1.0018430112237828</v>
      </c>
      <c r="AO107" s="2">
        <f t="shared" si="50"/>
        <v>2.3949307489752565</v>
      </c>
    </row>
    <row r="108" spans="5:41" x14ac:dyDescent="0.2">
      <c r="E108" s="6"/>
      <c r="AF108" s="6"/>
      <c r="AI108">
        <v>1600</v>
      </c>
      <c r="AJ108">
        <v>0.40755085979582245</v>
      </c>
      <c r="AK108">
        <v>0.92548350276448099</v>
      </c>
      <c r="AL108">
        <v>0.26679198379789282</v>
      </c>
      <c r="AM108">
        <f>MIN(MAX($AJ$52:$AJ$78)/MAX(AJ108, 0.01), 10)</f>
        <v>1.3930877377514737</v>
      </c>
      <c r="AN108">
        <f>MIN(MAX($AK$52:$AK$78)/MAX(AK108, 0.01), 10)</f>
        <v>1.0018430112237828</v>
      </c>
      <c r="AO108" s="2">
        <f t="shared" si="50"/>
        <v>2.3949307489752565</v>
      </c>
    </row>
    <row r="109" spans="5:41" x14ac:dyDescent="0.2">
      <c r="E109" s="6"/>
      <c r="AF109" s="6"/>
      <c r="AI109">
        <v>1650</v>
      </c>
      <c r="AJ109">
        <v>0.40755085979582245</v>
      </c>
      <c r="AK109">
        <v>0.92548350276448099</v>
      </c>
      <c r="AL109">
        <v>0.26679198379789282</v>
      </c>
      <c r="AM109">
        <f>MIN(MAX($AJ$52:$AJ$78)/MAX(AJ109, 0.01), 10)</f>
        <v>1.3930877377514737</v>
      </c>
      <c r="AN109">
        <f>MIN(MAX($AK$52:$AK$78)/MAX(AK109, 0.01), 10)</f>
        <v>1.0018430112237828</v>
      </c>
      <c r="AO109" s="2">
        <f t="shared" si="50"/>
        <v>2.3949307489752565</v>
      </c>
    </row>
    <row r="110" spans="5:41" x14ac:dyDescent="0.2">
      <c r="E110" s="6"/>
      <c r="AF110" s="6"/>
      <c r="AI110">
        <v>1700</v>
      </c>
      <c r="AJ110">
        <v>0.40755085979582245</v>
      </c>
      <c r="AK110">
        <v>0.92548350276448099</v>
      </c>
      <c r="AL110">
        <v>0.26679198379789282</v>
      </c>
      <c r="AM110">
        <f>MIN(MAX($AJ$52:$AJ$78)/MAX(AJ110, 0.01), 10)</f>
        <v>1.3930877377514737</v>
      </c>
      <c r="AN110">
        <f>MIN(MAX($AK$52:$AK$78)/MAX(AK110, 0.01), 10)</f>
        <v>1.0018430112237828</v>
      </c>
      <c r="AO110" s="2">
        <f t="shared" si="50"/>
        <v>2.3949307489752565</v>
      </c>
    </row>
    <row r="111" spans="5:41" x14ac:dyDescent="0.2">
      <c r="E111" s="6"/>
      <c r="AF111" s="6"/>
      <c r="AI111">
        <v>1750</v>
      </c>
      <c r="AJ111">
        <v>0.40755085979582245</v>
      </c>
      <c r="AK111">
        <v>0.92548350276448099</v>
      </c>
      <c r="AL111">
        <v>0.26679198379789282</v>
      </c>
      <c r="AM111">
        <f>MIN(MAX($AJ$52:$AJ$78)/MAX(AJ111, 0.01), 10)</f>
        <v>1.3930877377514737</v>
      </c>
      <c r="AN111">
        <f>MIN(MAX($AK$52:$AK$78)/MAX(AK111, 0.01), 10)</f>
        <v>1.0018430112237828</v>
      </c>
      <c r="AO111" s="2">
        <f t="shared" si="50"/>
        <v>2.3949307489752565</v>
      </c>
    </row>
    <row r="112" spans="5:41" x14ac:dyDescent="0.2">
      <c r="E112" s="6"/>
      <c r="AF112" s="6"/>
      <c r="AI112">
        <v>1800</v>
      </c>
      <c r="AJ112">
        <v>0.40755085979582245</v>
      </c>
      <c r="AK112">
        <v>0.92548350276448099</v>
      </c>
      <c r="AL112">
        <v>0.26679198379789282</v>
      </c>
      <c r="AM112">
        <f>MIN(MAX($AJ$52:$AJ$78)/MAX(AJ112, 0.01), 10)</f>
        <v>1.3930877377514737</v>
      </c>
      <c r="AN112">
        <f>MIN(MAX($AK$52:$AK$78)/MAX(AK112, 0.01), 10)</f>
        <v>1.0018430112237828</v>
      </c>
      <c r="AO112" s="2">
        <f t="shared" si="50"/>
        <v>2.3949307489752565</v>
      </c>
    </row>
    <row r="113" spans="5:41" x14ac:dyDescent="0.2">
      <c r="E113" s="6"/>
      <c r="AF113" s="6"/>
      <c r="AI113">
        <v>1850</v>
      </c>
      <c r="AJ113">
        <v>0.40755085979582245</v>
      </c>
      <c r="AK113">
        <v>0.92548350276448099</v>
      </c>
      <c r="AL113">
        <v>0.26679198379789282</v>
      </c>
      <c r="AM113">
        <f>MIN(MAX($AJ$52:$AJ$78)/MAX(AJ113, 0.01), 10)</f>
        <v>1.3930877377514737</v>
      </c>
      <c r="AN113">
        <f>MIN(MAX($AK$52:$AK$78)/MAX(AK113, 0.01), 10)</f>
        <v>1.0018430112237828</v>
      </c>
      <c r="AO113" s="2">
        <f t="shared" si="50"/>
        <v>2.3949307489752565</v>
      </c>
    </row>
    <row r="114" spans="5:41" x14ac:dyDescent="0.2">
      <c r="E114" s="6"/>
      <c r="AF114" s="6"/>
    </row>
    <row r="115" spans="5:41" x14ac:dyDescent="0.2">
      <c r="AF115" s="6"/>
    </row>
    <row r="116" spans="5:41" x14ac:dyDescent="0.2">
      <c r="AF116" s="6"/>
    </row>
    <row r="117" spans="5:41" x14ac:dyDescent="0.2">
      <c r="AF117" s="6"/>
    </row>
    <row r="118" spans="5:41" x14ac:dyDescent="0.2">
      <c r="AF118" s="6"/>
    </row>
    <row r="119" spans="5:41" x14ac:dyDescent="0.2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AF119" s="6"/>
    </row>
    <row r="120" spans="5:41" x14ac:dyDescent="0.2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AF120" s="6"/>
    </row>
    <row r="121" spans="5:41" x14ac:dyDescent="0.2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AF121" s="6"/>
    </row>
    <row r="122" spans="5:41" x14ac:dyDescent="0.2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AF122" s="6"/>
    </row>
    <row r="123" spans="5:41" x14ac:dyDescent="0.2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AF123" s="6"/>
    </row>
    <row r="124" spans="5:41" x14ac:dyDescent="0.2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AF124" s="6"/>
    </row>
    <row r="125" spans="5:41" x14ac:dyDescent="0.2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5:41" x14ac:dyDescent="0.2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5:41" x14ac:dyDescent="0.2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5:41" x14ac:dyDescent="0.2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34" spans="5:30" x14ac:dyDescent="0.2">
      <c r="E134" s="6"/>
    </row>
    <row r="135" spans="5:30" x14ac:dyDescent="0.2">
      <c r="E135" s="6"/>
      <c r="AD135" s="6"/>
    </row>
    <row r="136" spans="5:30" x14ac:dyDescent="0.2">
      <c r="E136" s="6"/>
      <c r="AD136" s="6"/>
    </row>
    <row r="137" spans="5:30" x14ac:dyDescent="0.2">
      <c r="E137" s="6"/>
      <c r="AD137" s="6"/>
    </row>
    <row r="138" spans="5:30" x14ac:dyDescent="0.2">
      <c r="E138" s="6"/>
      <c r="AD138" s="6"/>
    </row>
    <row r="139" spans="5:30" x14ac:dyDescent="0.2">
      <c r="E139" s="6"/>
      <c r="AD139" s="6"/>
    </row>
    <row r="140" spans="5:30" x14ac:dyDescent="0.2">
      <c r="E140" s="6"/>
      <c r="AD140" s="6"/>
    </row>
    <row r="141" spans="5:30" x14ac:dyDescent="0.2">
      <c r="E141" s="6"/>
      <c r="AD141" s="6"/>
    </row>
    <row r="142" spans="5:30" x14ac:dyDescent="0.2">
      <c r="E142" s="6"/>
      <c r="AD142" s="6"/>
    </row>
    <row r="143" spans="5:30" x14ac:dyDescent="0.2">
      <c r="E143" s="6"/>
      <c r="AD143" s="6"/>
    </row>
    <row r="144" spans="5:30" x14ac:dyDescent="0.2">
      <c r="AD144" s="6"/>
    </row>
    <row r="145" spans="5:30" x14ac:dyDescent="0.2">
      <c r="AD145" s="6"/>
    </row>
    <row r="146" spans="5:30" x14ac:dyDescent="0.2">
      <c r="AD146" s="6"/>
    </row>
    <row r="147" spans="5:30" x14ac:dyDescent="0.2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AD147" s="6"/>
    </row>
    <row r="148" spans="5:30" x14ac:dyDescent="0.2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AD148" s="6"/>
    </row>
    <row r="149" spans="5:30" x14ac:dyDescent="0.2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AD149" s="6"/>
    </row>
    <row r="150" spans="5:30" x14ac:dyDescent="0.2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AD150" s="6"/>
    </row>
    <row r="151" spans="5:30" x14ac:dyDescent="0.2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AD151" s="6"/>
    </row>
    <row r="152" spans="5:30" x14ac:dyDescent="0.2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AD152" s="6"/>
    </row>
    <row r="153" spans="5:30" x14ac:dyDescent="0.2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AD153" s="6"/>
    </row>
    <row r="154" spans="5:30" x14ac:dyDescent="0.2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5:30" x14ac:dyDescent="0.2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5:30" x14ac:dyDescent="0.2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</sheetData>
  <conditionalFormatting sqref="AK15:AV2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6:AV33">
    <cfRule type="cellIs" dxfId="1" priority="10" operator="lessThan">
      <formula>0.35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7:AV4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52:AO7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87:AO1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15:BK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37:BK4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26:BK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Sheet1</vt:lpstr>
      <vt:lpstr>Age</vt:lpstr>
      <vt:lpstr>CapLim</vt:lpstr>
      <vt:lpstr>CapLim_SD</vt:lpstr>
      <vt:lpstr>D</vt:lpstr>
      <vt:lpstr>Fec</vt:lpstr>
      <vt:lpstr>K</vt:lpstr>
      <vt:lpstr>Linf</vt:lpstr>
      <vt:lpstr>Lmat</vt:lpstr>
      <vt:lpstr>LowLim</vt:lpstr>
      <vt:lpstr>LowLim_SD</vt:lpstr>
      <vt:lpstr>lwa</vt:lpstr>
      <vt:lpstr>lwb</vt:lpstr>
      <vt:lpstr>M</vt:lpstr>
      <vt:lpstr>M_50</vt:lpstr>
      <vt:lpstr>M_SD</vt:lpstr>
      <vt:lpstr>Mem_Catch</vt:lpstr>
      <vt:lpstr>Memorable</vt:lpstr>
      <vt:lpstr>phivbf</vt:lpstr>
      <vt:lpstr>phivbo</vt:lpstr>
      <vt:lpstr>So</vt:lpstr>
      <vt:lpstr>SPR</vt:lpstr>
      <vt:lpstr>Surv_f</vt:lpstr>
      <vt:lpstr>Surv_uf</vt:lpstr>
      <vt:lpstr>TL</vt:lpstr>
      <vt:lpstr>tnot</vt:lpstr>
      <vt:lpstr>U</vt:lpstr>
      <vt:lpstr>UpLim</vt:lpstr>
      <vt:lpstr>UpLim_SD</vt:lpstr>
      <vt:lpstr>Vul_cap</vt:lpstr>
      <vt:lpstr>Vul_harv</vt:lpstr>
      <vt:lpstr>Wmat</vt:lpstr>
      <vt:lpstr>Wt</vt:lpstr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service, lightboard user</dc:creator>
  <cp:lastModifiedBy>Marcel Gietzmann-Sanders</cp:lastModifiedBy>
  <dcterms:created xsi:type="dcterms:W3CDTF">2015-09-14T13:40:12Z</dcterms:created>
  <dcterms:modified xsi:type="dcterms:W3CDTF">2023-10-21T13:02:22Z</dcterms:modified>
</cp:coreProperties>
</file>