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drawings/drawing3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the\Downloads\"/>
    </mc:Choice>
  </mc:AlternateContent>
  <xr:revisionPtr revIDLastSave="0" documentId="13_ncr:1_{322EFA67-D068-4FE2-9107-E3DD06511133}" xr6:coauthVersionLast="47" xr6:coauthVersionMax="47" xr10:uidLastSave="{00000000-0000-0000-0000-000000000000}"/>
  <bookViews>
    <workbookView xWindow="88200" yWindow="10770" windowWidth="29040" windowHeight="15990" activeTab="1" xr2:uid="{00000000-000D-0000-FFFF-FFFF00000000}"/>
  </bookViews>
  <sheets>
    <sheet name="CMA Forecast MG" sheetId="1" r:id="rId1"/>
    <sheet name="Dashboard M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8" i="2" l="1"/>
  <c r="R37" i="2"/>
  <c r="R36" i="2"/>
  <c r="W203" i="1"/>
  <c r="P202" i="1"/>
  <c r="O202" i="1"/>
  <c r="P201" i="1"/>
  <c r="O201" i="1"/>
  <c r="V200" i="1"/>
  <c r="V192" i="1"/>
  <c r="D188" i="1"/>
  <c r="C188" i="1"/>
  <c r="B188" i="1"/>
  <c r="D171" i="1"/>
  <c r="C171" i="1"/>
  <c r="B171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J160" i="1" s="1"/>
  <c r="I153" i="1"/>
  <c r="H153" i="1"/>
  <c r="H160" i="1" s="1"/>
  <c r="D153" i="1"/>
  <c r="C153" i="1"/>
  <c r="B153" i="1"/>
  <c r="J152" i="1"/>
  <c r="I152" i="1"/>
  <c r="H152" i="1"/>
  <c r="J151" i="1"/>
  <c r="I151" i="1"/>
  <c r="H151" i="1"/>
  <c r="J150" i="1"/>
  <c r="I150" i="1"/>
  <c r="I160" i="1" s="1"/>
  <c r="H150" i="1"/>
  <c r="D134" i="1"/>
  <c r="C134" i="1"/>
  <c r="B134" i="1"/>
  <c r="P131" i="1"/>
  <c r="O131" i="1"/>
  <c r="O130" i="1"/>
  <c r="O127" i="1"/>
  <c r="O126" i="1"/>
  <c r="P123" i="1"/>
  <c r="G116" i="1"/>
  <c r="H116" i="1" s="1"/>
  <c r="G115" i="1"/>
  <c r="H115" i="1" s="1"/>
  <c r="G114" i="1"/>
  <c r="G113" i="1"/>
  <c r="O129" i="1" s="1"/>
  <c r="H112" i="1"/>
  <c r="G112" i="1"/>
  <c r="O128" i="1" s="1"/>
  <c r="G111" i="1"/>
  <c r="V153" i="1" s="1"/>
  <c r="H110" i="1"/>
  <c r="G110" i="1"/>
  <c r="G109" i="1"/>
  <c r="H109" i="1" s="1"/>
  <c r="G108" i="1"/>
  <c r="O124" i="1" s="1"/>
  <c r="G107" i="1"/>
  <c r="H107" i="1" s="1"/>
  <c r="G106" i="1"/>
  <c r="G105" i="1"/>
  <c r="H105" i="1" s="1"/>
  <c r="G104" i="1"/>
  <c r="H104" i="1" s="1"/>
  <c r="G103" i="1"/>
  <c r="V203" i="1" s="1"/>
  <c r="G102" i="1"/>
  <c r="H102" i="1" s="1"/>
  <c r="H101" i="1"/>
  <c r="G101" i="1"/>
  <c r="G100" i="1"/>
  <c r="H100" i="1" s="1"/>
  <c r="G99" i="1"/>
  <c r="T24" i="1" s="1"/>
  <c r="H98" i="1"/>
  <c r="G98" i="1"/>
  <c r="V150" i="1" s="1"/>
  <c r="H97" i="1"/>
  <c r="G97" i="1"/>
  <c r="G96" i="1"/>
  <c r="H96" i="1" s="1"/>
  <c r="G95" i="1"/>
  <c r="H95" i="1" s="1"/>
  <c r="G94" i="1"/>
  <c r="V149" i="1" s="1"/>
  <c r="G93" i="1"/>
  <c r="G92" i="1"/>
  <c r="H92" i="1" s="1"/>
  <c r="G91" i="1"/>
  <c r="G90" i="1"/>
  <c r="V148" i="1" s="1"/>
  <c r="H89" i="1"/>
  <c r="G89" i="1"/>
  <c r="G88" i="1"/>
  <c r="H88" i="1" s="1"/>
  <c r="G87" i="1"/>
  <c r="G86" i="1"/>
  <c r="T21" i="1" s="1"/>
  <c r="G85" i="1"/>
  <c r="V199" i="1" s="1"/>
  <c r="G84" i="1"/>
  <c r="H84" i="1" s="1"/>
  <c r="H83" i="1"/>
  <c r="G83" i="1"/>
  <c r="G82" i="1"/>
  <c r="L20" i="1" s="1"/>
  <c r="H81" i="1"/>
  <c r="G81" i="1"/>
  <c r="V198" i="1" s="1"/>
  <c r="G80" i="1"/>
  <c r="H80" i="1" s="1"/>
  <c r="G79" i="1"/>
  <c r="L19" i="1" s="1"/>
  <c r="G78" i="1"/>
  <c r="G77" i="1"/>
  <c r="G76" i="1"/>
  <c r="V197" i="1" s="1"/>
  <c r="G75" i="1"/>
  <c r="H75" i="1" s="1"/>
  <c r="G74" i="1"/>
  <c r="G73" i="1"/>
  <c r="G72" i="1"/>
  <c r="V196" i="1" s="1"/>
  <c r="G71" i="1"/>
  <c r="H71" i="1" s="1"/>
  <c r="H70" i="1"/>
  <c r="G70" i="1"/>
  <c r="G69" i="1"/>
  <c r="G68" i="1"/>
  <c r="H68" i="1" s="1"/>
  <c r="G67" i="1"/>
  <c r="H67" i="1" s="1"/>
  <c r="G66" i="1"/>
  <c r="H66" i="1" s="1"/>
  <c r="G65" i="1"/>
  <c r="H65" i="1" s="1"/>
  <c r="T64" i="1"/>
  <c r="G64" i="1"/>
  <c r="T63" i="1"/>
  <c r="U63" i="1" s="1"/>
  <c r="G63" i="1"/>
  <c r="P132" i="1" s="1"/>
  <c r="H62" i="1"/>
  <c r="G62" i="1"/>
  <c r="G61" i="1"/>
  <c r="P130" i="1" s="1"/>
  <c r="G60" i="1"/>
  <c r="P129" i="1" s="1"/>
  <c r="G59" i="1"/>
  <c r="V193" i="1" s="1"/>
  <c r="G58" i="1"/>
  <c r="H111" i="1" s="1"/>
  <c r="G57" i="1"/>
  <c r="P126" i="1" s="1"/>
  <c r="G56" i="1"/>
  <c r="P125" i="1" s="1"/>
  <c r="G55" i="1"/>
  <c r="P124" i="1" s="1"/>
  <c r="H54" i="1"/>
  <c r="G54" i="1"/>
  <c r="G53" i="1"/>
  <c r="T13" i="1" s="1"/>
  <c r="G52" i="1"/>
  <c r="G51" i="1"/>
  <c r="G50" i="1"/>
  <c r="G49" i="1"/>
  <c r="G48" i="1"/>
  <c r="G47" i="1"/>
  <c r="G46" i="1"/>
  <c r="W202" i="1" s="1"/>
  <c r="G45" i="1"/>
  <c r="G44" i="1"/>
  <c r="G43" i="1"/>
  <c r="G42" i="1"/>
  <c r="W201" i="1" s="1"/>
  <c r="G41" i="1"/>
  <c r="H93" i="1" s="1"/>
  <c r="G40" i="1"/>
  <c r="T10" i="1" s="1"/>
  <c r="G39" i="1"/>
  <c r="H91" i="1" s="1"/>
  <c r="G38" i="1"/>
  <c r="W200" i="1" s="1"/>
  <c r="G37" i="1"/>
  <c r="G36" i="1"/>
  <c r="T9" i="1" s="1"/>
  <c r="G35" i="1"/>
  <c r="H87" i="1" s="1"/>
  <c r="G34" i="1"/>
  <c r="G33" i="1"/>
  <c r="W199" i="1" s="1"/>
  <c r="G32" i="1"/>
  <c r="G31" i="1"/>
  <c r="G30" i="1"/>
  <c r="G29" i="1"/>
  <c r="G28" i="1"/>
  <c r="W198" i="1" s="1"/>
  <c r="T27" i="1"/>
  <c r="G27" i="1"/>
  <c r="G26" i="1"/>
  <c r="H78" i="1" s="1"/>
  <c r="T25" i="1"/>
  <c r="L25" i="1"/>
  <c r="G25" i="1"/>
  <c r="H77" i="1" s="1"/>
  <c r="G24" i="1"/>
  <c r="W197" i="1" s="1"/>
  <c r="T23" i="1"/>
  <c r="L23" i="1"/>
  <c r="G23" i="1"/>
  <c r="L22" i="1"/>
  <c r="M49" i="1" s="1"/>
  <c r="G22" i="1"/>
  <c r="H74" i="1" s="1"/>
  <c r="G21" i="1"/>
  <c r="T6" i="1" s="1"/>
  <c r="T20" i="1"/>
  <c r="G20" i="1"/>
  <c r="W196" i="1" s="1"/>
  <c r="T19" i="1"/>
  <c r="G19" i="1"/>
  <c r="T18" i="1"/>
  <c r="L18" i="1"/>
  <c r="M45" i="1" s="1"/>
  <c r="G18" i="1"/>
  <c r="T17" i="1"/>
  <c r="L17" i="1"/>
  <c r="M44" i="1" s="1"/>
  <c r="G17" i="1"/>
  <c r="H69" i="1" s="1"/>
  <c r="T16" i="1"/>
  <c r="L16" i="1"/>
  <c r="G16" i="1"/>
  <c r="M15" i="1"/>
  <c r="L15" i="1"/>
  <c r="M42" i="1" s="1"/>
  <c r="G15" i="1"/>
  <c r="T5" i="1" s="1"/>
  <c r="L14" i="1"/>
  <c r="M14" i="1" s="1"/>
  <c r="G14" i="1"/>
  <c r="G13" i="1"/>
  <c r="T12" i="1"/>
  <c r="G12" i="1"/>
  <c r="H64" i="1" s="1"/>
  <c r="G11" i="1"/>
  <c r="W194" i="1" s="1"/>
  <c r="G10" i="1"/>
  <c r="G9" i="1"/>
  <c r="G8" i="1"/>
  <c r="T7" i="1"/>
  <c r="G7" i="1"/>
  <c r="W193" i="1" s="1"/>
  <c r="G6" i="1"/>
  <c r="H58" i="1" s="1"/>
  <c r="G5" i="1"/>
  <c r="G4" i="1"/>
  <c r="T2" i="1" s="1"/>
  <c r="T3" i="1"/>
  <c r="G3" i="1"/>
  <c r="H55" i="1" s="1"/>
  <c r="G2" i="1"/>
  <c r="M46" i="1" l="1"/>
  <c r="M19" i="1"/>
  <c r="M25" i="1"/>
  <c r="M17" i="1"/>
  <c r="M18" i="1"/>
  <c r="U12" i="1"/>
  <c r="M52" i="1"/>
  <c r="M16" i="1"/>
  <c r="H56" i="1"/>
  <c r="H59" i="1"/>
  <c r="H63" i="1"/>
  <c r="T66" i="1"/>
  <c r="U66" i="1" s="1"/>
  <c r="H94" i="1"/>
  <c r="O123" i="1"/>
  <c r="T4" i="1"/>
  <c r="M41" i="1"/>
  <c r="H113" i="1"/>
  <c r="V152" i="1"/>
  <c r="W192" i="1"/>
  <c r="V195" i="1"/>
  <c r="T11" i="1"/>
  <c r="T15" i="1"/>
  <c r="L21" i="1"/>
  <c r="M22" i="1"/>
  <c r="L24" i="1"/>
  <c r="H57" i="1"/>
  <c r="H60" i="1"/>
  <c r="T68" i="1"/>
  <c r="H79" i="1"/>
  <c r="H82" i="1"/>
  <c r="H86" i="1"/>
  <c r="H90" i="1"/>
  <c r="H99" i="1"/>
  <c r="H108" i="1"/>
  <c r="O132" i="1"/>
  <c r="W195" i="1"/>
  <c r="V202" i="1"/>
  <c r="T8" i="1"/>
  <c r="T14" i="1"/>
  <c r="T22" i="1"/>
  <c r="U22" i="1" s="1"/>
  <c r="T65" i="1"/>
  <c r="U65" i="1" s="1"/>
  <c r="H114" i="1"/>
  <c r="P128" i="1"/>
  <c r="V151" i="1"/>
  <c r="P127" i="1"/>
  <c r="P133" i="1" s="1"/>
  <c r="T26" i="1"/>
  <c r="H61" i="1"/>
  <c r="H72" i="1"/>
  <c r="H76" i="1"/>
  <c r="H103" i="1"/>
  <c r="O125" i="1"/>
  <c r="T67" i="1"/>
  <c r="U67" i="1" s="1"/>
  <c r="V201" i="1"/>
  <c r="V206" i="1" s="1"/>
  <c r="H73" i="1"/>
  <c r="H85" i="1"/>
  <c r="V194" i="1"/>
  <c r="V207" i="1" s="1"/>
  <c r="U20" i="1" l="1"/>
  <c r="U19" i="1"/>
  <c r="V19" i="1" s="1"/>
  <c r="W19" i="1" s="1"/>
  <c r="Y45" i="1" s="1"/>
  <c r="U14" i="1"/>
  <c r="M48" i="1"/>
  <c r="M21" i="1"/>
  <c r="U10" i="1"/>
  <c r="U9" i="1"/>
  <c r="V9" i="1" s="1"/>
  <c r="W9" i="1" s="1"/>
  <c r="Y47" i="1" s="1"/>
  <c r="U18" i="1"/>
  <c r="U8" i="1"/>
  <c r="V8" i="1" s="1"/>
  <c r="W8" i="1" s="1"/>
  <c r="M51" i="1"/>
  <c r="M24" i="1"/>
  <c r="U21" i="1"/>
  <c r="V21" i="1" s="1"/>
  <c r="W21" i="1" s="1"/>
  <c r="M20" i="1"/>
  <c r="U11" i="1"/>
  <c r="V11" i="1" s="1"/>
  <c r="U13" i="1"/>
  <c r="V12" i="1"/>
  <c r="W12" i="1" s="1"/>
  <c r="Y50" i="1" s="1"/>
  <c r="M23" i="1"/>
  <c r="W11" i="1"/>
  <c r="Y49" i="1" s="1"/>
  <c r="U17" i="1"/>
  <c r="V17" i="1" s="1"/>
  <c r="W17" i="1" s="1"/>
  <c r="Y43" i="1" s="1"/>
  <c r="O133" i="1"/>
  <c r="O134" i="1"/>
  <c r="M50" i="1"/>
  <c r="M47" i="1"/>
  <c r="P134" i="1"/>
  <c r="M43" i="1"/>
  <c r="O45" i="1" s="1"/>
  <c r="U68" i="1"/>
  <c r="W207" i="1"/>
  <c r="W206" i="1"/>
  <c r="U16" i="1"/>
  <c r="U15" i="1"/>
  <c r="V15" i="1" s="1"/>
  <c r="W15" i="1" s="1"/>
  <c r="Y41" i="1" s="1"/>
  <c r="U64" i="1"/>
  <c r="V14" i="1" l="1"/>
  <c r="W14" i="1" s="1"/>
  <c r="Y40" i="1" s="1"/>
  <c r="Z5" i="1"/>
  <c r="Z4" i="1"/>
  <c r="V13" i="1"/>
  <c r="W13" i="1" s="1"/>
  <c r="Y51" i="1" s="1"/>
  <c r="V18" i="1"/>
  <c r="W18" i="1" s="1"/>
  <c r="Y44" i="1" s="1"/>
  <c r="O44" i="1"/>
  <c r="V16" i="1"/>
  <c r="W16" i="1" s="1"/>
  <c r="Y42" i="1" s="1"/>
  <c r="V10" i="1"/>
  <c r="W10" i="1" s="1"/>
  <c r="Y48" i="1" s="1"/>
  <c r="V20" i="1"/>
  <c r="W20" i="1" s="1"/>
  <c r="Y46" i="1" s="1"/>
  <c r="Z46" i="1" l="1"/>
  <c r="S107" i="1"/>
  <c r="S101" i="1"/>
  <c r="Z40" i="1"/>
  <c r="Z45" i="1"/>
  <c r="S105" i="1"/>
  <c r="Z44" i="1"/>
  <c r="S108" i="1"/>
  <c r="S106" i="1"/>
  <c r="S112" i="1"/>
  <c r="Z51" i="1"/>
  <c r="Z49" i="1"/>
  <c r="T54" i="1"/>
  <c r="T52" i="1"/>
  <c r="T51" i="1"/>
  <c r="T50" i="1"/>
  <c r="T49" i="1"/>
  <c r="T48" i="1"/>
  <c r="T47" i="1"/>
  <c r="T46" i="1"/>
  <c r="T45" i="1"/>
  <c r="T44" i="1"/>
  <c r="T55" i="1"/>
  <c r="T43" i="1"/>
  <c r="T42" i="1"/>
  <c r="T41" i="1"/>
  <c r="T53" i="1"/>
  <c r="T40" i="1"/>
  <c r="S110" i="1"/>
  <c r="S109" i="1"/>
  <c r="Z48" i="1"/>
  <c r="S103" i="1"/>
  <c r="Z42" i="1"/>
  <c r="Z43" i="1"/>
  <c r="S104" i="1"/>
  <c r="S102" i="1"/>
  <c r="Z50" i="1"/>
  <c r="Z47" i="1"/>
  <c r="S111" i="1"/>
  <c r="Z41" i="1"/>
  <c r="U43" i="1" l="1"/>
  <c r="V43" i="1" s="1"/>
  <c r="U151" i="1"/>
  <c r="S87" i="1"/>
  <c r="U50" i="1"/>
  <c r="L32" i="1"/>
  <c r="U198" i="1"/>
  <c r="U55" i="1"/>
  <c r="L37" i="1"/>
  <c r="U203" i="1"/>
  <c r="S92" i="1"/>
  <c r="U51" i="1"/>
  <c r="U199" i="1"/>
  <c r="S88" i="1"/>
  <c r="L33" i="1"/>
  <c r="U192" i="1"/>
  <c r="S81" i="1"/>
  <c r="U44" i="1"/>
  <c r="L26" i="1"/>
  <c r="U152" i="1"/>
  <c r="U45" i="1"/>
  <c r="L27" i="1"/>
  <c r="U153" i="1"/>
  <c r="S82" i="1"/>
  <c r="U193" i="1"/>
  <c r="S91" i="1"/>
  <c r="L36" i="1"/>
  <c r="U202" i="1"/>
  <c r="U54" i="1"/>
  <c r="U148" i="1"/>
  <c r="U40" i="1"/>
  <c r="V40" i="1" s="1"/>
  <c r="S83" i="1"/>
  <c r="U46" i="1"/>
  <c r="U194" i="1"/>
  <c r="L28" i="1"/>
  <c r="U200" i="1"/>
  <c r="S89" i="1"/>
  <c r="U52" i="1"/>
  <c r="L34" i="1"/>
  <c r="L35" i="1"/>
  <c r="U201" i="1"/>
  <c r="S90" i="1"/>
  <c r="U53" i="1"/>
  <c r="S85" i="1"/>
  <c r="U48" i="1"/>
  <c r="U196" i="1"/>
  <c r="L30" i="1"/>
  <c r="U47" i="1"/>
  <c r="L29" i="1"/>
  <c r="S84" i="1"/>
  <c r="U195" i="1"/>
  <c r="U149" i="1"/>
  <c r="U41" i="1"/>
  <c r="V41" i="1" s="1"/>
  <c r="U42" i="1"/>
  <c r="V42" i="1" s="1"/>
  <c r="U150" i="1"/>
  <c r="U49" i="1"/>
  <c r="U197" i="1"/>
  <c r="S86" i="1"/>
  <c r="L31" i="1"/>
  <c r="M28" i="1" l="1"/>
  <c r="L43" i="1"/>
  <c r="T83" i="1"/>
  <c r="V46" i="1"/>
  <c r="L51" i="1"/>
  <c r="V54" i="1"/>
  <c r="M36" i="1"/>
  <c r="T91" i="1"/>
  <c r="T86" i="1"/>
  <c r="L46" i="1"/>
  <c r="M31" i="1"/>
  <c r="V49" i="1"/>
  <c r="M29" i="1"/>
  <c r="T84" i="1"/>
  <c r="L44" i="1"/>
  <c r="V47" i="1"/>
  <c r="U206" i="1"/>
  <c r="U207" i="1"/>
  <c r="V55" i="1"/>
  <c r="M37" i="1"/>
  <c r="T92" i="1"/>
  <c r="L52" i="1"/>
  <c r="L45" i="1"/>
  <c r="M30" i="1"/>
  <c r="T85" i="1"/>
  <c r="V48" i="1"/>
  <c r="W150" i="1"/>
  <c r="W65" i="1"/>
  <c r="W68" i="1"/>
  <c r="W153" i="1"/>
  <c r="M34" i="1"/>
  <c r="L49" i="1"/>
  <c r="T89" i="1"/>
  <c r="V52" i="1"/>
  <c r="W148" i="1"/>
  <c r="W63" i="1"/>
  <c r="M32" i="1"/>
  <c r="L47" i="1"/>
  <c r="T87" i="1"/>
  <c r="V50" i="1"/>
  <c r="W149" i="1"/>
  <c r="W64" i="1"/>
  <c r="W67" i="1"/>
  <c r="W152" i="1"/>
  <c r="T88" i="1"/>
  <c r="L48" i="1"/>
  <c r="M33" i="1"/>
  <c r="V51" i="1"/>
  <c r="T90" i="1"/>
  <c r="V53" i="1"/>
  <c r="L50" i="1"/>
  <c r="M35" i="1"/>
  <c r="W151" i="1"/>
  <c r="W66" i="1"/>
  <c r="M27" i="1"/>
  <c r="T82" i="1"/>
  <c r="L42" i="1"/>
  <c r="V45" i="1"/>
  <c r="V44" i="1"/>
  <c r="U58" i="1"/>
  <c r="U57" i="1"/>
  <c r="M26" i="1"/>
  <c r="T81" i="1"/>
  <c r="L41" i="1"/>
  <c r="O42" i="1" l="1"/>
  <c r="O41" i="1"/>
</calcChain>
</file>

<file path=xl/sharedStrings.xml><?xml version="1.0" encoding="utf-8"?>
<sst xmlns="http://schemas.openxmlformats.org/spreadsheetml/2006/main" count="117" uniqueCount="48">
  <si>
    <t>Month</t>
  </si>
  <si>
    <t>Year</t>
  </si>
  <si>
    <t>Week</t>
  </si>
  <si>
    <t>Unit Sales</t>
  </si>
  <si>
    <t>Retailer COGS</t>
  </si>
  <si>
    <t>Sales $</t>
  </si>
  <si>
    <t>Net Revenue</t>
  </si>
  <si>
    <t>YOY Growth</t>
  </si>
  <si>
    <t>Month #</t>
  </si>
  <si>
    <t>12 Period MA</t>
  </si>
  <si>
    <t>Centered MA</t>
  </si>
  <si>
    <t>Seasonal Index Forecast</t>
  </si>
  <si>
    <t>Net Rev</t>
  </si>
  <si>
    <t>YOY 2020</t>
  </si>
  <si>
    <t>YOYO 2021</t>
  </si>
  <si>
    <t>12-Month CMA</t>
  </si>
  <si>
    <t>Slope</t>
  </si>
  <si>
    <t>Intercept</t>
  </si>
  <si>
    <t>2/4 weeks</t>
  </si>
  <si>
    <t>Estimated Net Revenue</t>
  </si>
  <si>
    <t>Trend Line Estimate</t>
  </si>
  <si>
    <t>CMA Forecast w/ Index</t>
  </si>
  <si>
    <t>Est. YOY</t>
  </si>
  <si>
    <t>Index</t>
  </si>
  <si>
    <t>Normalized</t>
  </si>
  <si>
    <t>total</t>
  </si>
  <si>
    <t>avg</t>
  </si>
  <si>
    <t>average</t>
  </si>
  <si>
    <t>Actual Net Revenue</t>
  </si>
  <si>
    <t>Actual YOY</t>
  </si>
  <si>
    <t>Percent Error</t>
  </si>
  <si>
    <t>2021 CMA Forecast</t>
  </si>
  <si>
    <t>YOY</t>
  </si>
  <si>
    <t>Seasonal Trend</t>
  </si>
  <si>
    <t>no 53 week in 2019 to compare</t>
  </si>
  <si>
    <t>10 Week YOY Growth</t>
  </si>
  <si>
    <t>10 Week Revenue</t>
  </si>
  <si>
    <t>Total</t>
  </si>
  <si>
    <t>Average</t>
  </si>
  <si>
    <t>10 Week Retailer COGS</t>
  </si>
  <si>
    <t>Predicted</t>
  </si>
  <si>
    <t>Actual</t>
  </si>
  <si>
    <t>10 Week Average COGS (per unit)</t>
  </si>
  <si>
    <t>10 Week Unit Sales</t>
  </si>
  <si>
    <t>10 Week Sales $</t>
  </si>
  <si>
    <t>Net Revenue Entire Year</t>
  </si>
  <si>
    <t>Net Revenue 10 Weeks</t>
  </si>
  <si>
    <t>Average COGS/Unit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</si>
</sst>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yyyy\-m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/>
    <xf numFmtId="0" fontId="2" fillId="0" borderId="2" xfId="0" applyFont="1" applyBorder="1" applyAlignment="1">
      <alignment horizontal="right"/>
    </xf>
    <xf numFmtId="0" fontId="3" fillId="0" borderId="0" xfId="0" applyFont="1" applyAlignment="1"/>
    <xf numFmtId="3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2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/>
    <xf numFmtId="0" fontId="2" fillId="0" borderId="0" xfId="0" applyFont="1"/>
    <xf numFmtId="0" fontId="1" fillId="2" borderId="3" xfId="0" applyFont="1" applyFill="1" applyBorder="1" applyAlignment="1"/>
    <xf numFmtId="0" fontId="3" fillId="3" borderId="0" xfId="0" applyFont="1" applyFill="1"/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" fillId="2" borderId="4" xfId="0" applyFont="1" applyFill="1" applyBorder="1" applyAlignment="1"/>
    <xf numFmtId="164" fontId="2" fillId="0" borderId="0" xfId="0" applyNumberFormat="1" applyFont="1" applyAlignment="1"/>
    <xf numFmtId="10" fontId="2" fillId="0" borderId="0" xfId="0" applyNumberFormat="1" applyFont="1"/>
    <xf numFmtId="0" fontId="2" fillId="3" borderId="0" xfId="0" applyFont="1" applyFill="1" applyAlignment="1"/>
    <xf numFmtId="0" fontId="1" fillId="0" borderId="0" xfId="0" applyFont="1" applyAlignment="1"/>
    <xf numFmtId="3" fontId="1" fillId="2" borderId="1" xfId="0" applyNumberFormat="1" applyFont="1" applyFill="1" applyBorder="1" applyAlignment="1"/>
    <xf numFmtId="0" fontId="1" fillId="2" borderId="0" xfId="0" applyFont="1" applyFill="1" applyAlignment="1"/>
    <xf numFmtId="0" fontId="1" fillId="2" borderId="1" xfId="0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10" fontId="1" fillId="0" borderId="0" xfId="0" applyNumberFormat="1" applyFont="1"/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0" fontId="1" fillId="2" borderId="0" xfId="0" applyNumberFormat="1" applyFont="1" applyFill="1"/>
    <xf numFmtId="0" fontId="2" fillId="3" borderId="0" xfId="0" applyFont="1" applyFill="1"/>
    <xf numFmtId="164" fontId="1" fillId="2" borderId="1" xfId="0" applyNumberFormat="1" applyFont="1" applyFill="1" applyBorder="1"/>
    <xf numFmtId="10" fontId="1" fillId="2" borderId="1" xfId="0" applyNumberFormat="1" applyFont="1" applyFill="1" applyBorder="1"/>
    <xf numFmtId="0" fontId="1" fillId="3" borderId="0" xfId="0" applyFont="1" applyFill="1" applyAlignment="1"/>
    <xf numFmtId="165" fontId="2" fillId="0" borderId="0" xfId="0" applyNumberFormat="1" applyFont="1" applyAlignment="1"/>
    <xf numFmtId="16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/>
    <xf numFmtId="164" fontId="1" fillId="2" borderId="1" xfId="0" applyNumberFormat="1" applyFont="1" applyFill="1" applyBorder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center"/>
    </xf>
    <xf numFmtId="0" fontId="5" fillId="4" borderId="5" xfId="0" applyFont="1" applyFill="1" applyBorder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6" fillId="3" borderId="0" xfId="0" applyFont="1" applyFill="1" applyAlignment="1"/>
    <xf numFmtId="0" fontId="5" fillId="2" borderId="5" xfId="0" applyFont="1" applyFill="1" applyBorder="1" applyAlignment="1"/>
    <xf numFmtId="0" fontId="5" fillId="2" borderId="1" xfId="0" applyFont="1" applyFill="1" applyBorder="1" applyAlignment="1"/>
    <xf numFmtId="9" fontId="6" fillId="0" borderId="0" xfId="0" applyNumberFormat="1" applyFont="1" applyAlignment="1"/>
    <xf numFmtId="10" fontId="6" fillId="0" borderId="0" xfId="0" applyNumberFormat="1" applyFont="1" applyAlignment="1"/>
    <xf numFmtId="0" fontId="6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4" fillId="0" borderId="1" xfId="0" applyFont="1" applyBorder="1"/>
    <xf numFmtId="3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CA" b="1">
                <a:solidFill>
                  <a:srgbClr val="000000"/>
                </a:solidFill>
                <a:latin typeface="+mn-lt"/>
              </a:rPr>
              <a:t>Centered Moving Average Estimates for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tx>
            <c:strRef>
              <c:f>'CMA Forecast MG'!$T$80</c:f>
              <c:strCache>
                <c:ptCount val="1"/>
                <c:pt idx="0">
                  <c:v>YOY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MG'!$R$81:$R$92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'CMA Forecast MG'!$T$81:$T$92</c:f>
              <c:numCache>
                <c:formatCode>0.00%</c:formatCode>
                <c:ptCount val="12"/>
                <c:pt idx="0">
                  <c:v>0.23034844570888602</c:v>
                </c:pt>
                <c:pt idx="1">
                  <c:v>0.17199537532718345</c:v>
                </c:pt>
                <c:pt idx="2">
                  <c:v>0.14255067411147637</c:v>
                </c:pt>
                <c:pt idx="3">
                  <c:v>0.19840528752351205</c:v>
                </c:pt>
                <c:pt idx="4">
                  <c:v>0.21524110150396614</c:v>
                </c:pt>
                <c:pt idx="5">
                  <c:v>0.2257248815460513</c:v>
                </c:pt>
                <c:pt idx="6">
                  <c:v>0.63333298871631971</c:v>
                </c:pt>
                <c:pt idx="7">
                  <c:v>-0.107388756276381</c:v>
                </c:pt>
                <c:pt idx="8">
                  <c:v>1.0022865339082987</c:v>
                </c:pt>
                <c:pt idx="9">
                  <c:v>0.86595831854393768</c:v>
                </c:pt>
                <c:pt idx="10">
                  <c:v>0.12146530377291032</c:v>
                </c:pt>
                <c:pt idx="11">
                  <c:v>0.44555814530805526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9CC-4303-9480-0E82F3A60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124685"/>
        <c:axId val="1849972768"/>
      </c:barChart>
      <c:lineChart>
        <c:grouping val="standard"/>
        <c:varyColors val="0"/>
        <c:ser>
          <c:idx val="0"/>
          <c:order val="0"/>
          <c:tx>
            <c:strRef>
              <c:f>'CMA Forecast MG'!$S$80</c:f>
              <c:strCache>
                <c:ptCount val="1"/>
                <c:pt idx="0">
                  <c:v>Net Revenue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'CMA Forecast MG'!$R$81:$R$92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'CMA Forecast MG'!$S$81:$S$92</c:f>
              <c:numCache>
                <c:formatCode>"$"#,##0</c:formatCode>
                <c:ptCount val="12"/>
                <c:pt idx="0">
                  <c:v>2031007.2319543976</c:v>
                </c:pt>
                <c:pt idx="1">
                  <c:v>1774654.8524436513</c:v>
                </c:pt>
                <c:pt idx="2">
                  <c:v>2507007.3687662822</c:v>
                </c:pt>
                <c:pt idx="3">
                  <c:v>4383417.0268589007</c:v>
                </c:pt>
                <c:pt idx="4">
                  <c:v>1725507.6546595299</c:v>
                </c:pt>
                <c:pt idx="5">
                  <c:v>2288229.908988155</c:v>
                </c:pt>
                <c:pt idx="6">
                  <c:v>2298067.1751306849</c:v>
                </c:pt>
                <c:pt idx="7">
                  <c:v>5670221.968668554</c:v>
                </c:pt>
                <c:pt idx="8">
                  <c:v>12169324.198345656</c:v>
                </c:pt>
                <c:pt idx="9">
                  <c:v>2234366.2249114737</c:v>
                </c:pt>
                <c:pt idx="10">
                  <c:v>2318843.9397165724</c:v>
                </c:pt>
                <c:pt idx="11">
                  <c:v>2239267.792758151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C-4303-9480-0E82F3A60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203841"/>
        <c:axId val="975888632"/>
      </c:lineChart>
      <c:catAx>
        <c:axId val="1349203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5888632"/>
        <c:crosses val="autoZero"/>
        <c:auto val="1"/>
        <c:lblAlgn val="ctr"/>
        <c:lblOffset val="100"/>
        <c:noMultiLvlLbl val="1"/>
      </c:catAx>
      <c:valAx>
        <c:axId val="97588863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Net Revenue</a:t>
                </a:r>
              </a:p>
            </c:rich>
          </c:tx>
          <c:overlay val="0"/>
        </c:title>
        <c:numFmt formatCode="&quot;$&quot;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9203841"/>
        <c:crosses val="autoZero"/>
        <c:crossBetween val="between"/>
      </c:valAx>
      <c:catAx>
        <c:axId val="346124685"/>
        <c:scaling>
          <c:orientation val="minMax"/>
        </c:scaling>
        <c:delete val="1"/>
        <c:axPos val="b"/>
        <c:numFmt formatCode="General" sourceLinked="1"/>
        <c:majorTickMark val="cross"/>
        <c:minorTickMark val="none"/>
        <c:tickLblPos val="nextTo"/>
        <c:crossAx val="1849972768"/>
        <c:crosses val="autoZero"/>
        <c:auto val="1"/>
        <c:lblAlgn val="ctr"/>
        <c:lblOffset val="100"/>
        <c:noMultiLvlLbl val="1"/>
      </c:catAx>
      <c:valAx>
        <c:axId val="1849972768"/>
        <c:scaling>
          <c:orientation val="minMax"/>
        </c:scaling>
        <c:delete val="0"/>
        <c:axPos val="r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YOY Growth</a:t>
                </a:r>
              </a:p>
            </c:rich>
          </c:tx>
          <c:overlay val="0"/>
        </c:title>
        <c:numFmt formatCode="0.00%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612468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CA" b="1">
                <a:solidFill>
                  <a:srgbClr val="000000"/>
                </a:solidFill>
                <a:latin typeface="+mn-lt"/>
              </a:rPr>
              <a:t>Predicted YOY Growth of 2021 vs Actual 2020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'CMA Forecast MG'!$L$40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MG'!$K$41:$K$52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'CMA Forecast MG'!$L$41:$L$52</c:f>
              <c:numCache>
                <c:formatCode>0.00%</c:formatCode>
                <c:ptCount val="12"/>
                <c:pt idx="0">
                  <c:v>0.23034844570888602</c:v>
                </c:pt>
                <c:pt idx="1">
                  <c:v>0.17199537532718345</c:v>
                </c:pt>
                <c:pt idx="2">
                  <c:v>0.14255067411147637</c:v>
                </c:pt>
                <c:pt idx="3">
                  <c:v>0.19840528752351205</c:v>
                </c:pt>
                <c:pt idx="4">
                  <c:v>0.21524110150396614</c:v>
                </c:pt>
                <c:pt idx="5">
                  <c:v>0.2257248815460513</c:v>
                </c:pt>
                <c:pt idx="6">
                  <c:v>0.63333298871631971</c:v>
                </c:pt>
                <c:pt idx="7">
                  <c:v>-0.107388756276381</c:v>
                </c:pt>
                <c:pt idx="8">
                  <c:v>1.0022865339082987</c:v>
                </c:pt>
                <c:pt idx="9">
                  <c:v>0.86595831854393768</c:v>
                </c:pt>
                <c:pt idx="10">
                  <c:v>0.12146530377291032</c:v>
                </c:pt>
                <c:pt idx="11">
                  <c:v>0.44555814530805526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1DA-4493-AFF0-FA2841F464FF}"/>
            </c:ext>
          </c:extLst>
        </c:ser>
        <c:ser>
          <c:idx val="1"/>
          <c:order val="1"/>
          <c:tx>
            <c:strRef>
              <c:f>'CMA Forecast MG'!$M$40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MG'!$K$41:$K$52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'CMA Forecast MG'!$M$41:$M$52</c:f>
              <c:numCache>
                <c:formatCode>0.00%</c:formatCode>
                <c:ptCount val="12"/>
                <c:pt idx="0">
                  <c:v>1.3235727548632044</c:v>
                </c:pt>
                <c:pt idx="1">
                  <c:v>1.2699944562491927</c:v>
                </c:pt>
                <c:pt idx="2">
                  <c:v>0.30276739085518045</c:v>
                </c:pt>
                <c:pt idx="3">
                  <c:v>1.2898769290214269</c:v>
                </c:pt>
                <c:pt idx="4">
                  <c:v>0.19580739934115954</c:v>
                </c:pt>
                <c:pt idx="5">
                  <c:v>0.52528555727937842</c:v>
                </c:pt>
                <c:pt idx="6">
                  <c:v>-0.18606196834043109</c:v>
                </c:pt>
                <c:pt idx="7">
                  <c:v>2.0648337195495854</c:v>
                </c:pt>
                <c:pt idx="8">
                  <c:v>-0.20173055186324651</c:v>
                </c:pt>
                <c:pt idx="9">
                  <c:v>-0.17134755639539379</c:v>
                </c:pt>
                <c:pt idx="10">
                  <c:v>0.34336686318181942</c:v>
                </c:pt>
                <c:pt idx="11">
                  <c:v>4.2794117310471336E-2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1DA-4493-AFF0-FA2841F46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873322"/>
        <c:axId val="1902930536"/>
      </c:barChart>
      <c:catAx>
        <c:axId val="377873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2930536"/>
        <c:crosses val="autoZero"/>
        <c:auto val="1"/>
        <c:lblAlgn val="ctr"/>
        <c:lblOffset val="100"/>
        <c:noMultiLvlLbl val="1"/>
      </c:catAx>
      <c:valAx>
        <c:axId val="190293053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YOY Growth</a:t>
                </a:r>
              </a:p>
            </c:rich>
          </c:tx>
          <c:overlay val="0"/>
        </c:title>
        <c:numFmt formatCode="0.00%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78733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CA" b="1">
                <a:solidFill>
                  <a:srgbClr val="000000"/>
                </a:solidFill>
                <a:latin typeface="+mn-lt"/>
              </a:rPr>
              <a:t>Net Revenue Comparison for 2019 and 2020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MG'!$J$199:$J$252</c:f>
              <c:numCache>
                <c:formatCode>General</c:formatCode>
                <c:ptCount val="5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'CMA Forecast MG'!$K$199:$K$252</c:f>
              <c:numCache>
                <c:formatCode>"$"#,##0</c:formatCode>
                <c:ptCount val="54"/>
                <c:pt idx="0" formatCode="General">
                  <c:v>2019</c:v>
                </c:pt>
                <c:pt idx="1">
                  <c:v>140482</c:v>
                </c:pt>
                <c:pt idx="2">
                  <c:v>147827</c:v>
                </c:pt>
                <c:pt idx="3">
                  <c:v>144042.39999999997</c:v>
                </c:pt>
                <c:pt idx="4">
                  <c:v>134244.55000000005</c:v>
                </c:pt>
                <c:pt idx="5">
                  <c:v>143843.75</c:v>
                </c:pt>
                <c:pt idx="6">
                  <c:v>164282.34999999998</c:v>
                </c:pt>
                <c:pt idx="7">
                  <c:v>152812.69999999995</c:v>
                </c:pt>
                <c:pt idx="8">
                  <c:v>153144.94999999995</c:v>
                </c:pt>
                <c:pt idx="9">
                  <c:v>196817.39999999991</c:v>
                </c:pt>
                <c:pt idx="10">
                  <c:v>182357.90000000002</c:v>
                </c:pt>
                <c:pt idx="11">
                  <c:v>525559.5</c:v>
                </c:pt>
                <c:pt idx="12">
                  <c:v>549785.54999999981</c:v>
                </c:pt>
                <c:pt idx="13">
                  <c:v>426573.05000000005</c:v>
                </c:pt>
                <c:pt idx="14">
                  <c:v>403740.14999999991</c:v>
                </c:pt>
                <c:pt idx="15">
                  <c:v>206329.30000000005</c:v>
                </c:pt>
                <c:pt idx="16">
                  <c:v>369968.39999999991</c:v>
                </c:pt>
                <c:pt idx="17">
                  <c:v>321887.19999999995</c:v>
                </c:pt>
                <c:pt idx="18">
                  <c:v>295413.34999999998</c:v>
                </c:pt>
                <c:pt idx="19">
                  <c:v>284078.95000000007</c:v>
                </c:pt>
                <c:pt idx="20">
                  <c:v>298769.69999999995</c:v>
                </c:pt>
                <c:pt idx="21">
                  <c:v>295401.55000000005</c:v>
                </c:pt>
                <c:pt idx="22">
                  <c:v>309139.30000000005</c:v>
                </c:pt>
                <c:pt idx="23">
                  <c:v>293710.94999999995</c:v>
                </c:pt>
                <c:pt idx="24">
                  <c:v>261416.94999999995</c:v>
                </c:pt>
                <c:pt idx="25">
                  <c:v>318457.54999999981</c:v>
                </c:pt>
                <c:pt idx="26">
                  <c:v>350341.5</c:v>
                </c:pt>
                <c:pt idx="27">
                  <c:v>314198.14999999991</c:v>
                </c:pt>
                <c:pt idx="28">
                  <c:v>293788</c:v>
                </c:pt>
                <c:pt idx="29">
                  <c:v>375378.64999999991</c:v>
                </c:pt>
                <c:pt idx="30">
                  <c:v>369027.30000000005</c:v>
                </c:pt>
                <c:pt idx="31">
                  <c:v>376216.39999999991</c:v>
                </c:pt>
                <c:pt idx="32">
                  <c:v>367964.09999999986</c:v>
                </c:pt>
                <c:pt idx="33">
                  <c:v>442550.60000000009</c:v>
                </c:pt>
                <c:pt idx="34">
                  <c:v>473751.80000000005</c:v>
                </c:pt>
                <c:pt idx="35">
                  <c:v>788406.50000000047</c:v>
                </c:pt>
                <c:pt idx="36">
                  <c:v>1469811.5999999996</c:v>
                </c:pt>
                <c:pt idx="37">
                  <c:v>1637549.75</c:v>
                </c:pt>
                <c:pt idx="38">
                  <c:v>2143030.5999999996</c:v>
                </c:pt>
                <c:pt idx="39">
                  <c:v>1742605.0999999996</c:v>
                </c:pt>
                <c:pt idx="40">
                  <c:v>620614.69999999972</c:v>
                </c:pt>
                <c:pt idx="41">
                  <c:v>386366.40000000014</c:v>
                </c:pt>
                <c:pt idx="42">
                  <c:v>350583.84999999986</c:v>
                </c:pt>
                <c:pt idx="43">
                  <c:v>349892.25</c:v>
                </c:pt>
                <c:pt idx="44">
                  <c:v>358197.94999999995</c:v>
                </c:pt>
                <c:pt idx="45">
                  <c:v>372611.85000000009</c:v>
                </c:pt>
                <c:pt idx="46">
                  <c:v>418608.05000000005</c:v>
                </c:pt>
                <c:pt idx="47">
                  <c:v>401121.80000000005</c:v>
                </c:pt>
                <c:pt idx="48">
                  <c:v>346844.09999999986</c:v>
                </c:pt>
                <c:pt idx="49">
                  <c:v>368946.54999999981</c:v>
                </c:pt>
                <c:pt idx="50">
                  <c:v>386494.19999999972</c:v>
                </c:pt>
                <c:pt idx="51">
                  <c:v>375523</c:v>
                </c:pt>
                <c:pt idx="52">
                  <c:v>354533.64999999991</c:v>
                </c:pt>
                <c:pt idx="5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7E3-41EF-A2C3-E04C259CE7E9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MG'!$J$199:$J$252</c:f>
              <c:numCache>
                <c:formatCode>General</c:formatCode>
                <c:ptCount val="5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'CMA Forecast MG'!$L$199:$L$252</c:f>
              <c:numCache>
                <c:formatCode>"$"#,##0</c:formatCode>
                <c:ptCount val="54"/>
                <c:pt idx="0" formatCode="General">
                  <c:v>2020</c:v>
                </c:pt>
                <c:pt idx="1">
                  <c:v>354003.39999999991</c:v>
                </c:pt>
                <c:pt idx="2">
                  <c:v>355107.14999999991</c:v>
                </c:pt>
                <c:pt idx="3">
                  <c:v>290687.25</c:v>
                </c:pt>
                <c:pt idx="4">
                  <c:v>312535.94999999995</c:v>
                </c:pt>
                <c:pt idx="5">
                  <c:v>338424</c:v>
                </c:pt>
                <c:pt idx="6">
                  <c:v>365184.94999999995</c:v>
                </c:pt>
                <c:pt idx="7">
                  <c:v>401760.99999999977</c:v>
                </c:pt>
                <c:pt idx="8">
                  <c:v>366894.70000000019</c:v>
                </c:pt>
                <c:pt idx="9">
                  <c:v>380375.94999999995</c:v>
                </c:pt>
                <c:pt idx="10">
                  <c:v>381691.59999999986</c:v>
                </c:pt>
                <c:pt idx="11">
                  <c:v>461454.19999999995</c:v>
                </c:pt>
                <c:pt idx="12">
                  <c:v>586197.49999999977</c:v>
                </c:pt>
                <c:pt idx="13">
                  <c:v>393753.35000000009</c:v>
                </c:pt>
                <c:pt idx="14">
                  <c:v>371123.19999999995</c:v>
                </c:pt>
                <c:pt idx="15">
                  <c:v>345409.69999999995</c:v>
                </c:pt>
                <c:pt idx="16">
                  <c:v>2997270.1999999993</c:v>
                </c:pt>
                <c:pt idx="17">
                  <c:v>-10375.25</c:v>
                </c:pt>
                <c:pt idx="18">
                  <c:v>325403.69999999995</c:v>
                </c:pt>
                <c:pt idx="19">
                  <c:v>368462.75</c:v>
                </c:pt>
                <c:pt idx="20">
                  <c:v>358755.64999999991</c:v>
                </c:pt>
                <c:pt idx="21">
                  <c:v>359005.29999999981</c:v>
                </c:pt>
                <c:pt idx="22">
                  <c:v>333665.44999999995</c:v>
                </c:pt>
                <c:pt idx="23">
                  <c:v>338685.60000000009</c:v>
                </c:pt>
                <c:pt idx="24">
                  <c:v>380009</c:v>
                </c:pt>
                <c:pt idx="25">
                  <c:v>387163.34999999986</c:v>
                </c:pt>
                <c:pt idx="26">
                  <c:v>386218.34999999963</c:v>
                </c:pt>
                <c:pt idx="27">
                  <c:v>374761.80000000005</c:v>
                </c:pt>
                <c:pt idx="28">
                  <c:v>380804.09999999986</c:v>
                </c:pt>
                <c:pt idx="29">
                  <c:v>367057.89999999991</c:v>
                </c:pt>
                <c:pt idx="30">
                  <c:v>398093.55000000005</c:v>
                </c:pt>
                <c:pt idx="31">
                  <c:v>261024.65000000002</c:v>
                </c:pt>
                <c:pt idx="32">
                  <c:v>322793.64999999991</c:v>
                </c:pt>
                <c:pt idx="33">
                  <c:v>572160.25</c:v>
                </c:pt>
                <c:pt idx="34">
                  <c:v>608577.44999999972</c:v>
                </c:pt>
                <c:pt idx="35">
                  <c:v>1247826.6500000004</c:v>
                </c:pt>
                <c:pt idx="36">
                  <c:v>3601040.0999999996</c:v>
                </c:pt>
                <c:pt idx="37">
                  <c:v>1471299.5999999996</c:v>
                </c:pt>
                <c:pt idx="38">
                  <c:v>1997788.5</c:v>
                </c:pt>
                <c:pt idx="39">
                  <c:v>2141245.6500000004</c:v>
                </c:pt>
                <c:pt idx="40">
                  <c:v>467379.89999999991</c:v>
                </c:pt>
                <c:pt idx="41">
                  <c:v>338084.60000000009</c:v>
                </c:pt>
                <c:pt idx="42">
                  <c:v>316103.29999999981</c:v>
                </c:pt>
                <c:pt idx="43">
                  <c:v>276456.65000000002</c:v>
                </c:pt>
                <c:pt idx="44">
                  <c:v>266791.75</c:v>
                </c:pt>
                <c:pt idx="45">
                  <c:v>343591.59999999986</c:v>
                </c:pt>
                <c:pt idx="46">
                  <c:v>423132.55000000005</c:v>
                </c:pt>
                <c:pt idx="47">
                  <c:v>468450.44999999972</c:v>
                </c:pt>
                <c:pt idx="48">
                  <c:v>396841.54999999981</c:v>
                </c:pt>
                <c:pt idx="49">
                  <c:v>435675.04999999981</c:v>
                </c:pt>
                <c:pt idx="50">
                  <c:v>437341.44999999972</c:v>
                </c:pt>
                <c:pt idx="51">
                  <c:v>386022.54999999981</c:v>
                </c:pt>
                <c:pt idx="52">
                  <c:v>370821.60000000009</c:v>
                </c:pt>
                <c:pt idx="53">
                  <c:v>354882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7E3-41EF-A2C3-E04C259CE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43821"/>
        <c:axId val="1448689261"/>
      </c:barChart>
      <c:catAx>
        <c:axId val="79843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8689261"/>
        <c:crosses val="autoZero"/>
        <c:auto val="1"/>
        <c:lblAlgn val="ctr"/>
        <c:lblOffset val="100"/>
        <c:noMultiLvlLbl val="1"/>
      </c:catAx>
      <c:valAx>
        <c:axId val="144868926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Net Revenue</a:t>
                </a:r>
              </a:p>
            </c:rich>
          </c:tx>
          <c:overlay val="0"/>
        </c:title>
        <c:numFmt formatCode="&quot;$&quot;#,##0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84382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CA" b="1">
                <a:solidFill>
                  <a:srgbClr val="000000"/>
                </a:solidFill>
                <a:latin typeface="+mn-lt"/>
              </a:rPr>
              <a:t>Net Revenue for the First 10 Weeks of All Years Analyzed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'CMA Forecast MG'!$B$123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MG'!$A$124:$A$133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'CMA Forecast MG'!$B$124:$B$133</c:f>
              <c:numCache>
                <c:formatCode>"$"#,##0</c:formatCode>
                <c:ptCount val="10"/>
                <c:pt idx="0">
                  <c:v>496498.85000000009</c:v>
                </c:pt>
                <c:pt idx="1">
                  <c:v>452456.64999999991</c:v>
                </c:pt>
                <c:pt idx="2">
                  <c:v>466535.69999999995</c:v>
                </c:pt>
                <c:pt idx="3">
                  <c:v>419562.55000000005</c:v>
                </c:pt>
                <c:pt idx="4">
                  <c:v>432728.29999999981</c:v>
                </c:pt>
                <c:pt idx="5">
                  <c:v>425002.20000000019</c:v>
                </c:pt>
                <c:pt idx="6">
                  <c:v>422222.25</c:v>
                </c:pt>
                <c:pt idx="7">
                  <c:v>373724.94999999972</c:v>
                </c:pt>
                <c:pt idx="8">
                  <c:v>407045.25</c:v>
                </c:pt>
                <c:pt idx="9">
                  <c:v>457967.29999999981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D8C-422D-9A2C-D7E563280EEA}"/>
            </c:ext>
          </c:extLst>
        </c:ser>
        <c:ser>
          <c:idx val="1"/>
          <c:order val="1"/>
          <c:tx>
            <c:strRef>
              <c:f>'CMA Forecast MG'!$C$123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MG'!$A$124:$A$133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'CMA Forecast MG'!$C$124:$C$133</c:f>
              <c:numCache>
                <c:formatCode>"$"#,##0</c:formatCode>
                <c:ptCount val="10"/>
                <c:pt idx="0">
                  <c:v>354003.39999999991</c:v>
                </c:pt>
                <c:pt idx="1">
                  <c:v>355107.14999999991</c:v>
                </c:pt>
                <c:pt idx="2">
                  <c:v>290687.25</c:v>
                </c:pt>
                <c:pt idx="3">
                  <c:v>312535.94999999995</c:v>
                </c:pt>
                <c:pt idx="4">
                  <c:v>338424</c:v>
                </c:pt>
                <c:pt idx="5">
                  <c:v>365184.94999999995</c:v>
                </c:pt>
                <c:pt idx="6">
                  <c:v>401760.99999999977</c:v>
                </c:pt>
                <c:pt idx="7">
                  <c:v>366894.70000000019</c:v>
                </c:pt>
                <c:pt idx="8">
                  <c:v>380375.94999999995</c:v>
                </c:pt>
                <c:pt idx="9">
                  <c:v>381691.59999999986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D8C-422D-9A2C-D7E563280EEA}"/>
            </c:ext>
          </c:extLst>
        </c:ser>
        <c:ser>
          <c:idx val="2"/>
          <c:order val="2"/>
          <c:tx>
            <c:strRef>
              <c:f>'CMA Forecast MG'!$D$123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MG'!$A$124:$A$133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'CMA Forecast MG'!$D$124:$D$133</c:f>
              <c:numCache>
                <c:formatCode>"$"#,##0</c:formatCode>
                <c:ptCount val="10"/>
                <c:pt idx="0">
                  <c:v>140482</c:v>
                </c:pt>
                <c:pt idx="1">
                  <c:v>147827</c:v>
                </c:pt>
                <c:pt idx="2">
                  <c:v>144042.39999999997</c:v>
                </c:pt>
                <c:pt idx="3">
                  <c:v>134244.55000000005</c:v>
                </c:pt>
                <c:pt idx="4">
                  <c:v>143843.75</c:v>
                </c:pt>
                <c:pt idx="5">
                  <c:v>164282.34999999998</c:v>
                </c:pt>
                <c:pt idx="6">
                  <c:v>152812.69999999995</c:v>
                </c:pt>
                <c:pt idx="7">
                  <c:v>153144.94999999995</c:v>
                </c:pt>
                <c:pt idx="8">
                  <c:v>196817.39999999991</c:v>
                </c:pt>
                <c:pt idx="9">
                  <c:v>182357.90000000002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D8C-422D-9A2C-D7E563280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45356"/>
        <c:axId val="1131332014"/>
      </c:barChart>
      <c:catAx>
        <c:axId val="57545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1332014"/>
        <c:crosses val="autoZero"/>
        <c:auto val="1"/>
        <c:lblAlgn val="ctr"/>
        <c:lblOffset val="100"/>
        <c:noMultiLvlLbl val="1"/>
      </c:catAx>
      <c:valAx>
        <c:axId val="113133201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Net Revenue</a:t>
                </a:r>
              </a:p>
            </c:rich>
          </c:tx>
          <c:overlay val="0"/>
        </c:title>
        <c:numFmt formatCode="&quot;$&quot;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54535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CA" b="1">
                <a:solidFill>
                  <a:srgbClr val="000000"/>
                </a:solidFill>
                <a:latin typeface="+mn-lt"/>
              </a:rPr>
              <a:t>Average COGS per Unit for the First 10 Weeks of All Years Analyzed</a:t>
            </a:r>
          </a:p>
        </c:rich>
      </c:tx>
      <c:layout>
        <c:manualLayout>
          <c:xMode val="edge"/>
          <c:yMode val="edge"/>
          <c:x val="0.24568332489334163"/>
          <c:y val="3.7101207562903922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'CMA Forecast MG'!$H$149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MG'!$G$150:$G$159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'CMA Forecast MG'!$H$150:$H$159</c:f>
              <c:numCache>
                <c:formatCode>"$"#,##0</c:formatCode>
                <c:ptCount val="10"/>
                <c:pt idx="0">
                  <c:v>147.05046036111443</c:v>
                </c:pt>
                <c:pt idx="1">
                  <c:v>135.06081814890794</c:v>
                </c:pt>
                <c:pt idx="2">
                  <c:v>135.1201731804353</c:v>
                </c:pt>
                <c:pt idx="3">
                  <c:v>128.81538079264504</c:v>
                </c:pt>
                <c:pt idx="4">
                  <c:v>128.05410581757243</c:v>
                </c:pt>
                <c:pt idx="5">
                  <c:v>128.7788131436979</c:v>
                </c:pt>
                <c:pt idx="6">
                  <c:v>130.23668122270743</c:v>
                </c:pt>
                <c:pt idx="7">
                  <c:v>130.77212859368362</c:v>
                </c:pt>
                <c:pt idx="8">
                  <c:v>126.75337114051669</c:v>
                </c:pt>
                <c:pt idx="9">
                  <c:v>125.70080053368913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D19-48A5-94DC-8FE4091DE5C1}"/>
            </c:ext>
          </c:extLst>
        </c:ser>
        <c:ser>
          <c:idx val="1"/>
          <c:order val="1"/>
          <c:tx>
            <c:strRef>
              <c:f>'CMA Forecast MG'!$I$149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MG'!$G$150:$G$159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'CMA Forecast MG'!$I$150:$I$159</c:f>
              <c:numCache>
                <c:formatCode>"$"#,##0</c:formatCode>
                <c:ptCount val="10"/>
                <c:pt idx="0">
                  <c:v>129.04902251184834</c:v>
                </c:pt>
                <c:pt idx="1">
                  <c:v>132.10095209309355</c:v>
                </c:pt>
                <c:pt idx="2">
                  <c:v>127.82895442359249</c:v>
                </c:pt>
                <c:pt idx="3">
                  <c:v>129.44739942770576</c:v>
                </c:pt>
                <c:pt idx="4">
                  <c:v>132.22238095238095</c:v>
                </c:pt>
                <c:pt idx="5">
                  <c:v>132.57130216782184</c:v>
                </c:pt>
                <c:pt idx="6">
                  <c:v>134.79455040871935</c:v>
                </c:pt>
                <c:pt idx="7">
                  <c:v>131.5543256626857</c:v>
                </c:pt>
                <c:pt idx="8">
                  <c:v>133.00695923874449</c:v>
                </c:pt>
                <c:pt idx="9">
                  <c:v>134.09360730593608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D19-48A5-94DC-8FE4091DE5C1}"/>
            </c:ext>
          </c:extLst>
        </c:ser>
        <c:ser>
          <c:idx val="2"/>
          <c:order val="2"/>
          <c:tx>
            <c:strRef>
              <c:f>'CMA Forecast MG'!$J$149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MG'!$G$150:$G$159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'CMA Forecast MG'!$J$150:$J$159</c:f>
              <c:numCache>
                <c:formatCode>"$"#,##0</c:formatCode>
                <c:ptCount val="10"/>
                <c:pt idx="0">
                  <c:v>110.32782193958664</c:v>
                </c:pt>
                <c:pt idx="1">
                  <c:v>108.6264880952381</c:v>
                </c:pt>
                <c:pt idx="2">
                  <c:v>108.69009779951101</c:v>
                </c:pt>
                <c:pt idx="3">
                  <c:v>110.15785975407113</c:v>
                </c:pt>
                <c:pt idx="4">
                  <c:v>108.75742725880551</c:v>
                </c:pt>
                <c:pt idx="5">
                  <c:v>109.83292715949094</c:v>
                </c:pt>
                <c:pt idx="6">
                  <c:v>110.11850554582604</c:v>
                </c:pt>
                <c:pt idx="7">
                  <c:v>110.55071616486407</c:v>
                </c:pt>
                <c:pt idx="8">
                  <c:v>111.12625800548948</c:v>
                </c:pt>
                <c:pt idx="9">
                  <c:v>119.7511961722488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D19-48A5-94DC-8FE4091DE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684801"/>
        <c:axId val="1296821206"/>
      </c:barChart>
      <c:catAx>
        <c:axId val="1272684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6821206"/>
        <c:crosses val="autoZero"/>
        <c:auto val="1"/>
        <c:lblAlgn val="ctr"/>
        <c:lblOffset val="100"/>
        <c:noMultiLvlLbl val="1"/>
      </c:catAx>
      <c:valAx>
        <c:axId val="129682120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Average COGS/Unit</a:t>
                </a:r>
              </a:p>
            </c:rich>
          </c:tx>
          <c:overlay val="0"/>
        </c:title>
        <c:numFmt formatCode="&quot;$&quot;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268480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CA" b="1">
                <a:solidFill>
                  <a:srgbClr val="000000"/>
                </a:solidFill>
                <a:latin typeface="+mn-lt"/>
              </a:rPr>
              <a:t>YOY Growth of Net Revenue for 2020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MG'!$C$54:$C$105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'CMA Forecast MG'!$H$54:$H$105</c:f>
              <c:numCache>
                <c:formatCode>0.00%</c:formatCode>
                <c:ptCount val="52"/>
                <c:pt idx="0">
                  <c:v>1.5199244741754705</c:v>
                </c:pt>
                <c:pt idx="1">
                  <c:v>1.4021805894728292</c:v>
                </c:pt>
                <c:pt idx="2">
                  <c:v>1.0180672496431611</c:v>
                </c:pt>
                <c:pt idx="3">
                  <c:v>1.3281090368286819</c:v>
                </c:pt>
                <c:pt idx="4">
                  <c:v>1.3527195307408211</c:v>
                </c:pt>
                <c:pt idx="5">
                  <c:v>1.2229104343832433</c:v>
                </c:pt>
                <c:pt idx="6">
                  <c:v>1.6291073974872501</c:v>
                </c:pt>
                <c:pt idx="7">
                  <c:v>1.3957348903767333</c:v>
                </c:pt>
                <c:pt idx="8">
                  <c:v>0.93263375087771783</c:v>
                </c:pt>
                <c:pt idx="9">
                  <c:v>1.0930905653114005</c:v>
                </c:pt>
                <c:pt idx="10">
                  <c:v>-0.12197534246835995</c:v>
                </c:pt>
                <c:pt idx="11">
                  <c:v>6.6229368887559925E-2</c:v>
                </c:pt>
                <c:pt idx="12">
                  <c:v>-7.693805316580582E-2</c:v>
                </c:pt>
                <c:pt idx="13">
                  <c:v>-8.0786986382206383E-2</c:v>
                </c:pt>
                <c:pt idx="14">
                  <c:v>0.6740700424030901</c:v>
                </c:pt>
                <c:pt idx="15">
                  <c:v>7.1014221755155305</c:v>
                </c:pt>
                <c:pt idx="16">
                  <c:v>-1.0322325646996837</c:v>
                </c:pt>
                <c:pt idx="17">
                  <c:v>0.10151995500541866</c:v>
                </c:pt>
                <c:pt idx="18">
                  <c:v>0.29704348034234807</c:v>
                </c:pt>
                <c:pt idx="19">
                  <c:v>0.20077655130356242</c:v>
                </c:pt>
                <c:pt idx="20">
                  <c:v>0.21531285126973687</c:v>
                </c:pt>
                <c:pt idx="21">
                  <c:v>7.9336887933691758E-2</c:v>
                </c:pt>
                <c:pt idx="22">
                  <c:v>0.15312554741319695</c:v>
                </c:pt>
                <c:pt idx="23">
                  <c:v>0.4536509587461719</c:v>
                </c:pt>
                <c:pt idx="24">
                  <c:v>0.21574555227219472</c:v>
                </c:pt>
                <c:pt idx="25">
                  <c:v>0.10240536733444272</c:v>
                </c:pt>
                <c:pt idx="26">
                  <c:v>0.19275622724067643</c:v>
                </c:pt>
                <c:pt idx="27">
                  <c:v>0.29618670606015174</c:v>
                </c:pt>
                <c:pt idx="28">
                  <c:v>-2.2166284630199429E-2</c:v>
                </c:pt>
                <c:pt idx="29">
                  <c:v>7.876449791113016E-2</c:v>
                </c:pt>
                <c:pt idx="30">
                  <c:v>-0.30618481809937026</c:v>
                </c:pt>
                <c:pt idx="31">
                  <c:v>-0.12275776359704649</c:v>
                </c:pt>
                <c:pt idx="32">
                  <c:v>0.2928696741118415</c:v>
                </c:pt>
                <c:pt idx="33">
                  <c:v>0.28459131975857321</c:v>
                </c:pt>
                <c:pt idx="34">
                  <c:v>0.58271989132509638</c:v>
                </c:pt>
                <c:pt idx="35">
                  <c:v>1.4500011430036341</c:v>
                </c:pt>
                <c:pt idx="36">
                  <c:v>-0.10152372469905135</c:v>
                </c:pt>
                <c:pt idx="37">
                  <c:v>-6.7774160574281872E-2</c:v>
                </c:pt>
                <c:pt idx="38">
                  <c:v>0.2287612666805583</c:v>
                </c:pt>
                <c:pt idx="39">
                  <c:v>-0.2469081057860858</c:v>
                </c:pt>
                <c:pt idx="40">
                  <c:v>-0.12496376496506956</c:v>
                </c:pt>
                <c:pt idx="41">
                  <c:v>-9.8351792303039809E-2</c:v>
                </c:pt>
                <c:pt idx="42">
                  <c:v>-0.20988061324593488</c:v>
                </c:pt>
                <c:pt idx="43">
                  <c:v>-0.25518348164750793</c:v>
                </c:pt>
                <c:pt idx="44">
                  <c:v>-7.7883325503470213E-2</c:v>
                </c:pt>
                <c:pt idx="45">
                  <c:v>1.080844001924941E-2</c:v>
                </c:pt>
                <c:pt idx="46">
                  <c:v>0.16785088718688357</c:v>
                </c:pt>
                <c:pt idx="47">
                  <c:v>0.14414963379800882</c:v>
                </c:pt>
                <c:pt idx="48">
                  <c:v>0.18086224142765395</c:v>
                </c:pt>
                <c:pt idx="49">
                  <c:v>0.13156018900154276</c:v>
                </c:pt>
                <c:pt idx="50">
                  <c:v>2.7959805391413628E-2</c:v>
                </c:pt>
                <c:pt idx="51">
                  <c:v>4.5941901424590315E-2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7E1-41D0-B294-8B1AF944F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610726"/>
        <c:axId val="334664722"/>
      </c:barChart>
      <c:catAx>
        <c:axId val="562610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4664722"/>
        <c:crosses val="autoZero"/>
        <c:auto val="1"/>
        <c:lblAlgn val="ctr"/>
        <c:lblOffset val="100"/>
        <c:noMultiLvlLbl val="1"/>
      </c:catAx>
      <c:valAx>
        <c:axId val="33466472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YOY Growth</a:t>
                </a:r>
              </a:p>
            </c:rich>
          </c:tx>
          <c:overlay val="0"/>
        </c:title>
        <c:numFmt formatCode="0.00%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261072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CA" b="1">
                <a:solidFill>
                  <a:srgbClr val="000000"/>
                </a:solidFill>
                <a:latin typeface="+mn-lt"/>
              </a:rPr>
              <a:t>YOY Growth for the First 10 Weeks of 2020 and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'CMA Forecast MG'!$O$122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MG'!$N$123:$N$132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'CMA Forecast MG'!$O$123:$O$132</c:f>
              <c:numCache>
                <c:formatCode>0.00%</c:formatCode>
                <c:ptCount val="10"/>
                <c:pt idx="0">
                  <c:v>0.40252565370841142</c:v>
                </c:pt>
                <c:pt idx="1">
                  <c:v>0.27414119935349102</c:v>
                </c:pt>
                <c:pt idx="2">
                  <c:v>0.60494036116135108</c:v>
                </c:pt>
                <c:pt idx="3">
                  <c:v>0.34244572504379134</c:v>
                </c:pt>
                <c:pt idx="4">
                  <c:v>0.27865724653097823</c:v>
                </c:pt>
                <c:pt idx="5">
                  <c:v>0.16379987729505352</c:v>
                </c:pt>
                <c:pt idx="6">
                  <c:v>5.0928910471649269E-2</c:v>
                </c:pt>
                <c:pt idx="7">
                  <c:v>1.8616376851449568E-2</c:v>
                </c:pt>
                <c:pt idx="8">
                  <c:v>7.0113002675379565E-2</c:v>
                </c:pt>
                <c:pt idx="9">
                  <c:v>0.19983594084858036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8A4-41EF-8057-A7F101DE385B}"/>
            </c:ext>
          </c:extLst>
        </c:ser>
        <c:ser>
          <c:idx val="1"/>
          <c:order val="1"/>
          <c:tx>
            <c:strRef>
              <c:f>'CMA Forecast MG'!$P$122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MG'!$N$123:$N$132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'CMA Forecast MG'!$P$123:$P$132</c:f>
              <c:numCache>
                <c:formatCode>0.00%</c:formatCode>
                <c:ptCount val="10"/>
                <c:pt idx="0">
                  <c:v>1.5199244741754705</c:v>
                </c:pt>
                <c:pt idx="1">
                  <c:v>1.4021805894728292</c:v>
                </c:pt>
                <c:pt idx="2">
                  <c:v>1.0180672496431611</c:v>
                </c:pt>
                <c:pt idx="3">
                  <c:v>1.3281090368286819</c:v>
                </c:pt>
                <c:pt idx="4">
                  <c:v>1.3527195307408211</c:v>
                </c:pt>
                <c:pt idx="5">
                  <c:v>1.2229104343832433</c:v>
                </c:pt>
                <c:pt idx="6">
                  <c:v>1.6291073974872501</c:v>
                </c:pt>
                <c:pt idx="7">
                  <c:v>1.3957348903767333</c:v>
                </c:pt>
                <c:pt idx="8">
                  <c:v>0.93263375087771783</c:v>
                </c:pt>
                <c:pt idx="9">
                  <c:v>1.0930905653114005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8A4-41EF-8057-A7F101DE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579637"/>
        <c:axId val="2106002318"/>
      </c:barChart>
      <c:catAx>
        <c:axId val="320579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6002318"/>
        <c:crosses val="autoZero"/>
        <c:auto val="1"/>
        <c:lblAlgn val="ctr"/>
        <c:lblOffset val="100"/>
        <c:noMultiLvlLbl val="1"/>
      </c:catAx>
      <c:valAx>
        <c:axId val="210600231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YOY Growth</a:t>
                </a:r>
              </a:p>
            </c:rich>
          </c:tx>
          <c:overlay val="0"/>
        </c:title>
        <c:numFmt formatCode="0.00%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0579637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CA" b="1">
                <a:solidFill>
                  <a:srgbClr val="000000"/>
                </a:solidFill>
                <a:latin typeface="+mn-lt"/>
              </a:rPr>
              <a:t>Predicted YOY Growth of Net Revenue in 2021 vs the Actual YOY Growth of Net Revenue in 2020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'CMA Forecast MG'!$L$40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MG'!$K$41:$K$52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'CMA Forecast MG'!$L$41:$L$52</c:f>
              <c:numCache>
                <c:formatCode>0.00%</c:formatCode>
                <c:ptCount val="12"/>
                <c:pt idx="0">
                  <c:v>0.23034844570888602</c:v>
                </c:pt>
                <c:pt idx="1">
                  <c:v>0.17199537532718345</c:v>
                </c:pt>
                <c:pt idx="2">
                  <c:v>0.14255067411147637</c:v>
                </c:pt>
                <c:pt idx="3">
                  <c:v>0.19840528752351205</c:v>
                </c:pt>
                <c:pt idx="4">
                  <c:v>0.21524110150396614</c:v>
                </c:pt>
                <c:pt idx="5">
                  <c:v>0.2257248815460513</c:v>
                </c:pt>
                <c:pt idx="6">
                  <c:v>0.63333298871631971</c:v>
                </c:pt>
                <c:pt idx="7">
                  <c:v>-0.107388756276381</c:v>
                </c:pt>
                <c:pt idx="8">
                  <c:v>1.0022865339082987</c:v>
                </c:pt>
                <c:pt idx="9">
                  <c:v>0.86595831854393768</c:v>
                </c:pt>
                <c:pt idx="10">
                  <c:v>0.12146530377291032</c:v>
                </c:pt>
                <c:pt idx="11">
                  <c:v>0.44555814530805526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379-424B-B82D-C904590B794B}"/>
            </c:ext>
          </c:extLst>
        </c:ser>
        <c:ser>
          <c:idx val="1"/>
          <c:order val="1"/>
          <c:tx>
            <c:strRef>
              <c:f>'CMA Forecast MG'!$M$40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MG'!$K$41:$K$52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'CMA Forecast MG'!$M$41:$M$52</c:f>
              <c:numCache>
                <c:formatCode>0.00%</c:formatCode>
                <c:ptCount val="12"/>
                <c:pt idx="0">
                  <c:v>1.3235727548632044</c:v>
                </c:pt>
                <c:pt idx="1">
                  <c:v>1.2699944562491927</c:v>
                </c:pt>
                <c:pt idx="2">
                  <c:v>0.30276739085518045</c:v>
                </c:pt>
                <c:pt idx="3">
                  <c:v>1.2898769290214269</c:v>
                </c:pt>
                <c:pt idx="4">
                  <c:v>0.19580739934115954</c:v>
                </c:pt>
                <c:pt idx="5">
                  <c:v>0.52528555727937842</c:v>
                </c:pt>
                <c:pt idx="6">
                  <c:v>-0.18606196834043109</c:v>
                </c:pt>
                <c:pt idx="7">
                  <c:v>2.0648337195495854</c:v>
                </c:pt>
                <c:pt idx="8">
                  <c:v>-0.20173055186324651</c:v>
                </c:pt>
                <c:pt idx="9">
                  <c:v>-0.17134755639539379</c:v>
                </c:pt>
                <c:pt idx="10">
                  <c:v>0.34336686318181942</c:v>
                </c:pt>
                <c:pt idx="11">
                  <c:v>4.2794117310471336E-2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379-424B-B82D-C904590B7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23596"/>
        <c:axId val="470026302"/>
      </c:barChart>
      <c:catAx>
        <c:axId val="116323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0026302"/>
        <c:crosses val="autoZero"/>
        <c:auto val="1"/>
        <c:lblAlgn val="ctr"/>
        <c:lblOffset val="100"/>
        <c:noMultiLvlLbl val="1"/>
      </c:catAx>
      <c:valAx>
        <c:axId val="47002630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YOY Growth</a:t>
                </a:r>
              </a:p>
            </c:rich>
          </c:tx>
          <c:overlay val="0"/>
        </c:title>
        <c:numFmt formatCode="0.00%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32359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CA" b="1">
                <a:solidFill>
                  <a:srgbClr val="000000"/>
                </a:solidFill>
                <a:latin typeface="+mn-lt"/>
              </a:rPr>
              <a:t>Centered Moving Average Estimates for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tx>
            <c:strRef>
              <c:f>'CMA Forecast MG'!$T$80</c:f>
              <c:strCache>
                <c:ptCount val="1"/>
                <c:pt idx="0">
                  <c:v>YOY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MG'!$R$81:$R$92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'CMA Forecast MG'!$T$81:$T$92</c:f>
              <c:numCache>
                <c:formatCode>0.00%</c:formatCode>
                <c:ptCount val="12"/>
                <c:pt idx="0">
                  <c:v>0.23034844570888602</c:v>
                </c:pt>
                <c:pt idx="1">
                  <c:v>0.17199537532718345</c:v>
                </c:pt>
                <c:pt idx="2">
                  <c:v>0.14255067411147637</c:v>
                </c:pt>
                <c:pt idx="3">
                  <c:v>0.19840528752351205</c:v>
                </c:pt>
                <c:pt idx="4">
                  <c:v>0.21524110150396614</c:v>
                </c:pt>
                <c:pt idx="5">
                  <c:v>0.2257248815460513</c:v>
                </c:pt>
                <c:pt idx="6">
                  <c:v>0.63333298871631971</c:v>
                </c:pt>
                <c:pt idx="7">
                  <c:v>-0.107388756276381</c:v>
                </c:pt>
                <c:pt idx="8">
                  <c:v>1.0022865339082987</c:v>
                </c:pt>
                <c:pt idx="9">
                  <c:v>0.86595831854393768</c:v>
                </c:pt>
                <c:pt idx="10">
                  <c:v>0.12146530377291032</c:v>
                </c:pt>
                <c:pt idx="11">
                  <c:v>0.44555814530805526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204-4105-A064-108B51C7E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700472"/>
        <c:axId val="1606154629"/>
      </c:barChart>
      <c:lineChart>
        <c:grouping val="standard"/>
        <c:varyColors val="0"/>
        <c:ser>
          <c:idx val="0"/>
          <c:order val="0"/>
          <c:tx>
            <c:strRef>
              <c:f>'CMA Forecast MG'!$S$80</c:f>
              <c:strCache>
                <c:ptCount val="1"/>
                <c:pt idx="0">
                  <c:v>Net Revenue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'CMA Forecast MG'!$R$81:$R$92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'CMA Forecast MG'!$S$81:$S$92</c:f>
              <c:numCache>
                <c:formatCode>"$"#,##0</c:formatCode>
                <c:ptCount val="12"/>
                <c:pt idx="0">
                  <c:v>2031007.2319543976</c:v>
                </c:pt>
                <c:pt idx="1">
                  <c:v>1774654.8524436513</c:v>
                </c:pt>
                <c:pt idx="2">
                  <c:v>2507007.3687662822</c:v>
                </c:pt>
                <c:pt idx="3">
                  <c:v>4383417.0268589007</c:v>
                </c:pt>
                <c:pt idx="4">
                  <c:v>1725507.6546595299</c:v>
                </c:pt>
                <c:pt idx="5">
                  <c:v>2288229.908988155</c:v>
                </c:pt>
                <c:pt idx="6">
                  <c:v>2298067.1751306849</c:v>
                </c:pt>
                <c:pt idx="7">
                  <c:v>5670221.968668554</c:v>
                </c:pt>
                <c:pt idx="8">
                  <c:v>12169324.198345656</c:v>
                </c:pt>
                <c:pt idx="9">
                  <c:v>2234366.2249114737</c:v>
                </c:pt>
                <c:pt idx="10">
                  <c:v>2318843.9397165724</c:v>
                </c:pt>
                <c:pt idx="11">
                  <c:v>2239267.792758151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4-4105-A064-108B51C7E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387313"/>
        <c:axId val="1390548216"/>
      </c:lineChart>
      <c:catAx>
        <c:axId val="1333387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0548216"/>
        <c:crosses val="autoZero"/>
        <c:auto val="1"/>
        <c:lblAlgn val="ctr"/>
        <c:lblOffset val="100"/>
        <c:noMultiLvlLbl val="1"/>
      </c:catAx>
      <c:valAx>
        <c:axId val="139054821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Net Revenue</a:t>
                </a:r>
              </a:p>
            </c:rich>
          </c:tx>
          <c:overlay val="0"/>
        </c:title>
        <c:numFmt formatCode="&quot;$&quot;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3387313"/>
        <c:crosses val="autoZero"/>
        <c:crossBetween val="between"/>
      </c:valAx>
      <c:catAx>
        <c:axId val="1071700472"/>
        <c:scaling>
          <c:orientation val="minMax"/>
        </c:scaling>
        <c:delete val="1"/>
        <c:axPos val="b"/>
        <c:numFmt formatCode="General" sourceLinked="1"/>
        <c:majorTickMark val="cross"/>
        <c:minorTickMark val="none"/>
        <c:tickLblPos val="nextTo"/>
        <c:crossAx val="1606154629"/>
        <c:crosses val="autoZero"/>
        <c:auto val="1"/>
        <c:lblAlgn val="ctr"/>
        <c:lblOffset val="100"/>
        <c:noMultiLvlLbl val="1"/>
      </c:catAx>
      <c:valAx>
        <c:axId val="1606154629"/>
        <c:scaling>
          <c:orientation val="minMax"/>
        </c:scaling>
        <c:delete val="0"/>
        <c:axPos val="r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YOY Growth</a:t>
                </a:r>
              </a:p>
            </c:rich>
          </c:tx>
          <c:overlay val="0"/>
        </c:title>
        <c:numFmt formatCode="0.00%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1700472"/>
        <c:crosses val="max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CA" b="1">
                <a:solidFill>
                  <a:srgbClr val="000000"/>
                </a:solidFill>
                <a:latin typeface="+mn-lt"/>
              </a:rPr>
              <a:t>Predicted Seasonal Trends of Net Revenue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'CMA Forecast MG'!$S$100</c:f>
              <c:strCache>
                <c:ptCount val="1"/>
                <c:pt idx="0">
                  <c:v>Seasonal Trend</c:v>
                </c:pt>
              </c:strCache>
            </c:strRef>
          </c:tx>
          <c:spPr>
            <a:ln w="38100"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'CMA Forecast MG'!$R$101:$R$112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'CMA Forecast MG'!$S$101:$S$112</c:f>
              <c:numCache>
                <c:formatCode>0.00%</c:formatCode>
                <c:ptCount val="12"/>
                <c:pt idx="0">
                  <c:v>0.65507866824943095</c:v>
                </c:pt>
                <c:pt idx="1">
                  <c:v>0.56126293844294994</c:v>
                </c:pt>
                <c:pt idx="2">
                  <c:v>0.77775506869110256</c:v>
                </c:pt>
                <c:pt idx="3">
                  <c:v>1.3344210757874966</c:v>
                </c:pt>
                <c:pt idx="4">
                  <c:v>0.51563463189959979</c:v>
                </c:pt>
                <c:pt idx="5">
                  <c:v>0.67145453463338434</c:v>
                </c:pt>
                <c:pt idx="6">
                  <c:v>0.66238863185203156</c:v>
                </c:pt>
                <c:pt idx="7">
                  <c:v>1.6059050773110906</c:v>
                </c:pt>
                <c:pt idx="8">
                  <c:v>3.3875653496222378</c:v>
                </c:pt>
                <c:pt idx="9">
                  <c:v>0.611510989023346</c:v>
                </c:pt>
                <c:pt idx="10">
                  <c:v>0.624127250279504</c:v>
                </c:pt>
                <c:pt idx="11">
                  <c:v>0.59289578420782707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B-4898-B55A-B016A1C00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107550"/>
        <c:axId val="1238572191"/>
      </c:lineChart>
      <c:catAx>
        <c:axId val="1450107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8572191"/>
        <c:crosses val="autoZero"/>
        <c:auto val="1"/>
        <c:lblAlgn val="ctr"/>
        <c:lblOffset val="100"/>
        <c:noMultiLvlLbl val="1"/>
      </c:catAx>
      <c:valAx>
        <c:axId val="123857219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Seasonal Trend</a:t>
                </a:r>
              </a:p>
            </c:rich>
          </c:tx>
          <c:overlay val="0"/>
        </c:title>
        <c:numFmt formatCode="0.00%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010755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CA" b="1">
                <a:solidFill>
                  <a:srgbClr val="000000"/>
                </a:solidFill>
                <a:latin typeface="+mn-lt"/>
              </a:rPr>
              <a:t>Actual Net Revenue Compared to Centered Moving Average Predictions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'CMA Forecast MG'!$U$147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MG'!$T$148:$T$153</c:f>
              <c:numCache>
                <c:formatCode>yyyy\-m</c:formatCode>
                <c:ptCount val="6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</c:numCache>
            </c:numRef>
          </c:cat>
          <c:val>
            <c:numRef>
              <c:f>'CMA Forecast MG'!$U$148:$U$153</c:f>
              <c:numCache>
                <c:formatCode>"$"#,##0</c:formatCode>
                <c:ptCount val="6"/>
                <c:pt idx="0">
                  <c:v>9669559.6239679847</c:v>
                </c:pt>
                <c:pt idx="1">
                  <c:v>1783117.8062282221</c:v>
                </c:pt>
                <c:pt idx="2">
                  <c:v>1858285.6835263472</c:v>
                </c:pt>
                <c:pt idx="3">
                  <c:v>1801755.9738862673</c:v>
                </c:pt>
                <c:pt idx="4">
                  <c:v>2031007.2319543976</c:v>
                </c:pt>
                <c:pt idx="5">
                  <c:v>1774654.8524436513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9ED-44F7-9B53-1DE88E3ACC15}"/>
            </c:ext>
          </c:extLst>
        </c:ser>
        <c:ser>
          <c:idx val="1"/>
          <c:order val="1"/>
          <c:tx>
            <c:strRef>
              <c:f>'CMA Forecast MG'!$V$147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MG'!$T$148:$T$153</c:f>
              <c:numCache>
                <c:formatCode>yyyy\-m</c:formatCode>
                <c:ptCount val="6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</c:numCache>
            </c:numRef>
          </c:cat>
          <c:val>
            <c:numRef>
              <c:f>'CMA Forecast MG'!$V$148:$V$153</c:f>
              <c:numCache>
                <c:formatCode>"$"#,##0</c:formatCode>
                <c:ptCount val="6"/>
                <c:pt idx="0">
                  <c:v>6077713.6500000004</c:v>
                </c:pt>
                <c:pt idx="1">
                  <c:v>1197436.2999999998</c:v>
                </c:pt>
                <c:pt idx="2">
                  <c:v>2067691.1999999993</c:v>
                </c:pt>
                <c:pt idx="3">
                  <c:v>1549067.9499999997</c:v>
                </c:pt>
                <c:pt idx="4">
                  <c:v>1835053.75</c:v>
                </c:pt>
                <c:pt idx="5">
                  <c:v>1653677.6999999997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9ED-44F7-9B53-1DE88E3AC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996914"/>
        <c:axId val="178248022"/>
      </c:barChart>
      <c:lineChart>
        <c:grouping val="standard"/>
        <c:varyColors val="0"/>
        <c:ser>
          <c:idx val="2"/>
          <c:order val="2"/>
          <c:tx>
            <c:strRef>
              <c:f>'CMA Forecast MG'!$W$147</c:f>
              <c:strCache>
                <c:ptCount val="1"/>
                <c:pt idx="0">
                  <c:v>Percent Error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'CMA Forecast MG'!$T$148:$T$153</c:f>
              <c:numCache>
                <c:formatCode>yyyy\-m</c:formatCode>
                <c:ptCount val="6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</c:numCache>
            </c:numRef>
          </c:cat>
          <c:val>
            <c:numRef>
              <c:f>'CMA Forecast MG'!$W$148:$W$153</c:f>
              <c:numCache>
                <c:formatCode>0.00%</c:formatCode>
                <c:ptCount val="6"/>
                <c:pt idx="0">
                  <c:v>0.59098637757769057</c:v>
                </c:pt>
                <c:pt idx="1">
                  <c:v>0.48911287074579446</c:v>
                </c:pt>
                <c:pt idx="2">
                  <c:v>0.10127504362046527</c:v>
                </c:pt>
                <c:pt idx="3">
                  <c:v>0.16312262085486154</c:v>
                </c:pt>
                <c:pt idx="4">
                  <c:v>0.10678351081236592</c:v>
                </c:pt>
                <c:pt idx="5">
                  <c:v>7.3156427303610369E-2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D-44F7-9B53-1DE88E3AC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559911"/>
        <c:axId val="1385281273"/>
      </c:lineChart>
      <c:dateAx>
        <c:axId val="1100996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yyyy\-m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248022"/>
        <c:crosses val="autoZero"/>
        <c:auto val="1"/>
        <c:lblOffset val="100"/>
        <c:baseTimeUnit val="months"/>
      </c:dateAx>
      <c:valAx>
        <c:axId val="17824802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Net Revenue</a:t>
                </a:r>
              </a:p>
            </c:rich>
          </c:tx>
          <c:overlay val="0"/>
        </c:title>
        <c:numFmt formatCode="&quot;$&quot;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0996914"/>
        <c:crosses val="autoZero"/>
        <c:crossBetween val="between"/>
      </c:valAx>
      <c:dateAx>
        <c:axId val="1526559911"/>
        <c:scaling>
          <c:orientation val="minMax"/>
        </c:scaling>
        <c:delete val="1"/>
        <c:axPos val="b"/>
        <c:numFmt formatCode="yyyy\-m" sourceLinked="1"/>
        <c:majorTickMark val="none"/>
        <c:minorTickMark val="none"/>
        <c:tickLblPos val="nextTo"/>
        <c:crossAx val="1385281273"/>
        <c:crosses val="autoZero"/>
        <c:auto val="1"/>
        <c:lblOffset val="100"/>
        <c:baseTimeUnit val="months"/>
      </c:dateAx>
      <c:valAx>
        <c:axId val="1385281273"/>
        <c:scaling>
          <c:orientation val="minMax"/>
        </c:scaling>
        <c:delete val="0"/>
        <c:axPos val="r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0.00%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6559911"/>
        <c:crosses val="max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Predicted Seasonal Trends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'CMA Forecast MG'!$S$100</c:f>
              <c:strCache>
                <c:ptCount val="1"/>
                <c:pt idx="0">
                  <c:v>Seasonal Trend</c:v>
                </c:pt>
              </c:strCache>
            </c:strRef>
          </c:tx>
          <c:spPr>
            <a:ln w="38100"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'CMA Forecast MG'!$R$101:$R$112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'CMA Forecast MG'!$S$101:$S$112</c:f>
              <c:numCache>
                <c:formatCode>0.00%</c:formatCode>
                <c:ptCount val="12"/>
                <c:pt idx="0">
                  <c:v>0.65507866824943095</c:v>
                </c:pt>
                <c:pt idx="1">
                  <c:v>0.56126293844294994</c:v>
                </c:pt>
                <c:pt idx="2">
                  <c:v>0.77775506869110256</c:v>
                </c:pt>
                <c:pt idx="3">
                  <c:v>1.3344210757874966</c:v>
                </c:pt>
                <c:pt idx="4">
                  <c:v>0.51563463189959979</c:v>
                </c:pt>
                <c:pt idx="5">
                  <c:v>0.67145453463338434</c:v>
                </c:pt>
                <c:pt idx="6">
                  <c:v>0.66238863185203156</c:v>
                </c:pt>
                <c:pt idx="7">
                  <c:v>1.6059050773110906</c:v>
                </c:pt>
                <c:pt idx="8">
                  <c:v>3.3875653496222378</c:v>
                </c:pt>
                <c:pt idx="9">
                  <c:v>0.611510989023346</c:v>
                </c:pt>
                <c:pt idx="10">
                  <c:v>0.624127250279504</c:v>
                </c:pt>
                <c:pt idx="11">
                  <c:v>0.59289578420782707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0-4076-BF6B-4F5EA5CA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611546"/>
        <c:axId val="253127200"/>
      </c:lineChart>
      <c:catAx>
        <c:axId val="633611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3127200"/>
        <c:crosses val="autoZero"/>
        <c:auto val="1"/>
        <c:lblAlgn val="ctr"/>
        <c:lblOffset val="100"/>
        <c:noMultiLvlLbl val="1"/>
      </c:catAx>
      <c:valAx>
        <c:axId val="25312720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Seasonal Trend</a:t>
                </a:r>
              </a:p>
            </c:rich>
          </c:tx>
          <c:overlay val="0"/>
        </c:title>
        <c:numFmt formatCode="0.00%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36115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CA" b="1">
                <a:solidFill>
                  <a:srgbClr val="000000"/>
                </a:solidFill>
                <a:latin typeface="+mn-lt"/>
              </a:rPr>
              <a:t>Net Revenue Comparison for All Years Analyzed</a:t>
            </a:r>
          </a:p>
        </c:rich>
      </c:tx>
      <c:layout>
        <c:manualLayout>
          <c:xMode val="edge"/>
          <c:yMode val="edge"/>
          <c:x val="0.31258333333333332"/>
          <c:y val="3.1031426570660336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'CMA Forecast MG'!$U$191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MG'!$T$192:$T$203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'CMA Forecast MG'!$U$192:$U$203</c:f>
              <c:numCache>
                <c:formatCode>"$"#,##0</c:formatCode>
                <c:ptCount val="12"/>
                <c:pt idx="0">
                  <c:v>2031007.2319543976</c:v>
                </c:pt>
                <c:pt idx="1">
                  <c:v>1774654.8524436513</c:v>
                </c:pt>
                <c:pt idx="2">
                  <c:v>2507007.3687662822</c:v>
                </c:pt>
                <c:pt idx="3">
                  <c:v>4383417.0268589007</c:v>
                </c:pt>
                <c:pt idx="4">
                  <c:v>1725507.6546595299</c:v>
                </c:pt>
                <c:pt idx="5">
                  <c:v>2288229.908988155</c:v>
                </c:pt>
                <c:pt idx="6">
                  <c:v>2298067.1751306849</c:v>
                </c:pt>
                <c:pt idx="7">
                  <c:v>5670221.968668554</c:v>
                </c:pt>
                <c:pt idx="8">
                  <c:v>12169324.198345656</c:v>
                </c:pt>
                <c:pt idx="9">
                  <c:v>2234366.2249114737</c:v>
                </c:pt>
                <c:pt idx="10">
                  <c:v>2318843.9397165724</c:v>
                </c:pt>
                <c:pt idx="11">
                  <c:v>2239267.792758151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371-46FB-815B-C8C50CF09BEB}"/>
            </c:ext>
          </c:extLst>
        </c:ser>
        <c:ser>
          <c:idx val="1"/>
          <c:order val="1"/>
          <c:tx>
            <c:strRef>
              <c:f>'CMA Forecast MG'!$V$191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MG'!$T$192:$T$203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'CMA Forecast MG'!$V$192:$V$203</c:f>
              <c:numCache>
                <c:formatCode>"$"#,##0</c:formatCode>
                <c:ptCount val="12"/>
                <c:pt idx="0">
                  <c:v>1650757.7499999998</c:v>
                </c:pt>
                <c:pt idx="1">
                  <c:v>1514216.5999999999</c:v>
                </c:pt>
                <c:pt idx="2">
                  <c:v>2194219.8499999996</c:v>
                </c:pt>
                <c:pt idx="3">
                  <c:v>3657708.3499999996</c:v>
                </c:pt>
                <c:pt idx="4">
                  <c:v>1419889.1499999997</c:v>
                </c:pt>
                <c:pt idx="5">
                  <c:v>1866838.0999999996</c:v>
                </c:pt>
                <c:pt idx="6">
                  <c:v>1406980.1999999997</c:v>
                </c:pt>
                <c:pt idx="7">
                  <c:v>6352398.0999999996</c:v>
                </c:pt>
                <c:pt idx="8">
                  <c:v>6077713.6500000004</c:v>
                </c:pt>
                <c:pt idx="9">
                  <c:v>1197436.2999999998</c:v>
                </c:pt>
                <c:pt idx="10">
                  <c:v>2067691.1999999993</c:v>
                </c:pt>
                <c:pt idx="11">
                  <c:v>1549067.9499999997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371-46FB-815B-C8C50CF09BEB}"/>
            </c:ext>
          </c:extLst>
        </c:ser>
        <c:ser>
          <c:idx val="2"/>
          <c:order val="2"/>
          <c:tx>
            <c:strRef>
              <c:f>'CMA Forecast MG'!$W$191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MG'!$T$192:$T$203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'CMA Forecast MG'!$W$192:$W$203</c:f>
              <c:numCache>
                <c:formatCode>"$"#,##0</c:formatCode>
                <c:ptCount val="12"/>
                <c:pt idx="0">
                  <c:v>710439.45</c:v>
                </c:pt>
                <c:pt idx="1">
                  <c:v>667057.39999999979</c:v>
                </c:pt>
                <c:pt idx="2">
                  <c:v>1684275.9999999998</c:v>
                </c:pt>
                <c:pt idx="3">
                  <c:v>1597338.4</c:v>
                </c:pt>
                <c:pt idx="4">
                  <c:v>1187389.5</c:v>
                </c:pt>
                <c:pt idx="5">
                  <c:v>1223926.9499999997</c:v>
                </c:pt>
                <c:pt idx="6">
                  <c:v>1728608.4999999998</c:v>
                </c:pt>
                <c:pt idx="7">
                  <c:v>2072673.0000000005</c:v>
                </c:pt>
                <c:pt idx="8">
                  <c:v>7613611.7499999981</c:v>
                </c:pt>
                <c:pt idx="9">
                  <c:v>1445040.45</c:v>
                </c:pt>
                <c:pt idx="10">
                  <c:v>1539185.8</c:v>
                </c:pt>
                <c:pt idx="11">
                  <c:v>1485497.3999999994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371-46FB-815B-C8C50CF09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31502"/>
        <c:axId val="1598476452"/>
      </c:barChart>
      <c:catAx>
        <c:axId val="28231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8476452"/>
        <c:crosses val="autoZero"/>
        <c:auto val="1"/>
        <c:lblAlgn val="ctr"/>
        <c:lblOffset val="100"/>
        <c:noMultiLvlLbl val="1"/>
      </c:catAx>
      <c:valAx>
        <c:axId val="159847645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Net Revenue</a:t>
                </a:r>
              </a:p>
            </c:rich>
          </c:tx>
          <c:overlay val="0"/>
        </c:title>
        <c:numFmt formatCode="&quot;$&quot;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231502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First 10 Weeks Net Revenue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'CMA Forecast MG'!$B$123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MG'!$A$124:$A$133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'CMA Forecast MG'!$B$124:$B$133</c:f>
              <c:numCache>
                <c:formatCode>"$"#,##0</c:formatCode>
                <c:ptCount val="10"/>
                <c:pt idx="0">
                  <c:v>496498.85000000009</c:v>
                </c:pt>
                <c:pt idx="1">
                  <c:v>452456.64999999991</c:v>
                </c:pt>
                <c:pt idx="2">
                  <c:v>466535.69999999995</c:v>
                </c:pt>
                <c:pt idx="3">
                  <c:v>419562.55000000005</c:v>
                </c:pt>
                <c:pt idx="4">
                  <c:v>432728.29999999981</c:v>
                </c:pt>
                <c:pt idx="5">
                  <c:v>425002.20000000019</c:v>
                </c:pt>
                <c:pt idx="6">
                  <c:v>422222.25</c:v>
                </c:pt>
                <c:pt idx="7">
                  <c:v>373724.94999999972</c:v>
                </c:pt>
                <c:pt idx="8">
                  <c:v>407045.25</c:v>
                </c:pt>
                <c:pt idx="9">
                  <c:v>457967.29999999981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82-4909-98AF-410056A27B68}"/>
            </c:ext>
          </c:extLst>
        </c:ser>
        <c:ser>
          <c:idx val="1"/>
          <c:order val="1"/>
          <c:tx>
            <c:strRef>
              <c:f>'CMA Forecast MG'!$C$123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MG'!$A$124:$A$133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'CMA Forecast MG'!$C$124:$C$133</c:f>
              <c:numCache>
                <c:formatCode>"$"#,##0</c:formatCode>
                <c:ptCount val="10"/>
                <c:pt idx="0">
                  <c:v>354003.39999999991</c:v>
                </c:pt>
                <c:pt idx="1">
                  <c:v>355107.14999999991</c:v>
                </c:pt>
                <c:pt idx="2">
                  <c:v>290687.25</c:v>
                </c:pt>
                <c:pt idx="3">
                  <c:v>312535.94999999995</c:v>
                </c:pt>
                <c:pt idx="4">
                  <c:v>338424</c:v>
                </c:pt>
                <c:pt idx="5">
                  <c:v>365184.94999999995</c:v>
                </c:pt>
                <c:pt idx="6">
                  <c:v>401760.99999999977</c:v>
                </c:pt>
                <c:pt idx="7">
                  <c:v>366894.70000000019</c:v>
                </c:pt>
                <c:pt idx="8">
                  <c:v>380375.94999999995</c:v>
                </c:pt>
                <c:pt idx="9">
                  <c:v>381691.59999999986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782-4909-98AF-410056A27B68}"/>
            </c:ext>
          </c:extLst>
        </c:ser>
        <c:ser>
          <c:idx val="2"/>
          <c:order val="2"/>
          <c:tx>
            <c:strRef>
              <c:f>'CMA Forecast MG'!$D$123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MG'!$A$124:$A$133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'CMA Forecast MG'!$D$124:$D$133</c:f>
              <c:numCache>
                <c:formatCode>"$"#,##0</c:formatCode>
                <c:ptCount val="10"/>
                <c:pt idx="0">
                  <c:v>140482</c:v>
                </c:pt>
                <c:pt idx="1">
                  <c:v>147827</c:v>
                </c:pt>
                <c:pt idx="2">
                  <c:v>144042.39999999997</c:v>
                </c:pt>
                <c:pt idx="3">
                  <c:v>134244.55000000005</c:v>
                </c:pt>
                <c:pt idx="4">
                  <c:v>143843.75</c:v>
                </c:pt>
                <c:pt idx="5">
                  <c:v>164282.34999999998</c:v>
                </c:pt>
                <c:pt idx="6">
                  <c:v>152812.69999999995</c:v>
                </c:pt>
                <c:pt idx="7">
                  <c:v>153144.94999999995</c:v>
                </c:pt>
                <c:pt idx="8">
                  <c:v>196817.39999999991</c:v>
                </c:pt>
                <c:pt idx="9">
                  <c:v>182357.90000000002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782-4909-98AF-410056A2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347351"/>
        <c:axId val="361141018"/>
      </c:barChart>
      <c:catAx>
        <c:axId val="465347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1141018"/>
        <c:crosses val="autoZero"/>
        <c:auto val="1"/>
        <c:lblAlgn val="ctr"/>
        <c:lblOffset val="100"/>
        <c:noMultiLvlLbl val="1"/>
      </c:catAx>
      <c:valAx>
        <c:axId val="36114101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Revenue</a:t>
                </a:r>
              </a:p>
            </c:rich>
          </c:tx>
          <c:overlay val="0"/>
        </c:title>
        <c:numFmt formatCode="&quot;$&quot;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53473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First 10 Weeks Average COGS/Unit</a:t>
            </a:r>
          </a:p>
        </c:rich>
      </c:tx>
      <c:layout>
        <c:manualLayout>
          <c:xMode val="edge"/>
          <c:yMode val="edge"/>
          <c:x val="3.4250000000000003E-2"/>
          <c:y val="0.05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'CMA Forecast MG'!$H$149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MG'!$G$150:$G$159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'CMA Forecast MG'!$H$150:$H$159</c:f>
              <c:numCache>
                <c:formatCode>"$"#,##0</c:formatCode>
                <c:ptCount val="10"/>
                <c:pt idx="0">
                  <c:v>147.05046036111443</c:v>
                </c:pt>
                <c:pt idx="1">
                  <c:v>135.06081814890794</c:v>
                </c:pt>
                <c:pt idx="2">
                  <c:v>135.1201731804353</c:v>
                </c:pt>
                <c:pt idx="3">
                  <c:v>128.81538079264504</c:v>
                </c:pt>
                <c:pt idx="4">
                  <c:v>128.05410581757243</c:v>
                </c:pt>
                <c:pt idx="5">
                  <c:v>128.7788131436979</c:v>
                </c:pt>
                <c:pt idx="6">
                  <c:v>130.23668122270743</c:v>
                </c:pt>
                <c:pt idx="7">
                  <c:v>130.77212859368362</c:v>
                </c:pt>
                <c:pt idx="8">
                  <c:v>126.75337114051669</c:v>
                </c:pt>
                <c:pt idx="9">
                  <c:v>125.70080053368913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C73-4E47-8D9F-98496C87627D}"/>
            </c:ext>
          </c:extLst>
        </c:ser>
        <c:ser>
          <c:idx val="1"/>
          <c:order val="1"/>
          <c:tx>
            <c:strRef>
              <c:f>'CMA Forecast MG'!$I$149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MG'!$G$150:$G$159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'CMA Forecast MG'!$I$150:$I$159</c:f>
              <c:numCache>
                <c:formatCode>"$"#,##0</c:formatCode>
                <c:ptCount val="10"/>
                <c:pt idx="0">
                  <c:v>129.04902251184834</c:v>
                </c:pt>
                <c:pt idx="1">
                  <c:v>132.10095209309355</c:v>
                </c:pt>
                <c:pt idx="2">
                  <c:v>127.82895442359249</c:v>
                </c:pt>
                <c:pt idx="3">
                  <c:v>129.44739942770576</c:v>
                </c:pt>
                <c:pt idx="4">
                  <c:v>132.22238095238095</c:v>
                </c:pt>
                <c:pt idx="5">
                  <c:v>132.57130216782184</c:v>
                </c:pt>
                <c:pt idx="6">
                  <c:v>134.79455040871935</c:v>
                </c:pt>
                <c:pt idx="7">
                  <c:v>131.5543256626857</c:v>
                </c:pt>
                <c:pt idx="8">
                  <c:v>133.00695923874449</c:v>
                </c:pt>
                <c:pt idx="9">
                  <c:v>134.09360730593608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C73-4E47-8D9F-98496C87627D}"/>
            </c:ext>
          </c:extLst>
        </c:ser>
        <c:ser>
          <c:idx val="2"/>
          <c:order val="2"/>
          <c:tx>
            <c:strRef>
              <c:f>'CMA Forecast MG'!$J$149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MG'!$G$150:$G$159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'CMA Forecast MG'!$J$150:$J$159</c:f>
              <c:numCache>
                <c:formatCode>"$"#,##0</c:formatCode>
                <c:ptCount val="10"/>
                <c:pt idx="0">
                  <c:v>110.32782193958664</c:v>
                </c:pt>
                <c:pt idx="1">
                  <c:v>108.6264880952381</c:v>
                </c:pt>
                <c:pt idx="2">
                  <c:v>108.69009779951101</c:v>
                </c:pt>
                <c:pt idx="3">
                  <c:v>110.15785975407113</c:v>
                </c:pt>
                <c:pt idx="4">
                  <c:v>108.75742725880551</c:v>
                </c:pt>
                <c:pt idx="5">
                  <c:v>109.83292715949094</c:v>
                </c:pt>
                <c:pt idx="6">
                  <c:v>110.11850554582604</c:v>
                </c:pt>
                <c:pt idx="7">
                  <c:v>110.55071616486407</c:v>
                </c:pt>
                <c:pt idx="8">
                  <c:v>111.12625800548948</c:v>
                </c:pt>
                <c:pt idx="9">
                  <c:v>119.7511961722488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C73-4E47-8D9F-98496C876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623786"/>
        <c:axId val="150587192"/>
      </c:barChart>
      <c:catAx>
        <c:axId val="1838623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587192"/>
        <c:crosses val="autoZero"/>
        <c:auto val="1"/>
        <c:lblAlgn val="ctr"/>
        <c:lblOffset val="100"/>
        <c:noMultiLvlLbl val="1"/>
      </c:catAx>
      <c:valAx>
        <c:axId val="15058719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COGS/Unit</a:t>
                </a:r>
              </a:p>
            </c:rich>
          </c:tx>
          <c:overlay val="0"/>
        </c:title>
        <c:numFmt formatCode="&quot;$&quot;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86237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First 10 Weeks YOY Growth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'CMA Forecast MG'!$O$122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MG'!$N$123:$N$132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'CMA Forecast MG'!$O$123:$O$132</c:f>
              <c:numCache>
                <c:formatCode>0.00%</c:formatCode>
                <c:ptCount val="10"/>
                <c:pt idx="0">
                  <c:v>0.40252565370841142</c:v>
                </c:pt>
                <c:pt idx="1">
                  <c:v>0.27414119935349102</c:v>
                </c:pt>
                <c:pt idx="2">
                  <c:v>0.60494036116135108</c:v>
                </c:pt>
                <c:pt idx="3">
                  <c:v>0.34244572504379134</c:v>
                </c:pt>
                <c:pt idx="4">
                  <c:v>0.27865724653097823</c:v>
                </c:pt>
                <c:pt idx="5">
                  <c:v>0.16379987729505352</c:v>
                </c:pt>
                <c:pt idx="6">
                  <c:v>5.0928910471649269E-2</c:v>
                </c:pt>
                <c:pt idx="7">
                  <c:v>1.8616376851449568E-2</c:v>
                </c:pt>
                <c:pt idx="8">
                  <c:v>7.0113002675379565E-2</c:v>
                </c:pt>
                <c:pt idx="9">
                  <c:v>0.19983594084858036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C9F-4A22-B68A-494CAB31D41A}"/>
            </c:ext>
          </c:extLst>
        </c:ser>
        <c:ser>
          <c:idx val="1"/>
          <c:order val="1"/>
          <c:tx>
            <c:strRef>
              <c:f>'CMA Forecast MG'!$P$122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MG'!$N$123:$N$132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'CMA Forecast MG'!$P$123:$P$132</c:f>
              <c:numCache>
                <c:formatCode>0.00%</c:formatCode>
                <c:ptCount val="10"/>
                <c:pt idx="0">
                  <c:v>1.5199244741754705</c:v>
                </c:pt>
                <c:pt idx="1">
                  <c:v>1.4021805894728292</c:v>
                </c:pt>
                <c:pt idx="2">
                  <c:v>1.0180672496431611</c:v>
                </c:pt>
                <c:pt idx="3">
                  <c:v>1.3281090368286819</c:v>
                </c:pt>
                <c:pt idx="4">
                  <c:v>1.3527195307408211</c:v>
                </c:pt>
                <c:pt idx="5">
                  <c:v>1.2229104343832433</c:v>
                </c:pt>
                <c:pt idx="6">
                  <c:v>1.6291073974872501</c:v>
                </c:pt>
                <c:pt idx="7">
                  <c:v>1.3957348903767333</c:v>
                </c:pt>
                <c:pt idx="8">
                  <c:v>0.93263375087771783</c:v>
                </c:pt>
                <c:pt idx="9">
                  <c:v>1.0930905653114005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C9F-4A22-B68A-494CAB31D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2659971"/>
        <c:axId val="1779623214"/>
      </c:barChart>
      <c:catAx>
        <c:axId val="762659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9623214"/>
        <c:crosses val="autoZero"/>
        <c:auto val="1"/>
        <c:lblAlgn val="ctr"/>
        <c:lblOffset val="100"/>
        <c:noMultiLvlLbl val="1"/>
      </c:catAx>
      <c:valAx>
        <c:axId val="177962321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YOY Growth</a:t>
                </a:r>
              </a:p>
            </c:rich>
          </c:tx>
          <c:overlay val="0"/>
        </c:title>
        <c:numFmt formatCode="0.00%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26599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Comparison of CMA Net Revenue Predictions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'CMA Forecast MG'!$U$147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MG'!$T$148:$T$153</c:f>
              <c:numCache>
                <c:formatCode>yyyy\-m</c:formatCode>
                <c:ptCount val="6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</c:numCache>
            </c:numRef>
          </c:cat>
          <c:val>
            <c:numRef>
              <c:f>'CMA Forecast MG'!$U$148:$U$153</c:f>
              <c:numCache>
                <c:formatCode>"$"#,##0</c:formatCode>
                <c:ptCount val="6"/>
                <c:pt idx="0">
                  <c:v>9669559.6239679847</c:v>
                </c:pt>
                <c:pt idx="1">
                  <c:v>1783117.8062282221</c:v>
                </c:pt>
                <c:pt idx="2">
                  <c:v>1858285.6835263472</c:v>
                </c:pt>
                <c:pt idx="3">
                  <c:v>1801755.9738862673</c:v>
                </c:pt>
                <c:pt idx="4">
                  <c:v>2031007.2319543976</c:v>
                </c:pt>
                <c:pt idx="5">
                  <c:v>1774654.8524436513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FAA-423C-A29B-72B9AA2B4F50}"/>
            </c:ext>
          </c:extLst>
        </c:ser>
        <c:ser>
          <c:idx val="1"/>
          <c:order val="1"/>
          <c:tx>
            <c:strRef>
              <c:f>'CMA Forecast MG'!$V$147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MG'!$T$148:$T$153</c:f>
              <c:numCache>
                <c:formatCode>yyyy\-m</c:formatCode>
                <c:ptCount val="6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</c:numCache>
            </c:numRef>
          </c:cat>
          <c:val>
            <c:numRef>
              <c:f>'CMA Forecast MG'!$V$148:$V$153</c:f>
              <c:numCache>
                <c:formatCode>"$"#,##0</c:formatCode>
                <c:ptCount val="6"/>
                <c:pt idx="0">
                  <c:v>6077713.6500000004</c:v>
                </c:pt>
                <c:pt idx="1">
                  <c:v>1197436.2999999998</c:v>
                </c:pt>
                <c:pt idx="2">
                  <c:v>2067691.1999999993</c:v>
                </c:pt>
                <c:pt idx="3">
                  <c:v>1549067.9499999997</c:v>
                </c:pt>
                <c:pt idx="4">
                  <c:v>1835053.75</c:v>
                </c:pt>
                <c:pt idx="5">
                  <c:v>1653677.6999999997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FAA-423C-A29B-72B9AA2B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868723"/>
        <c:axId val="66711774"/>
      </c:barChart>
      <c:lineChart>
        <c:grouping val="standard"/>
        <c:varyColors val="0"/>
        <c:ser>
          <c:idx val="2"/>
          <c:order val="2"/>
          <c:tx>
            <c:strRef>
              <c:f>'CMA Forecast MG'!$W$147</c:f>
              <c:strCache>
                <c:ptCount val="1"/>
                <c:pt idx="0">
                  <c:v>Percent Error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'CMA Forecast MG'!$T$148:$T$153</c:f>
              <c:numCache>
                <c:formatCode>yyyy\-m</c:formatCode>
                <c:ptCount val="6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</c:numCache>
            </c:numRef>
          </c:cat>
          <c:val>
            <c:numRef>
              <c:f>'CMA Forecast MG'!$W$148:$W$153</c:f>
              <c:numCache>
                <c:formatCode>0.00%</c:formatCode>
                <c:ptCount val="6"/>
                <c:pt idx="0">
                  <c:v>0.59098637757769057</c:v>
                </c:pt>
                <c:pt idx="1">
                  <c:v>0.48911287074579446</c:v>
                </c:pt>
                <c:pt idx="2">
                  <c:v>0.10127504362046527</c:v>
                </c:pt>
                <c:pt idx="3">
                  <c:v>0.16312262085486154</c:v>
                </c:pt>
                <c:pt idx="4">
                  <c:v>0.10678351081236592</c:v>
                </c:pt>
                <c:pt idx="5">
                  <c:v>7.3156427303610369E-2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A-423C-A29B-72B9AA2B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416343"/>
        <c:axId val="1524561706"/>
      </c:lineChart>
      <c:dateAx>
        <c:axId val="227868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yyyy\-m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711774"/>
        <c:crosses val="autoZero"/>
        <c:auto val="1"/>
        <c:lblOffset val="100"/>
        <c:baseTimeUnit val="months"/>
      </c:dateAx>
      <c:valAx>
        <c:axId val="6671177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Revenue</a:t>
                </a:r>
              </a:p>
            </c:rich>
          </c:tx>
          <c:overlay val="0"/>
        </c:title>
        <c:numFmt formatCode="&quot;$&quot;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7868723"/>
        <c:crosses val="autoZero"/>
        <c:crossBetween val="between"/>
      </c:valAx>
      <c:dateAx>
        <c:axId val="1813416343"/>
        <c:scaling>
          <c:orientation val="minMax"/>
        </c:scaling>
        <c:delete val="1"/>
        <c:axPos val="b"/>
        <c:numFmt formatCode="yyyy\-m" sourceLinked="1"/>
        <c:majorTickMark val="none"/>
        <c:minorTickMark val="none"/>
        <c:tickLblPos val="nextTo"/>
        <c:crossAx val="1524561706"/>
        <c:crosses val="autoZero"/>
        <c:auto val="1"/>
        <c:lblOffset val="100"/>
        <c:baseTimeUnit val="months"/>
      </c:dateAx>
      <c:valAx>
        <c:axId val="1524561706"/>
        <c:scaling>
          <c:orientation val="minMax"/>
        </c:scaling>
        <c:delete val="0"/>
        <c:axPos val="r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0.00%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341634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Net Revenue for 2019 and 2020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MG'!$J$199:$J$252</c:f>
              <c:numCache>
                <c:formatCode>General</c:formatCode>
                <c:ptCount val="5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'CMA Forecast MG'!$K$199:$K$252</c:f>
              <c:numCache>
                <c:formatCode>"$"#,##0</c:formatCode>
                <c:ptCount val="54"/>
                <c:pt idx="0" formatCode="General">
                  <c:v>2019</c:v>
                </c:pt>
                <c:pt idx="1">
                  <c:v>140482</c:v>
                </c:pt>
                <c:pt idx="2">
                  <c:v>147827</c:v>
                </c:pt>
                <c:pt idx="3">
                  <c:v>144042.39999999997</c:v>
                </c:pt>
                <c:pt idx="4">
                  <c:v>134244.55000000005</c:v>
                </c:pt>
                <c:pt idx="5">
                  <c:v>143843.75</c:v>
                </c:pt>
                <c:pt idx="6">
                  <c:v>164282.34999999998</c:v>
                </c:pt>
                <c:pt idx="7">
                  <c:v>152812.69999999995</c:v>
                </c:pt>
                <c:pt idx="8">
                  <c:v>153144.94999999995</c:v>
                </c:pt>
                <c:pt idx="9">
                  <c:v>196817.39999999991</c:v>
                </c:pt>
                <c:pt idx="10">
                  <c:v>182357.90000000002</c:v>
                </c:pt>
                <c:pt idx="11">
                  <c:v>525559.5</c:v>
                </c:pt>
                <c:pt idx="12">
                  <c:v>549785.54999999981</c:v>
                </c:pt>
                <c:pt idx="13">
                  <c:v>426573.05000000005</c:v>
                </c:pt>
                <c:pt idx="14">
                  <c:v>403740.14999999991</c:v>
                </c:pt>
                <c:pt idx="15">
                  <c:v>206329.30000000005</c:v>
                </c:pt>
                <c:pt idx="16">
                  <c:v>369968.39999999991</c:v>
                </c:pt>
                <c:pt idx="17">
                  <c:v>321887.19999999995</c:v>
                </c:pt>
                <c:pt idx="18">
                  <c:v>295413.34999999998</c:v>
                </c:pt>
                <c:pt idx="19">
                  <c:v>284078.95000000007</c:v>
                </c:pt>
                <c:pt idx="20">
                  <c:v>298769.69999999995</c:v>
                </c:pt>
                <c:pt idx="21">
                  <c:v>295401.55000000005</c:v>
                </c:pt>
                <c:pt idx="22">
                  <c:v>309139.30000000005</c:v>
                </c:pt>
                <c:pt idx="23">
                  <c:v>293710.94999999995</c:v>
                </c:pt>
                <c:pt idx="24">
                  <c:v>261416.94999999995</c:v>
                </c:pt>
                <c:pt idx="25">
                  <c:v>318457.54999999981</c:v>
                </c:pt>
                <c:pt idx="26">
                  <c:v>350341.5</c:v>
                </c:pt>
                <c:pt idx="27">
                  <c:v>314198.14999999991</c:v>
                </c:pt>
                <c:pt idx="28">
                  <c:v>293788</c:v>
                </c:pt>
                <c:pt idx="29">
                  <c:v>375378.64999999991</c:v>
                </c:pt>
                <c:pt idx="30">
                  <c:v>369027.30000000005</c:v>
                </c:pt>
                <c:pt idx="31">
                  <c:v>376216.39999999991</c:v>
                </c:pt>
                <c:pt idx="32">
                  <c:v>367964.09999999986</c:v>
                </c:pt>
                <c:pt idx="33">
                  <c:v>442550.60000000009</c:v>
                </c:pt>
                <c:pt idx="34">
                  <c:v>473751.80000000005</c:v>
                </c:pt>
                <c:pt idx="35">
                  <c:v>788406.50000000047</c:v>
                </c:pt>
                <c:pt idx="36">
                  <c:v>1469811.5999999996</c:v>
                </c:pt>
                <c:pt idx="37">
                  <c:v>1637549.75</c:v>
                </c:pt>
                <c:pt idx="38">
                  <c:v>2143030.5999999996</c:v>
                </c:pt>
                <c:pt idx="39">
                  <c:v>1742605.0999999996</c:v>
                </c:pt>
                <c:pt idx="40">
                  <c:v>620614.69999999972</c:v>
                </c:pt>
                <c:pt idx="41">
                  <c:v>386366.40000000014</c:v>
                </c:pt>
                <c:pt idx="42">
                  <c:v>350583.84999999986</c:v>
                </c:pt>
                <c:pt idx="43">
                  <c:v>349892.25</c:v>
                </c:pt>
                <c:pt idx="44">
                  <c:v>358197.94999999995</c:v>
                </c:pt>
                <c:pt idx="45">
                  <c:v>372611.85000000009</c:v>
                </c:pt>
                <c:pt idx="46">
                  <c:v>418608.05000000005</c:v>
                </c:pt>
                <c:pt idx="47">
                  <c:v>401121.80000000005</c:v>
                </c:pt>
                <c:pt idx="48">
                  <c:v>346844.09999999986</c:v>
                </c:pt>
                <c:pt idx="49">
                  <c:v>368946.54999999981</c:v>
                </c:pt>
                <c:pt idx="50">
                  <c:v>386494.19999999972</c:v>
                </c:pt>
                <c:pt idx="51">
                  <c:v>375523</c:v>
                </c:pt>
                <c:pt idx="52">
                  <c:v>354533.64999999991</c:v>
                </c:pt>
                <c:pt idx="5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8E6-419E-BFBD-83911FE518DD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MG'!$J$199:$J$252</c:f>
              <c:numCache>
                <c:formatCode>General</c:formatCode>
                <c:ptCount val="5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'CMA Forecast MG'!$L$199:$L$252</c:f>
              <c:numCache>
                <c:formatCode>"$"#,##0</c:formatCode>
                <c:ptCount val="54"/>
                <c:pt idx="0" formatCode="General">
                  <c:v>2020</c:v>
                </c:pt>
                <c:pt idx="1">
                  <c:v>354003.39999999991</c:v>
                </c:pt>
                <c:pt idx="2">
                  <c:v>355107.14999999991</c:v>
                </c:pt>
                <c:pt idx="3">
                  <c:v>290687.25</c:v>
                </c:pt>
                <c:pt idx="4">
                  <c:v>312535.94999999995</c:v>
                </c:pt>
                <c:pt idx="5">
                  <c:v>338424</c:v>
                </c:pt>
                <c:pt idx="6">
                  <c:v>365184.94999999995</c:v>
                </c:pt>
                <c:pt idx="7">
                  <c:v>401760.99999999977</c:v>
                </c:pt>
                <c:pt idx="8">
                  <c:v>366894.70000000019</c:v>
                </c:pt>
                <c:pt idx="9">
                  <c:v>380375.94999999995</c:v>
                </c:pt>
                <c:pt idx="10">
                  <c:v>381691.59999999986</c:v>
                </c:pt>
                <c:pt idx="11">
                  <c:v>461454.19999999995</c:v>
                </c:pt>
                <c:pt idx="12">
                  <c:v>586197.49999999977</c:v>
                </c:pt>
                <c:pt idx="13">
                  <c:v>393753.35000000009</c:v>
                </c:pt>
                <c:pt idx="14">
                  <c:v>371123.19999999995</c:v>
                </c:pt>
                <c:pt idx="15">
                  <c:v>345409.69999999995</c:v>
                </c:pt>
                <c:pt idx="16">
                  <c:v>2997270.1999999993</c:v>
                </c:pt>
                <c:pt idx="17">
                  <c:v>-10375.25</c:v>
                </c:pt>
                <c:pt idx="18">
                  <c:v>325403.69999999995</c:v>
                </c:pt>
                <c:pt idx="19">
                  <c:v>368462.75</c:v>
                </c:pt>
                <c:pt idx="20">
                  <c:v>358755.64999999991</c:v>
                </c:pt>
                <c:pt idx="21">
                  <c:v>359005.29999999981</c:v>
                </c:pt>
                <c:pt idx="22">
                  <c:v>333665.44999999995</c:v>
                </c:pt>
                <c:pt idx="23">
                  <c:v>338685.60000000009</c:v>
                </c:pt>
                <c:pt idx="24">
                  <c:v>380009</c:v>
                </c:pt>
                <c:pt idx="25">
                  <c:v>387163.34999999986</c:v>
                </c:pt>
                <c:pt idx="26">
                  <c:v>386218.34999999963</c:v>
                </c:pt>
                <c:pt idx="27">
                  <c:v>374761.80000000005</c:v>
                </c:pt>
                <c:pt idx="28">
                  <c:v>380804.09999999986</c:v>
                </c:pt>
                <c:pt idx="29">
                  <c:v>367057.89999999991</c:v>
                </c:pt>
                <c:pt idx="30">
                  <c:v>398093.55000000005</c:v>
                </c:pt>
                <c:pt idx="31">
                  <c:v>261024.65000000002</c:v>
                </c:pt>
                <c:pt idx="32">
                  <c:v>322793.64999999991</c:v>
                </c:pt>
                <c:pt idx="33">
                  <c:v>572160.25</c:v>
                </c:pt>
                <c:pt idx="34">
                  <c:v>608577.44999999972</c:v>
                </c:pt>
                <c:pt idx="35">
                  <c:v>1247826.6500000004</c:v>
                </c:pt>
                <c:pt idx="36">
                  <c:v>3601040.0999999996</c:v>
                </c:pt>
                <c:pt idx="37">
                  <c:v>1471299.5999999996</c:v>
                </c:pt>
                <c:pt idx="38">
                  <c:v>1997788.5</c:v>
                </c:pt>
                <c:pt idx="39">
                  <c:v>2141245.6500000004</c:v>
                </c:pt>
                <c:pt idx="40">
                  <c:v>467379.89999999991</c:v>
                </c:pt>
                <c:pt idx="41">
                  <c:v>338084.60000000009</c:v>
                </c:pt>
                <c:pt idx="42">
                  <c:v>316103.29999999981</c:v>
                </c:pt>
                <c:pt idx="43">
                  <c:v>276456.65000000002</c:v>
                </c:pt>
                <c:pt idx="44">
                  <c:v>266791.75</c:v>
                </c:pt>
                <c:pt idx="45">
                  <c:v>343591.59999999986</c:v>
                </c:pt>
                <c:pt idx="46">
                  <c:v>423132.55000000005</c:v>
                </c:pt>
                <c:pt idx="47">
                  <c:v>468450.44999999972</c:v>
                </c:pt>
                <c:pt idx="48">
                  <c:v>396841.54999999981</c:v>
                </c:pt>
                <c:pt idx="49">
                  <c:v>435675.04999999981</c:v>
                </c:pt>
                <c:pt idx="50">
                  <c:v>437341.44999999972</c:v>
                </c:pt>
                <c:pt idx="51">
                  <c:v>386022.54999999981</c:v>
                </c:pt>
                <c:pt idx="52">
                  <c:v>370821.60000000009</c:v>
                </c:pt>
                <c:pt idx="53">
                  <c:v>354882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8E6-419E-BFBD-83911FE51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424874"/>
        <c:axId val="1508904960"/>
      </c:barChart>
      <c:catAx>
        <c:axId val="1928424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8904960"/>
        <c:crosses val="autoZero"/>
        <c:auto val="1"/>
        <c:lblAlgn val="ctr"/>
        <c:lblOffset val="100"/>
        <c:noMultiLvlLbl val="1"/>
      </c:catAx>
      <c:valAx>
        <c:axId val="150890496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Revenue</a:t>
                </a:r>
              </a:p>
            </c:rich>
          </c:tx>
          <c:overlay val="0"/>
        </c:title>
        <c:numFmt formatCode="&quot;$&quot;#,##0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84248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Net Revenue Comparison</a:t>
            </a:r>
          </a:p>
        </c:rich>
      </c:tx>
      <c:layout>
        <c:manualLayout>
          <c:xMode val="edge"/>
          <c:yMode val="edge"/>
          <c:x val="2.7583333333333335E-2"/>
          <c:y val="4.4609164420485174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'CMA Forecast MG'!$U$191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MG'!$T$192:$T$203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'CMA Forecast MG'!$U$192:$U$203</c:f>
              <c:numCache>
                <c:formatCode>"$"#,##0</c:formatCode>
                <c:ptCount val="12"/>
                <c:pt idx="0">
                  <c:v>2031007.2319543976</c:v>
                </c:pt>
                <c:pt idx="1">
                  <c:v>1774654.8524436513</c:v>
                </c:pt>
                <c:pt idx="2">
                  <c:v>2507007.3687662822</c:v>
                </c:pt>
                <c:pt idx="3">
                  <c:v>4383417.0268589007</c:v>
                </c:pt>
                <c:pt idx="4">
                  <c:v>1725507.6546595299</c:v>
                </c:pt>
                <c:pt idx="5">
                  <c:v>2288229.908988155</c:v>
                </c:pt>
                <c:pt idx="6">
                  <c:v>2298067.1751306849</c:v>
                </c:pt>
                <c:pt idx="7">
                  <c:v>5670221.968668554</c:v>
                </c:pt>
                <c:pt idx="8">
                  <c:v>12169324.198345656</c:v>
                </c:pt>
                <c:pt idx="9">
                  <c:v>2234366.2249114737</c:v>
                </c:pt>
                <c:pt idx="10">
                  <c:v>2318843.9397165724</c:v>
                </c:pt>
                <c:pt idx="11">
                  <c:v>2239267.792758151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0E4-46B5-84FB-BABDC5203B8F}"/>
            </c:ext>
          </c:extLst>
        </c:ser>
        <c:ser>
          <c:idx val="1"/>
          <c:order val="1"/>
          <c:tx>
            <c:strRef>
              <c:f>'CMA Forecast MG'!$V$191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MG'!$T$192:$T$203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'CMA Forecast MG'!$V$192:$V$203</c:f>
              <c:numCache>
                <c:formatCode>"$"#,##0</c:formatCode>
                <c:ptCount val="12"/>
                <c:pt idx="0">
                  <c:v>1650757.7499999998</c:v>
                </c:pt>
                <c:pt idx="1">
                  <c:v>1514216.5999999999</c:v>
                </c:pt>
                <c:pt idx="2">
                  <c:v>2194219.8499999996</c:v>
                </c:pt>
                <c:pt idx="3">
                  <c:v>3657708.3499999996</c:v>
                </c:pt>
                <c:pt idx="4">
                  <c:v>1419889.1499999997</c:v>
                </c:pt>
                <c:pt idx="5">
                  <c:v>1866838.0999999996</c:v>
                </c:pt>
                <c:pt idx="6">
                  <c:v>1406980.1999999997</c:v>
                </c:pt>
                <c:pt idx="7">
                  <c:v>6352398.0999999996</c:v>
                </c:pt>
                <c:pt idx="8">
                  <c:v>6077713.6500000004</c:v>
                </c:pt>
                <c:pt idx="9">
                  <c:v>1197436.2999999998</c:v>
                </c:pt>
                <c:pt idx="10">
                  <c:v>2067691.1999999993</c:v>
                </c:pt>
                <c:pt idx="11">
                  <c:v>1549067.9499999997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0E4-46B5-84FB-BABDC5203B8F}"/>
            </c:ext>
          </c:extLst>
        </c:ser>
        <c:ser>
          <c:idx val="2"/>
          <c:order val="2"/>
          <c:tx>
            <c:strRef>
              <c:f>'CMA Forecast MG'!$W$191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MG'!$T$192:$T$203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'CMA Forecast MG'!$W$192:$W$203</c:f>
              <c:numCache>
                <c:formatCode>"$"#,##0</c:formatCode>
                <c:ptCount val="12"/>
                <c:pt idx="0">
                  <c:v>710439.45</c:v>
                </c:pt>
                <c:pt idx="1">
                  <c:v>667057.39999999979</c:v>
                </c:pt>
                <c:pt idx="2">
                  <c:v>1684275.9999999998</c:v>
                </c:pt>
                <c:pt idx="3">
                  <c:v>1597338.4</c:v>
                </c:pt>
                <c:pt idx="4">
                  <c:v>1187389.5</c:v>
                </c:pt>
                <c:pt idx="5">
                  <c:v>1223926.9499999997</c:v>
                </c:pt>
                <c:pt idx="6">
                  <c:v>1728608.4999999998</c:v>
                </c:pt>
                <c:pt idx="7">
                  <c:v>2072673.0000000005</c:v>
                </c:pt>
                <c:pt idx="8">
                  <c:v>7613611.7499999981</c:v>
                </c:pt>
                <c:pt idx="9">
                  <c:v>1445040.45</c:v>
                </c:pt>
                <c:pt idx="10">
                  <c:v>1539185.8</c:v>
                </c:pt>
                <c:pt idx="11">
                  <c:v>1485497.3999999994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0E4-46B5-84FB-BABDC5203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6072853"/>
        <c:axId val="821851275"/>
      </c:barChart>
      <c:catAx>
        <c:axId val="1706072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1851275"/>
        <c:crosses val="autoZero"/>
        <c:auto val="1"/>
        <c:lblAlgn val="ctr"/>
        <c:lblOffset val="100"/>
        <c:noMultiLvlLbl val="1"/>
      </c:catAx>
      <c:valAx>
        <c:axId val="82185127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Revenue</a:t>
                </a:r>
              </a:p>
            </c:rich>
          </c:tx>
          <c:overlay val="0"/>
        </c:title>
        <c:numFmt formatCode="&quot;$&quot;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60728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CA" b="1">
                <a:solidFill>
                  <a:srgbClr val="000000"/>
                </a:solidFill>
                <a:latin typeface="+mn-lt"/>
              </a:rPr>
              <a:t>2020 YOY Growth of Net Revenue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'CMA Forecast MG'!$C$54:$C$105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'CMA Forecast MG'!$H$54:$H$105</c:f>
              <c:numCache>
                <c:formatCode>0.00%</c:formatCode>
                <c:ptCount val="52"/>
                <c:pt idx="0">
                  <c:v>1.5199244741754705</c:v>
                </c:pt>
                <c:pt idx="1">
                  <c:v>1.4021805894728292</c:v>
                </c:pt>
                <c:pt idx="2">
                  <c:v>1.0180672496431611</c:v>
                </c:pt>
                <c:pt idx="3">
                  <c:v>1.3281090368286819</c:v>
                </c:pt>
                <c:pt idx="4">
                  <c:v>1.3527195307408211</c:v>
                </c:pt>
                <c:pt idx="5">
                  <c:v>1.2229104343832433</c:v>
                </c:pt>
                <c:pt idx="6">
                  <c:v>1.6291073974872501</c:v>
                </c:pt>
                <c:pt idx="7">
                  <c:v>1.3957348903767333</c:v>
                </c:pt>
                <c:pt idx="8">
                  <c:v>0.93263375087771783</c:v>
                </c:pt>
                <c:pt idx="9">
                  <c:v>1.0930905653114005</c:v>
                </c:pt>
                <c:pt idx="10">
                  <c:v>-0.12197534246835995</c:v>
                </c:pt>
                <c:pt idx="11">
                  <c:v>6.6229368887559925E-2</c:v>
                </c:pt>
                <c:pt idx="12">
                  <c:v>-7.693805316580582E-2</c:v>
                </c:pt>
                <c:pt idx="13">
                  <c:v>-8.0786986382206383E-2</c:v>
                </c:pt>
                <c:pt idx="14">
                  <c:v>0.6740700424030901</c:v>
                </c:pt>
                <c:pt idx="15">
                  <c:v>7.1014221755155305</c:v>
                </c:pt>
                <c:pt idx="16">
                  <c:v>-1.0322325646996837</c:v>
                </c:pt>
                <c:pt idx="17">
                  <c:v>0.10151995500541866</c:v>
                </c:pt>
                <c:pt idx="18">
                  <c:v>0.29704348034234807</c:v>
                </c:pt>
                <c:pt idx="19">
                  <c:v>0.20077655130356242</c:v>
                </c:pt>
                <c:pt idx="20">
                  <c:v>0.21531285126973687</c:v>
                </c:pt>
                <c:pt idx="21">
                  <c:v>7.9336887933691758E-2</c:v>
                </c:pt>
                <c:pt idx="22">
                  <c:v>0.15312554741319695</c:v>
                </c:pt>
                <c:pt idx="23">
                  <c:v>0.4536509587461719</c:v>
                </c:pt>
                <c:pt idx="24">
                  <c:v>0.21574555227219472</c:v>
                </c:pt>
                <c:pt idx="25">
                  <c:v>0.10240536733444272</c:v>
                </c:pt>
                <c:pt idx="26">
                  <c:v>0.19275622724067643</c:v>
                </c:pt>
                <c:pt idx="27">
                  <c:v>0.29618670606015174</c:v>
                </c:pt>
                <c:pt idx="28">
                  <c:v>-2.2166284630199429E-2</c:v>
                </c:pt>
                <c:pt idx="29">
                  <c:v>7.876449791113016E-2</c:v>
                </c:pt>
                <c:pt idx="30">
                  <c:v>-0.30618481809937026</c:v>
                </c:pt>
                <c:pt idx="31">
                  <c:v>-0.12275776359704649</c:v>
                </c:pt>
                <c:pt idx="32">
                  <c:v>0.2928696741118415</c:v>
                </c:pt>
                <c:pt idx="33">
                  <c:v>0.28459131975857321</c:v>
                </c:pt>
                <c:pt idx="34">
                  <c:v>0.58271989132509638</c:v>
                </c:pt>
                <c:pt idx="35">
                  <c:v>1.4500011430036341</c:v>
                </c:pt>
                <c:pt idx="36">
                  <c:v>-0.10152372469905135</c:v>
                </c:pt>
                <c:pt idx="37">
                  <c:v>-6.7774160574281872E-2</c:v>
                </c:pt>
                <c:pt idx="38">
                  <c:v>0.2287612666805583</c:v>
                </c:pt>
                <c:pt idx="39">
                  <c:v>-0.2469081057860858</c:v>
                </c:pt>
                <c:pt idx="40">
                  <c:v>-0.12496376496506956</c:v>
                </c:pt>
                <c:pt idx="41">
                  <c:v>-9.8351792303039809E-2</c:v>
                </c:pt>
                <c:pt idx="42">
                  <c:v>-0.20988061324593488</c:v>
                </c:pt>
                <c:pt idx="43">
                  <c:v>-0.25518348164750793</c:v>
                </c:pt>
                <c:pt idx="44">
                  <c:v>-7.7883325503470213E-2</c:v>
                </c:pt>
                <c:pt idx="45">
                  <c:v>1.080844001924941E-2</c:v>
                </c:pt>
                <c:pt idx="46">
                  <c:v>0.16785088718688357</c:v>
                </c:pt>
                <c:pt idx="47">
                  <c:v>0.14414963379800882</c:v>
                </c:pt>
                <c:pt idx="48">
                  <c:v>0.18086224142765395</c:v>
                </c:pt>
                <c:pt idx="49">
                  <c:v>0.13156018900154276</c:v>
                </c:pt>
                <c:pt idx="50">
                  <c:v>2.7959805391413628E-2</c:v>
                </c:pt>
                <c:pt idx="51">
                  <c:v>4.5941901424590315E-2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29D-457F-8088-4D05E6813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575648"/>
        <c:axId val="957098812"/>
      </c:barChart>
      <c:catAx>
        <c:axId val="103957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7098812"/>
        <c:crosses val="autoZero"/>
        <c:auto val="1"/>
        <c:lblAlgn val="ctr"/>
        <c:lblOffset val="100"/>
        <c:noMultiLvlLbl val="1"/>
      </c:catAx>
      <c:valAx>
        <c:axId val="95709881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YOY Growth</a:t>
                </a:r>
              </a:p>
            </c:rich>
          </c:tx>
          <c:overlay val="0"/>
        </c:title>
        <c:numFmt formatCode="0.00%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95756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323850</xdr:colOff>
      <xdr:row>75</xdr:row>
      <xdr:rowOff>123825</xdr:rowOff>
    </xdr:from>
    <xdr:ext cx="6181725" cy="38195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20</xdr:col>
      <xdr:colOff>381000</xdr:colOff>
      <xdr:row>97</xdr:row>
      <xdr:rowOff>76200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676275</xdr:colOff>
      <xdr:row>119</xdr:row>
      <xdr:rowOff>66675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266700</xdr:colOff>
      <xdr:row>145</xdr:row>
      <xdr:rowOff>104775</xdr:rowOff>
    </xdr:from>
    <xdr:ext cx="6305550" cy="390525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16</xdr:col>
      <xdr:colOff>123825</xdr:colOff>
      <xdr:row>118</xdr:row>
      <xdr:rowOff>114300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18</xdr:col>
      <xdr:colOff>104775</xdr:colOff>
      <xdr:row>155</xdr:row>
      <xdr:rowOff>171450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12</xdr:col>
      <xdr:colOff>619125</xdr:colOff>
      <xdr:row>236</xdr:row>
      <xdr:rowOff>133350</xdr:rowOff>
    </xdr:from>
    <xdr:ext cx="10687050" cy="660082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16</xdr:col>
      <xdr:colOff>257175</xdr:colOff>
      <xdr:row>207</xdr:row>
      <xdr:rowOff>152400</xdr:rowOff>
    </xdr:from>
    <xdr:ext cx="5715000" cy="35337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8</xdr:col>
      <xdr:colOff>247650</xdr:colOff>
      <xdr:row>88</xdr:row>
      <xdr:rowOff>190500</xdr:rowOff>
    </xdr:from>
    <xdr:ext cx="8010525" cy="49434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9</xdr:col>
      <xdr:colOff>438150</xdr:colOff>
      <xdr:row>53</xdr:row>
      <xdr:rowOff>142875</xdr:rowOff>
    </xdr:from>
    <xdr:ext cx="5715000" cy="3533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3</xdr:row>
      <xdr:rowOff>142875</xdr:rowOff>
    </xdr:from>
    <xdr:ext cx="10687050" cy="660082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971550</xdr:colOff>
      <xdr:row>7</xdr:row>
      <xdr:rowOff>133350</xdr:rowOff>
    </xdr:from>
    <xdr:ext cx="7553325" cy="46767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876300</xdr:colOff>
      <xdr:row>43</xdr:row>
      <xdr:rowOff>152400</xdr:rowOff>
    </xdr:from>
    <xdr:ext cx="7553325" cy="46767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923925</xdr:colOff>
      <xdr:row>78</xdr:row>
      <xdr:rowOff>200025</xdr:rowOff>
    </xdr:from>
    <xdr:ext cx="9753600" cy="6019800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12</xdr:col>
      <xdr:colOff>323850</xdr:colOff>
      <xdr:row>82</xdr:row>
      <xdr:rowOff>76200</xdr:rowOff>
    </xdr:from>
    <xdr:ext cx="7553325" cy="4676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390525</xdr:colOff>
      <xdr:row>205</xdr:row>
      <xdr:rowOff>47625</xdr:rowOff>
    </xdr:from>
    <xdr:ext cx="7620000" cy="46767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</xdr:col>
      <xdr:colOff>560</xdr:colOff>
      <xdr:row>117</xdr:row>
      <xdr:rowOff>76200</xdr:rowOff>
    </xdr:from>
    <xdr:ext cx="9753600" cy="6019800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12</xdr:col>
      <xdr:colOff>323850</xdr:colOff>
      <xdr:row>120</xdr:row>
      <xdr:rowOff>152400</xdr:rowOff>
    </xdr:from>
    <xdr:ext cx="7553325" cy="467677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7</xdr:col>
      <xdr:colOff>933450</xdr:colOff>
      <xdr:row>170</xdr:row>
      <xdr:rowOff>28575</xdr:rowOff>
    </xdr:from>
    <xdr:ext cx="7553325" cy="4676775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</xdr:col>
      <xdr:colOff>419100</xdr:colOff>
      <xdr:row>205</xdr:row>
      <xdr:rowOff>47625</xdr:rowOff>
    </xdr:from>
    <xdr:ext cx="7620000" cy="467677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twoCellAnchor>
    <xdr:from>
      <xdr:col>6</xdr:col>
      <xdr:colOff>33618</xdr:colOff>
      <xdr:row>5</xdr:row>
      <xdr:rowOff>87329</xdr:rowOff>
    </xdr:from>
    <xdr:to>
      <xdr:col>6</xdr:col>
      <xdr:colOff>529852</xdr:colOff>
      <xdr:row>6</xdr:row>
      <xdr:rowOff>49351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C3B29AD-B7F6-2253-95A7-44FE0CBA6BF3}"/>
            </a:ext>
          </a:extLst>
        </xdr:cNvPr>
        <xdr:cNvSpPr/>
      </xdr:nvSpPr>
      <xdr:spPr>
        <a:xfrm flipV="1">
          <a:off x="5345206" y="1095858"/>
          <a:ext cx="496234" cy="16372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6</xdr:col>
      <xdr:colOff>35063</xdr:colOff>
      <xdr:row>5</xdr:row>
      <xdr:rowOff>79650</xdr:rowOff>
    </xdr:from>
    <xdr:to>
      <xdr:col>6</xdr:col>
      <xdr:colOff>483566</xdr:colOff>
      <xdr:row>6</xdr:row>
      <xdr:rowOff>61152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80EB09E-CA3B-720E-D20C-A8567EF4089B}"/>
            </a:ext>
          </a:extLst>
        </xdr:cNvPr>
        <xdr:cNvSpPr txBox="1"/>
      </xdr:nvSpPr>
      <xdr:spPr>
        <a:xfrm>
          <a:off x="5352498" y="1073563"/>
          <a:ext cx="448503" cy="1802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lang="en-CA" sz="900"/>
            <a:t>2021</a:t>
          </a:r>
        </a:p>
        <a:p>
          <a:endParaRPr lang="en-CA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0.5154</cdr:x>
      <cdr:y>0.05523</cdr:y>
    </cdr:from>
    <cdr:to>
      <cdr:x>0.56183</cdr:x>
      <cdr:y>0.08003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C3B29AD-B7F6-2253-95A7-44FE0CBA6BF3}"/>
            </a:ext>
          </a:extLst>
        </cdr:cNvPr>
        <cdr:cNvSpPr/>
      </cdr:nvSpPr>
      <cdr:spPr>
        <a:xfrm xmlns:a="http://schemas.openxmlformats.org/drawingml/2006/main" flipV="1">
          <a:off x="5508065" y="364564"/>
          <a:ext cx="496234" cy="1637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CA" sz="1100"/>
        </a:p>
      </cdr:txBody>
    </cdr:sp>
  </cdr:relSizeAnchor>
  <cdr:relSizeAnchor xmlns:cdr="http://schemas.openxmlformats.org/drawingml/2006/chartDrawing">
    <cdr:from>
      <cdr:x>0.51626</cdr:x>
      <cdr:y>0.05036</cdr:y>
    </cdr:from>
    <cdr:to>
      <cdr:x>0.55823</cdr:x>
      <cdr:y>0.07767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80EB09E-CA3B-720E-D20C-A8567EF4089B}"/>
            </a:ext>
          </a:extLst>
        </cdr:cNvPr>
        <cdr:cNvSpPr txBox="1"/>
      </cdr:nvSpPr>
      <cdr:spPr>
        <a:xfrm xmlns:a="http://schemas.openxmlformats.org/drawingml/2006/main">
          <a:off x="5517322" y="332408"/>
          <a:ext cx="448503" cy="18028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  <a:effectLst xmlns:a="http://schemas.openxmlformats.org/drawingml/2006/main">
          <a:outerShdw blurRad="50800" dist="50800" dir="5400000" algn="ctr" rotWithShape="0">
            <a:schemeClr val="bg1">
              <a:alpha val="0"/>
            </a:schemeClr>
          </a:outerShdw>
        </a:effectLst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900"/>
            <a:t>2020</a:t>
          </a:r>
        </a:p>
        <a:p xmlns:a="http://schemas.openxmlformats.org/drawingml/2006/main">
          <a:endParaRPr lang="en-CA" sz="900"/>
        </a:p>
        <a:p xmlns:a="http://schemas.openxmlformats.org/drawingml/2006/main">
          <a:endParaRPr lang="en-CA" sz="1100"/>
        </a:p>
      </cdr:txBody>
    </cdr: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6"/>
  <cols>
    <col min="2" max="2" width="14.2265625" customWidth="1"/>
    <col min="15" max="15" width="16.6328125" customWidth="1"/>
    <col min="19" max="19" width="13.36328125" customWidth="1"/>
    <col min="20" max="20" width="16.86328125" customWidth="1"/>
    <col min="21" max="21" width="19.2265625" customWidth="1"/>
    <col min="22" max="22" width="16.6328125" customWidth="1"/>
    <col min="23" max="23" width="20.5" customWidth="1"/>
    <col min="24" max="24" width="13.6328125" customWidth="1"/>
  </cols>
  <sheetData>
    <row r="1" spans="1:26" ht="15.75" customHeigh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1" t="s">
        <v>8</v>
      </c>
      <c r="R1" s="1" t="s">
        <v>1</v>
      </c>
      <c r="S1" s="1" t="s">
        <v>0</v>
      </c>
      <c r="T1" s="1" t="s">
        <v>6</v>
      </c>
      <c r="U1" s="1" t="s">
        <v>9</v>
      </c>
      <c r="V1" s="1" t="s">
        <v>10</v>
      </c>
      <c r="W1" s="1" t="s">
        <v>11</v>
      </c>
      <c r="X1" s="2"/>
      <c r="Y1" s="2"/>
      <c r="Z1" s="2"/>
    </row>
    <row r="2" spans="1:26" ht="15.75" customHeight="1" x14ac:dyDescent="0.6">
      <c r="A2" s="3">
        <v>1</v>
      </c>
      <c r="B2" s="4">
        <v>2019</v>
      </c>
      <c r="C2" s="4">
        <v>1</v>
      </c>
      <c r="D2" s="5">
        <v>3145</v>
      </c>
      <c r="E2" s="6">
        <v>346981</v>
      </c>
      <c r="F2" s="6">
        <v>487462.75</v>
      </c>
      <c r="G2" s="7">
        <f>$F$2-$E$2</f>
        <v>140481.75</v>
      </c>
      <c r="H2" s="2"/>
      <c r="I2" s="2"/>
      <c r="J2" s="1" t="s">
        <v>12</v>
      </c>
      <c r="K2" s="1" t="s">
        <v>3</v>
      </c>
      <c r="L2" s="1" t="s">
        <v>4</v>
      </c>
      <c r="M2" s="1" t="s">
        <v>5</v>
      </c>
      <c r="N2" s="1" t="s">
        <v>13</v>
      </c>
      <c r="O2" s="1" t="s">
        <v>14</v>
      </c>
      <c r="P2" s="2"/>
      <c r="Q2" s="8">
        <v>1</v>
      </c>
      <c r="R2" s="8">
        <v>2019</v>
      </c>
      <c r="S2" s="8">
        <v>1</v>
      </c>
      <c r="T2" s="7">
        <f>SUM($G$2:$G$6)</f>
        <v>710439.45</v>
      </c>
      <c r="U2" s="2"/>
      <c r="V2" s="2"/>
      <c r="W2" s="2"/>
      <c r="X2" s="2"/>
      <c r="Y2" s="2"/>
      <c r="Z2" s="2"/>
    </row>
    <row r="3" spans="1:26" ht="15.75" customHeight="1" x14ac:dyDescent="0.6">
      <c r="A3" s="9">
        <v>1</v>
      </c>
      <c r="B3" s="4">
        <v>2019</v>
      </c>
      <c r="C3" s="8">
        <v>2</v>
      </c>
      <c r="D3" s="10">
        <v>3360</v>
      </c>
      <c r="E3" s="7">
        <v>364985</v>
      </c>
      <c r="F3" s="7">
        <v>512812</v>
      </c>
      <c r="G3" s="7">
        <f t="shared" ref="G3:G116" si="0">F3-E3</f>
        <v>147827</v>
      </c>
      <c r="H3" s="2"/>
      <c r="I3" s="2"/>
      <c r="J3" s="2"/>
      <c r="K3" s="2"/>
      <c r="L3" s="2"/>
      <c r="M3" s="2"/>
      <c r="N3" s="2"/>
      <c r="O3" s="2"/>
      <c r="P3" s="2"/>
      <c r="Q3" s="8">
        <v>2</v>
      </c>
      <c r="R3" s="11"/>
      <c r="S3" s="8">
        <v>2</v>
      </c>
      <c r="T3" s="7">
        <f>SUM($G$7:$G$10)</f>
        <v>667057.39999999979</v>
      </c>
      <c r="U3" s="2"/>
      <c r="V3" s="2"/>
      <c r="W3" s="2"/>
      <c r="X3" s="2"/>
      <c r="Y3" s="52" t="s">
        <v>15</v>
      </c>
      <c r="Z3" s="53"/>
    </row>
    <row r="4" spans="1:26" ht="15.75" customHeight="1" x14ac:dyDescent="0.6">
      <c r="A4" s="9">
        <v>1</v>
      </c>
      <c r="B4" s="4">
        <v>2019</v>
      </c>
      <c r="C4" s="8">
        <v>3</v>
      </c>
      <c r="D4" s="10">
        <v>3272</v>
      </c>
      <c r="E4" s="7">
        <v>355634</v>
      </c>
      <c r="F4" s="7">
        <v>499676.39999999997</v>
      </c>
      <c r="G4" s="7">
        <f t="shared" si="0"/>
        <v>144042.39999999997</v>
      </c>
      <c r="H4" s="2"/>
      <c r="I4" s="2"/>
      <c r="J4" s="2"/>
      <c r="K4" s="2"/>
      <c r="L4" s="2"/>
      <c r="M4" s="2"/>
      <c r="N4" s="2"/>
      <c r="O4" s="2"/>
      <c r="P4" s="2"/>
      <c r="Q4" s="8">
        <v>3</v>
      </c>
      <c r="R4" s="11"/>
      <c r="S4" s="8">
        <v>3</v>
      </c>
      <c r="T4" s="7">
        <f>SUM($G$11:$G$14)</f>
        <v>1684275.9999999998</v>
      </c>
      <c r="U4" s="2"/>
      <c r="V4" s="2"/>
      <c r="W4" s="2"/>
      <c r="X4" s="2"/>
      <c r="Y4" s="12" t="s">
        <v>16</v>
      </c>
      <c r="Z4" s="2">
        <f>SLOPE(V8:V19,Q8:Q19)</f>
        <v>61493.637179487181</v>
      </c>
    </row>
    <row r="5" spans="1:26" ht="15.75" customHeight="1" x14ac:dyDescent="0.6">
      <c r="A5" s="9">
        <v>1</v>
      </c>
      <c r="B5" s="4">
        <v>2019</v>
      </c>
      <c r="C5" s="4">
        <v>4</v>
      </c>
      <c r="D5" s="10">
        <v>3009</v>
      </c>
      <c r="E5" s="7">
        <v>331465</v>
      </c>
      <c r="F5" s="7">
        <v>465709.55000000005</v>
      </c>
      <c r="G5" s="7">
        <f t="shared" si="0"/>
        <v>134244.55000000005</v>
      </c>
      <c r="H5" s="2"/>
      <c r="I5" s="2"/>
      <c r="J5" s="13"/>
      <c r="K5" s="13"/>
      <c r="L5" s="13"/>
      <c r="M5" s="13"/>
      <c r="N5" s="2"/>
      <c r="O5" s="4"/>
      <c r="P5" s="4"/>
      <c r="Q5" s="14">
        <v>4</v>
      </c>
      <c r="R5" s="15"/>
      <c r="S5" s="8">
        <v>4</v>
      </c>
      <c r="T5" s="7">
        <f>SUM($G$15:$G$19)</f>
        <v>1597338.4</v>
      </c>
      <c r="U5" s="2"/>
      <c r="V5" s="2"/>
      <c r="W5" s="2"/>
      <c r="X5" s="2"/>
      <c r="Y5" s="16" t="s">
        <v>17</v>
      </c>
      <c r="Z5" s="2">
        <f>INTERCEPT(V8:V19,Q8:Q19)</f>
        <v>1563061.0991452986</v>
      </c>
    </row>
    <row r="6" spans="1:26" ht="15.75" customHeight="1" x14ac:dyDescent="0.6">
      <c r="A6" s="9">
        <v>1</v>
      </c>
      <c r="B6" s="4">
        <v>2019</v>
      </c>
      <c r="C6" s="8">
        <v>5</v>
      </c>
      <c r="D6" s="10">
        <v>3265</v>
      </c>
      <c r="E6" s="7">
        <v>355093</v>
      </c>
      <c r="F6" s="7">
        <v>498936.75</v>
      </c>
      <c r="G6" s="7">
        <f t="shared" si="0"/>
        <v>143843.75</v>
      </c>
      <c r="H6" s="2"/>
      <c r="I6" s="2"/>
      <c r="J6" s="2"/>
      <c r="K6" s="2"/>
      <c r="L6" s="2"/>
      <c r="M6" s="2"/>
      <c r="N6" s="2"/>
      <c r="O6" s="2"/>
      <c r="P6" s="2"/>
      <c r="Q6" s="8">
        <v>5</v>
      </c>
      <c r="R6" s="11"/>
      <c r="S6" s="8">
        <v>5</v>
      </c>
      <c r="T6" s="7">
        <f>SUM($G$20:$G$23)</f>
        <v>1187389.5</v>
      </c>
      <c r="U6" s="2"/>
      <c r="V6" s="2"/>
      <c r="W6" s="2"/>
      <c r="X6" s="2"/>
      <c r="Y6" s="2"/>
      <c r="Z6" s="2"/>
    </row>
    <row r="7" spans="1:26" ht="15.75" customHeight="1" x14ac:dyDescent="0.6">
      <c r="A7" s="9">
        <v>2</v>
      </c>
      <c r="B7" s="4">
        <v>2019</v>
      </c>
      <c r="C7" s="8">
        <v>6</v>
      </c>
      <c r="D7" s="10">
        <v>3693</v>
      </c>
      <c r="E7" s="7">
        <v>405613</v>
      </c>
      <c r="F7" s="7">
        <v>569895.35</v>
      </c>
      <c r="G7" s="7">
        <f t="shared" si="0"/>
        <v>164282.34999999998</v>
      </c>
      <c r="H7" s="2"/>
      <c r="I7" s="2"/>
      <c r="J7" s="2"/>
      <c r="K7" s="2"/>
      <c r="L7" s="2"/>
      <c r="M7" s="2"/>
      <c r="N7" s="2"/>
      <c r="O7" s="2"/>
      <c r="P7" s="2"/>
      <c r="Q7" s="8">
        <v>6</v>
      </c>
      <c r="R7" s="11"/>
      <c r="S7" s="8">
        <v>6</v>
      </c>
      <c r="T7" s="7">
        <f>SUM($G$24:$G$27)</f>
        <v>1223926.9499999997</v>
      </c>
      <c r="U7" s="2"/>
      <c r="V7" s="2"/>
      <c r="W7" s="2"/>
      <c r="X7" s="2"/>
      <c r="Y7" s="2"/>
      <c r="Z7" s="2"/>
    </row>
    <row r="8" spans="1:26" ht="15.75" customHeight="1" x14ac:dyDescent="0.6">
      <c r="A8" s="9">
        <v>2</v>
      </c>
      <c r="B8" s="4">
        <v>2019</v>
      </c>
      <c r="C8" s="4">
        <v>7</v>
      </c>
      <c r="D8" s="10">
        <v>3426</v>
      </c>
      <c r="E8" s="7">
        <v>377266</v>
      </c>
      <c r="F8" s="7">
        <v>530078.69999999995</v>
      </c>
      <c r="G8" s="7">
        <f t="shared" si="0"/>
        <v>152812.69999999995</v>
      </c>
      <c r="H8" s="2"/>
      <c r="I8" s="2"/>
      <c r="J8" s="2"/>
      <c r="K8" s="2"/>
      <c r="L8" s="2"/>
      <c r="M8" s="2"/>
      <c r="N8" s="2"/>
      <c r="O8" s="2"/>
      <c r="P8" s="2"/>
      <c r="Q8" s="8">
        <v>7</v>
      </c>
      <c r="R8" s="11"/>
      <c r="S8" s="8">
        <v>7</v>
      </c>
      <c r="T8" s="7">
        <f>SUM($G$28:$G$32)</f>
        <v>1728608.4999999998</v>
      </c>
      <c r="U8" s="17">
        <f t="shared" ref="U8:U22" si="1">AVERAGE(T2:T13)</f>
        <v>1912920.3833333328</v>
      </c>
      <c r="V8" s="7">
        <f t="shared" ref="V8:V21" si="2">AVERAGE(U8:U9)</f>
        <v>1952100.3124999995</v>
      </c>
      <c r="W8" s="18">
        <f t="shared" ref="W8:W21" si="3">T8/V8</f>
        <v>0.88551212708235261</v>
      </c>
      <c r="X8" s="2"/>
      <c r="Y8" s="2"/>
      <c r="Z8" s="2"/>
    </row>
    <row r="9" spans="1:26" ht="15.75" customHeight="1" x14ac:dyDescent="0.6">
      <c r="A9" s="9">
        <v>2</v>
      </c>
      <c r="B9" s="4">
        <v>2019</v>
      </c>
      <c r="C9" s="8">
        <v>8</v>
      </c>
      <c r="D9" s="10">
        <v>3421</v>
      </c>
      <c r="E9" s="7">
        <v>378194</v>
      </c>
      <c r="F9" s="7">
        <v>531338.94999999995</v>
      </c>
      <c r="G9" s="7">
        <f t="shared" si="0"/>
        <v>153144.94999999995</v>
      </c>
      <c r="H9" s="2"/>
      <c r="I9" s="2"/>
      <c r="J9" s="2"/>
      <c r="K9" s="2"/>
      <c r="L9" s="2"/>
      <c r="M9" s="2"/>
      <c r="N9" s="2"/>
      <c r="O9" s="2"/>
      <c r="P9" s="2"/>
      <c r="Q9" s="14">
        <v>8</v>
      </c>
      <c r="R9" s="11"/>
      <c r="S9" s="8">
        <v>8</v>
      </c>
      <c r="T9" s="7">
        <f>SUM($G$33:$G$36)</f>
        <v>2072673.0000000005</v>
      </c>
      <c r="U9" s="17">
        <f t="shared" si="1"/>
        <v>1991280.2416666662</v>
      </c>
      <c r="V9" s="7">
        <f t="shared" si="2"/>
        <v>2026578.5416666665</v>
      </c>
      <c r="W9" s="18">
        <f t="shared" si="3"/>
        <v>1.0227449651645011</v>
      </c>
      <c r="X9" s="2"/>
      <c r="Y9" s="2"/>
      <c r="Z9" s="2"/>
    </row>
    <row r="10" spans="1:26" ht="15.75" customHeight="1" x14ac:dyDescent="0.6">
      <c r="A10" s="9">
        <v>2</v>
      </c>
      <c r="B10" s="4">
        <v>2019</v>
      </c>
      <c r="C10" s="8">
        <v>9</v>
      </c>
      <c r="D10" s="10">
        <v>4372</v>
      </c>
      <c r="E10" s="7">
        <v>485844</v>
      </c>
      <c r="F10" s="7">
        <v>682661.39999999991</v>
      </c>
      <c r="G10" s="7">
        <f t="shared" si="0"/>
        <v>196817.39999999991</v>
      </c>
      <c r="H10" s="2"/>
      <c r="I10" s="2"/>
      <c r="J10" s="2"/>
      <c r="K10" s="2"/>
      <c r="L10" s="2"/>
      <c r="M10" s="2"/>
      <c r="N10" s="2"/>
      <c r="O10" s="2"/>
      <c r="P10" s="2"/>
      <c r="Q10" s="8">
        <v>9</v>
      </c>
      <c r="R10" s="11"/>
      <c r="S10" s="8">
        <v>9</v>
      </c>
      <c r="T10" s="7">
        <f>SUM($G$37:$G$41)</f>
        <v>7613611.7499999981</v>
      </c>
      <c r="U10" s="17">
        <f t="shared" si="1"/>
        <v>2061876.8416666666</v>
      </c>
      <c r="V10" s="7">
        <f t="shared" si="2"/>
        <v>2083124.5020833332</v>
      </c>
      <c r="W10" s="18">
        <f t="shared" si="3"/>
        <v>3.6549000035214525</v>
      </c>
      <c r="X10" s="2"/>
      <c r="Y10" s="2"/>
      <c r="Z10" s="2"/>
    </row>
    <row r="11" spans="1:26" ht="15.75" customHeight="1" x14ac:dyDescent="0.6">
      <c r="A11" s="9">
        <v>3</v>
      </c>
      <c r="B11" s="4">
        <v>2019</v>
      </c>
      <c r="C11" s="4">
        <v>10</v>
      </c>
      <c r="D11" s="10">
        <v>3762</v>
      </c>
      <c r="E11" s="7">
        <v>450504</v>
      </c>
      <c r="F11" s="7">
        <v>632861.9</v>
      </c>
      <c r="G11" s="7">
        <f t="shared" si="0"/>
        <v>182357.90000000002</v>
      </c>
      <c r="H11" s="2"/>
      <c r="I11" s="2"/>
      <c r="J11" s="2"/>
      <c r="K11" s="2"/>
      <c r="L11" s="2"/>
      <c r="M11" s="2"/>
      <c r="N11" s="2"/>
      <c r="O11" s="2"/>
      <c r="P11" s="2"/>
      <c r="Q11" s="8">
        <v>10</v>
      </c>
      <c r="R11" s="11"/>
      <c r="S11" s="8">
        <v>10</v>
      </c>
      <c r="T11" s="7">
        <f>SUM($G$42:$G$45)</f>
        <v>1445040.45</v>
      </c>
      <c r="U11" s="17">
        <f t="shared" si="1"/>
        <v>2104372.1624999996</v>
      </c>
      <c r="V11" s="7">
        <f t="shared" si="2"/>
        <v>2190220.9104166664</v>
      </c>
      <c r="W11" s="18">
        <f t="shared" si="3"/>
        <v>0.65976926945012881</v>
      </c>
      <c r="X11" s="2"/>
      <c r="Y11" s="2"/>
      <c r="Z11" s="2"/>
    </row>
    <row r="12" spans="1:26" ht="15.75" customHeight="1" x14ac:dyDescent="0.6">
      <c r="A12" s="9">
        <v>3</v>
      </c>
      <c r="B12" s="4">
        <v>2019</v>
      </c>
      <c r="C12" s="4">
        <v>11</v>
      </c>
      <c r="D12" s="10">
        <v>9090</v>
      </c>
      <c r="E12" s="7">
        <v>1295886</v>
      </c>
      <c r="F12" s="7">
        <v>1821445.5</v>
      </c>
      <c r="G12" s="7">
        <f t="shared" si="0"/>
        <v>525559.5</v>
      </c>
      <c r="H12" s="2"/>
      <c r="I12" s="2"/>
      <c r="J12" s="2"/>
      <c r="K12" s="2"/>
      <c r="L12" s="2"/>
      <c r="M12" s="2"/>
      <c r="N12" s="2"/>
      <c r="O12" s="2"/>
      <c r="P12" s="2"/>
      <c r="Q12" s="8">
        <v>11</v>
      </c>
      <c r="R12" s="8"/>
      <c r="S12" s="8">
        <v>11</v>
      </c>
      <c r="T12" s="7">
        <f>SUM($G$46:$G$49)</f>
        <v>1539185.8</v>
      </c>
      <c r="U12" s="17">
        <f t="shared" si="1"/>
        <v>2276069.6583333332</v>
      </c>
      <c r="V12" s="7">
        <f t="shared" si="2"/>
        <v>2285757.1437499998</v>
      </c>
      <c r="W12" s="18">
        <f t="shared" si="3"/>
        <v>0.67338116134018544</v>
      </c>
      <c r="X12" s="2"/>
      <c r="Y12" s="2"/>
      <c r="Z12" s="2"/>
    </row>
    <row r="13" spans="1:26" ht="15.75" customHeight="1" x14ac:dyDescent="0.6">
      <c r="A13" s="9">
        <v>3</v>
      </c>
      <c r="B13" s="4">
        <v>2019</v>
      </c>
      <c r="C13" s="8">
        <v>12</v>
      </c>
      <c r="D13" s="10">
        <v>9769</v>
      </c>
      <c r="E13" s="7">
        <v>1355806</v>
      </c>
      <c r="F13" s="7">
        <v>1905591.5499999998</v>
      </c>
      <c r="G13" s="7">
        <f t="shared" si="0"/>
        <v>549785.54999999981</v>
      </c>
      <c r="H13" s="2"/>
      <c r="I13" s="2"/>
      <c r="J13" s="1" t="s">
        <v>1</v>
      </c>
      <c r="K13" s="1" t="s">
        <v>0</v>
      </c>
      <c r="L13" s="1" t="s">
        <v>6</v>
      </c>
      <c r="M13" s="1" t="s">
        <v>7</v>
      </c>
      <c r="N13" s="2"/>
      <c r="O13" s="2"/>
      <c r="P13" s="2"/>
      <c r="Q13" s="14">
        <v>12</v>
      </c>
      <c r="R13" s="8"/>
      <c r="S13" s="8">
        <v>12</v>
      </c>
      <c r="T13" s="7">
        <f>SUM($G$50:$G$53)</f>
        <v>1485497.3999999994</v>
      </c>
      <c r="U13" s="17">
        <f t="shared" si="1"/>
        <v>2295444.6291666664</v>
      </c>
      <c r="V13" s="7">
        <f t="shared" si="2"/>
        <v>2322232.59375</v>
      </c>
      <c r="W13" s="18">
        <f t="shared" si="3"/>
        <v>0.6396850186316525</v>
      </c>
      <c r="X13" s="2"/>
      <c r="Y13" s="2"/>
      <c r="Z13" s="2"/>
    </row>
    <row r="14" spans="1:26" ht="15.75" customHeight="1" x14ac:dyDescent="0.6">
      <c r="A14" s="9">
        <v>3</v>
      </c>
      <c r="B14" s="4">
        <v>2019</v>
      </c>
      <c r="C14" s="8">
        <v>13</v>
      </c>
      <c r="D14" s="10">
        <v>7239</v>
      </c>
      <c r="E14" s="7">
        <v>1052205</v>
      </c>
      <c r="F14" s="7">
        <v>1478778.05</v>
      </c>
      <c r="G14" s="7">
        <f t="shared" si="0"/>
        <v>426573.05000000005</v>
      </c>
      <c r="H14" s="2"/>
      <c r="I14" s="2"/>
      <c r="J14" s="8">
        <v>2020</v>
      </c>
      <c r="K14" s="8">
        <v>1</v>
      </c>
      <c r="L14" s="7">
        <f>SUM($G$54:$G$58)</f>
        <v>1650757.7499999998</v>
      </c>
      <c r="M14" s="18">
        <f>($L$14/$T$2)-1</f>
        <v>1.3235727548632044</v>
      </c>
      <c r="N14" s="2"/>
      <c r="O14" s="2"/>
      <c r="P14" s="2"/>
      <c r="Q14" s="8">
        <v>13</v>
      </c>
      <c r="R14" s="8">
        <v>2020</v>
      </c>
      <c r="S14" s="8">
        <v>1</v>
      </c>
      <c r="T14" s="7">
        <f>SUM($G$54:$G$58)</f>
        <v>1650757.7499999998</v>
      </c>
      <c r="U14" s="17">
        <f t="shared" si="1"/>
        <v>2349020.5583333336</v>
      </c>
      <c r="V14" s="7">
        <f t="shared" si="2"/>
        <v>2335619.3791666669</v>
      </c>
      <c r="W14" s="18">
        <f t="shared" si="3"/>
        <v>0.70677515554310011</v>
      </c>
      <c r="X14" s="2"/>
      <c r="Y14" s="2"/>
      <c r="Z14" s="2"/>
    </row>
    <row r="15" spans="1:26" ht="15.75" customHeight="1" x14ac:dyDescent="0.6">
      <c r="A15" s="9">
        <v>4</v>
      </c>
      <c r="B15" s="4">
        <v>2019</v>
      </c>
      <c r="C15" s="4">
        <v>14</v>
      </c>
      <c r="D15" s="10">
        <v>6917</v>
      </c>
      <c r="E15" s="7">
        <v>995744</v>
      </c>
      <c r="F15" s="7">
        <v>1399484.15</v>
      </c>
      <c r="G15" s="7">
        <f t="shared" si="0"/>
        <v>403740.14999999991</v>
      </c>
      <c r="H15" s="2"/>
      <c r="I15" s="2"/>
      <c r="J15" s="11"/>
      <c r="K15" s="8">
        <v>2</v>
      </c>
      <c r="L15" s="7">
        <f>SUM($G$59:$G$62)</f>
        <v>1514216.5999999999</v>
      </c>
      <c r="M15" s="18">
        <f>($L$15/$T$3)-1</f>
        <v>1.2699944562491927</v>
      </c>
      <c r="N15" s="2"/>
      <c r="O15" s="2"/>
      <c r="P15" s="2"/>
      <c r="Q15" s="8">
        <v>14</v>
      </c>
      <c r="R15" s="11"/>
      <c r="S15" s="8">
        <v>2</v>
      </c>
      <c r="T15" s="7">
        <f>SUM($G$59:$G$62)</f>
        <v>1514216.5999999999</v>
      </c>
      <c r="U15" s="17">
        <f t="shared" si="1"/>
        <v>2322218.2000000002</v>
      </c>
      <c r="V15" s="7">
        <f t="shared" si="2"/>
        <v>2500540.0791666666</v>
      </c>
      <c r="W15" s="18">
        <f t="shared" si="3"/>
        <v>0.60555582076678005</v>
      </c>
      <c r="X15" s="2"/>
      <c r="Y15" s="2"/>
      <c r="Z15" s="2"/>
    </row>
    <row r="16" spans="1:26" ht="15.75" customHeight="1" x14ac:dyDescent="0.6">
      <c r="A16" s="9">
        <v>4</v>
      </c>
      <c r="B16" s="4">
        <v>2019</v>
      </c>
      <c r="C16" s="8">
        <v>15</v>
      </c>
      <c r="D16" s="10">
        <v>3794</v>
      </c>
      <c r="E16" s="7">
        <v>509201</v>
      </c>
      <c r="F16" s="7">
        <v>715530.3</v>
      </c>
      <c r="G16" s="7">
        <f t="shared" si="0"/>
        <v>206329.30000000005</v>
      </c>
      <c r="H16" s="2"/>
      <c r="I16" s="2"/>
      <c r="J16" s="11"/>
      <c r="K16" s="8">
        <v>3</v>
      </c>
      <c r="L16" s="7">
        <f>SUM($G$63:$G$67)</f>
        <v>2194219.8499999996</v>
      </c>
      <c r="M16" s="18">
        <f>($L$16/$T$4)-1</f>
        <v>0.30276739085518045</v>
      </c>
      <c r="N16" s="2"/>
      <c r="O16" s="2"/>
      <c r="P16" s="2"/>
      <c r="Q16" s="8">
        <v>15</v>
      </c>
      <c r="R16" s="11"/>
      <c r="S16" s="8">
        <v>3</v>
      </c>
      <c r="T16" s="7">
        <f>SUM($G$63:$G$67)</f>
        <v>2194219.8499999996</v>
      </c>
      <c r="U16" s="17">
        <f t="shared" si="1"/>
        <v>2678861.9583333326</v>
      </c>
      <c r="V16" s="7">
        <f t="shared" si="2"/>
        <v>2614866.2041666661</v>
      </c>
      <c r="W16" s="18">
        <f t="shared" si="3"/>
        <v>0.83913274281629158</v>
      </c>
      <c r="X16" s="2"/>
      <c r="Y16" s="2"/>
      <c r="Z16" s="2"/>
    </row>
    <row r="17" spans="1:26" ht="15.75" customHeight="1" x14ac:dyDescent="0.6">
      <c r="A17" s="9">
        <v>4</v>
      </c>
      <c r="B17" s="4">
        <v>2019</v>
      </c>
      <c r="C17" s="8">
        <v>16</v>
      </c>
      <c r="D17" s="10">
        <v>5732</v>
      </c>
      <c r="E17" s="7">
        <v>914395</v>
      </c>
      <c r="F17" s="7">
        <v>1284363.3999999999</v>
      </c>
      <c r="G17" s="7">
        <f t="shared" si="0"/>
        <v>369968.39999999991</v>
      </c>
      <c r="H17" s="2"/>
      <c r="I17" s="2"/>
      <c r="J17" s="11"/>
      <c r="K17" s="8">
        <v>4</v>
      </c>
      <c r="L17" s="7">
        <f>SUM($G$68:$G$71)</f>
        <v>3657708.3499999996</v>
      </c>
      <c r="M17" s="18">
        <f>($L$17/$T$5)-1</f>
        <v>1.2898769290214269</v>
      </c>
      <c r="N17" s="2"/>
      <c r="O17" s="2"/>
      <c r="P17" s="2"/>
      <c r="Q17" s="14">
        <v>16</v>
      </c>
      <c r="R17" s="11"/>
      <c r="S17" s="8">
        <v>4</v>
      </c>
      <c r="T17" s="7">
        <f>SUM($G$68:$G$71)</f>
        <v>3657708.3499999996</v>
      </c>
      <c r="U17" s="17">
        <f t="shared" si="1"/>
        <v>2550870.4499999997</v>
      </c>
      <c r="V17" s="7">
        <f t="shared" si="2"/>
        <v>2540553.6104166666</v>
      </c>
      <c r="W17" s="18">
        <f t="shared" si="3"/>
        <v>1.4397288587034038</v>
      </c>
      <c r="X17" s="2"/>
      <c r="Y17" s="2"/>
      <c r="Z17" s="2"/>
    </row>
    <row r="18" spans="1:26" ht="15.75" customHeight="1" x14ac:dyDescent="0.6">
      <c r="A18" s="9">
        <v>4</v>
      </c>
      <c r="B18" s="4">
        <v>2019</v>
      </c>
      <c r="C18" s="4">
        <v>17</v>
      </c>
      <c r="D18" s="10">
        <v>4956</v>
      </c>
      <c r="E18" s="7">
        <v>795475</v>
      </c>
      <c r="F18" s="7">
        <v>1117362.2</v>
      </c>
      <c r="G18" s="7">
        <f t="shared" si="0"/>
        <v>321887.19999999995</v>
      </c>
      <c r="H18" s="2"/>
      <c r="I18" s="2"/>
      <c r="J18" s="11"/>
      <c r="K18" s="8">
        <v>5</v>
      </c>
      <c r="L18" s="7">
        <f>SUM($G$72:$G$75)</f>
        <v>1419889.1499999997</v>
      </c>
      <c r="M18" s="18">
        <f>($L$18/$T$6)-1</f>
        <v>0.19580739934115954</v>
      </c>
      <c r="N18" s="2"/>
      <c r="O18" s="2"/>
      <c r="P18" s="2"/>
      <c r="Q18" s="8">
        <v>17</v>
      </c>
      <c r="R18" s="11"/>
      <c r="S18" s="8">
        <v>5</v>
      </c>
      <c r="T18" s="7">
        <f>SUM($G$72:$G$75)</f>
        <v>1419889.1499999997</v>
      </c>
      <c r="U18" s="17">
        <f t="shared" si="1"/>
        <v>2530236.770833333</v>
      </c>
      <c r="V18" s="7">
        <f t="shared" si="2"/>
        <v>2552257.8291666666</v>
      </c>
      <c r="W18" s="18">
        <f t="shared" si="3"/>
        <v>0.55632668995028811</v>
      </c>
      <c r="X18" s="2"/>
      <c r="Y18" s="2"/>
      <c r="Z18" s="2"/>
    </row>
    <row r="19" spans="1:26" ht="15.75" customHeight="1" x14ac:dyDescent="0.6">
      <c r="A19" s="9">
        <v>4</v>
      </c>
      <c r="B19" s="4">
        <v>2019</v>
      </c>
      <c r="C19" s="8">
        <v>18</v>
      </c>
      <c r="D19" s="10">
        <v>4653</v>
      </c>
      <c r="E19" s="7">
        <v>729934</v>
      </c>
      <c r="F19" s="7">
        <v>1025347.35</v>
      </c>
      <c r="G19" s="7">
        <f t="shared" si="0"/>
        <v>295413.34999999998</v>
      </c>
      <c r="H19" s="2"/>
      <c r="I19" s="2"/>
      <c r="J19" s="11"/>
      <c r="K19" s="8">
        <v>6</v>
      </c>
      <c r="L19" s="7">
        <f>SUM($G$76:$G$80)</f>
        <v>1866838.0999999996</v>
      </c>
      <c r="M19" s="18">
        <f>($L$19/$T$7)-1</f>
        <v>0.52528555727937842</v>
      </c>
      <c r="N19" s="2"/>
      <c r="O19" s="2"/>
      <c r="P19" s="2"/>
      <c r="Q19" s="8">
        <v>18</v>
      </c>
      <c r="R19" s="11"/>
      <c r="S19" s="8">
        <v>6</v>
      </c>
      <c r="T19" s="7">
        <f>SUM($G$76:$G$80)</f>
        <v>1866838.0999999996</v>
      </c>
      <c r="U19" s="17">
        <f t="shared" si="1"/>
        <v>2574278.8874999997</v>
      </c>
      <c r="V19" s="7">
        <f t="shared" si="2"/>
        <v>2576927.6604166664</v>
      </c>
      <c r="W19" s="18">
        <f t="shared" si="3"/>
        <v>0.72444334727585968</v>
      </c>
      <c r="X19" s="2"/>
      <c r="Y19" s="2"/>
      <c r="Z19" s="2"/>
    </row>
    <row r="20" spans="1:26" ht="15.75" customHeight="1" x14ac:dyDescent="0.6">
      <c r="A20" s="9">
        <v>5</v>
      </c>
      <c r="B20" s="4">
        <v>2019</v>
      </c>
      <c r="C20" s="8">
        <v>19</v>
      </c>
      <c r="D20" s="10">
        <v>4581</v>
      </c>
      <c r="E20" s="7">
        <v>701862</v>
      </c>
      <c r="F20" s="7">
        <v>985940.95000000007</v>
      </c>
      <c r="G20" s="7">
        <f t="shared" si="0"/>
        <v>284078.95000000007</v>
      </c>
      <c r="H20" s="2"/>
      <c r="I20" s="2"/>
      <c r="J20" s="11"/>
      <c r="K20" s="8">
        <v>7</v>
      </c>
      <c r="L20" s="7">
        <f>SUM($G$81:$G$84)</f>
        <v>1406980.1999999997</v>
      </c>
      <c r="M20" s="18">
        <f>($L$20/$T$8)-1</f>
        <v>-0.18606196834043109</v>
      </c>
      <c r="N20" s="2"/>
      <c r="O20" s="2"/>
      <c r="P20" s="2"/>
      <c r="Q20" s="8">
        <v>19</v>
      </c>
      <c r="R20" s="11"/>
      <c r="S20" s="8">
        <v>7</v>
      </c>
      <c r="T20" s="7">
        <f>SUM($G$81:$G$84)</f>
        <v>1406980.1999999997</v>
      </c>
      <c r="U20" s="17">
        <f t="shared" si="1"/>
        <v>2579576.4333333331</v>
      </c>
      <c r="V20" s="7">
        <f t="shared" si="2"/>
        <v>2587255.4333333331</v>
      </c>
      <c r="W20" s="18">
        <f t="shared" si="3"/>
        <v>0.5438118640598596</v>
      </c>
      <c r="X20" s="2"/>
      <c r="Y20" s="2"/>
      <c r="Z20" s="2"/>
    </row>
    <row r="21" spans="1:26" ht="15.75" customHeight="1" x14ac:dyDescent="0.6">
      <c r="A21" s="9">
        <v>5</v>
      </c>
      <c r="B21" s="4">
        <v>2019</v>
      </c>
      <c r="C21" s="4">
        <v>20</v>
      </c>
      <c r="D21" s="10">
        <v>4826</v>
      </c>
      <c r="E21" s="7">
        <v>738119</v>
      </c>
      <c r="F21" s="7">
        <v>1036888.7</v>
      </c>
      <c r="G21" s="7">
        <f t="shared" si="0"/>
        <v>298769.69999999995</v>
      </c>
      <c r="H21" s="2"/>
      <c r="I21" s="2"/>
      <c r="J21" s="11"/>
      <c r="K21" s="8">
        <v>8</v>
      </c>
      <c r="L21" s="7">
        <f>SUM($G$85:$G$89)</f>
        <v>6352398.0999999996</v>
      </c>
      <c r="M21" s="18">
        <f>($L$21/$T$9)-1</f>
        <v>2.0648337195495854</v>
      </c>
      <c r="N21" s="2"/>
      <c r="O21" s="2"/>
      <c r="P21" s="2"/>
      <c r="Q21" s="14">
        <v>20</v>
      </c>
      <c r="R21" s="11"/>
      <c r="S21" s="8">
        <v>8</v>
      </c>
      <c r="T21" s="7">
        <f>SUM($G$85:$G$89)</f>
        <v>6352398.0999999996</v>
      </c>
      <c r="U21" s="17">
        <f t="shared" si="1"/>
        <v>2594934.4333333331</v>
      </c>
      <c r="V21" s="7">
        <f t="shared" si="2"/>
        <v>2600745.3125</v>
      </c>
      <c r="W21" s="18">
        <f t="shared" si="3"/>
        <v>2.4425298661381323</v>
      </c>
      <c r="X21" s="2"/>
      <c r="Y21" s="2"/>
      <c r="Z21" s="2"/>
    </row>
    <row r="22" spans="1:26" ht="15.75" customHeight="1" x14ac:dyDescent="0.6">
      <c r="A22" s="9">
        <v>5</v>
      </c>
      <c r="B22" s="4">
        <v>2019</v>
      </c>
      <c r="C22" s="4">
        <v>21</v>
      </c>
      <c r="D22" s="10">
        <v>4889</v>
      </c>
      <c r="E22" s="7">
        <v>729684</v>
      </c>
      <c r="F22" s="7">
        <v>1025085.55</v>
      </c>
      <c r="G22" s="7">
        <f t="shared" si="0"/>
        <v>295401.55000000005</v>
      </c>
      <c r="H22" s="2"/>
      <c r="I22" s="2"/>
      <c r="J22" s="11"/>
      <c r="K22" s="8">
        <v>9</v>
      </c>
      <c r="L22" s="7">
        <f>SUM($G$90:$G$93)</f>
        <v>6077713.6500000004</v>
      </c>
      <c r="M22" s="18">
        <f>($L$22/$T$10)-1</f>
        <v>-0.20173055186324651</v>
      </c>
      <c r="N22" s="2"/>
      <c r="O22" s="2"/>
      <c r="P22" s="2"/>
      <c r="Q22" s="8">
        <v>21</v>
      </c>
      <c r="R22" s="11"/>
      <c r="S22" s="8">
        <v>9</v>
      </c>
      <c r="T22" s="7">
        <f>SUM($G$90:$G$93)</f>
        <v>6077713.6500000004</v>
      </c>
      <c r="U22" s="17">
        <f t="shared" si="1"/>
        <v>2606556.1916666664</v>
      </c>
      <c r="V22" s="2"/>
      <c r="W22" s="2"/>
      <c r="X22" s="2"/>
      <c r="Y22" s="2"/>
      <c r="Z22" s="2"/>
    </row>
    <row r="23" spans="1:26" ht="15.75" customHeight="1" x14ac:dyDescent="0.6">
      <c r="A23" s="9">
        <v>5</v>
      </c>
      <c r="B23" s="4">
        <v>2019</v>
      </c>
      <c r="C23" s="8">
        <v>22</v>
      </c>
      <c r="D23" s="10">
        <v>4994</v>
      </c>
      <c r="E23" s="7">
        <v>763761</v>
      </c>
      <c r="F23" s="7">
        <v>1072900.3</v>
      </c>
      <c r="G23" s="7">
        <f t="shared" si="0"/>
        <v>309139.30000000005</v>
      </c>
      <c r="H23" s="2"/>
      <c r="I23" s="2"/>
      <c r="J23" s="11"/>
      <c r="K23" s="8">
        <v>10</v>
      </c>
      <c r="L23" s="7">
        <f>SUM($G$94:$G$97)</f>
        <v>1197436.2999999998</v>
      </c>
      <c r="M23" s="18">
        <f>($L$23/$T$11)-1</f>
        <v>-0.17134755639539379</v>
      </c>
      <c r="N23" s="2"/>
      <c r="O23" s="2"/>
      <c r="P23" s="2"/>
      <c r="Q23" s="8">
        <v>22</v>
      </c>
      <c r="R23" s="11"/>
      <c r="S23" s="8">
        <v>10</v>
      </c>
      <c r="T23" s="7">
        <f>SUM($G$94:$G$97)</f>
        <v>1197436.2999999998</v>
      </c>
      <c r="U23" s="2"/>
      <c r="V23" s="2"/>
      <c r="W23" s="19"/>
      <c r="X23" s="19"/>
      <c r="Y23" s="19"/>
      <c r="Z23" s="2"/>
    </row>
    <row r="24" spans="1:26" ht="15.75" customHeight="1" x14ac:dyDescent="0.6">
      <c r="A24" s="9">
        <v>6</v>
      </c>
      <c r="B24" s="4">
        <v>2019</v>
      </c>
      <c r="C24" s="8">
        <v>23</v>
      </c>
      <c r="D24" s="10">
        <v>4621</v>
      </c>
      <c r="E24" s="7">
        <v>725728</v>
      </c>
      <c r="F24" s="7">
        <v>1019438.95</v>
      </c>
      <c r="G24" s="7">
        <f t="shared" si="0"/>
        <v>293710.94999999995</v>
      </c>
      <c r="H24" s="2"/>
      <c r="I24" s="2"/>
      <c r="J24" s="11"/>
      <c r="K24" s="8">
        <v>11</v>
      </c>
      <c r="L24" s="7">
        <f>SUM($G$98:$G$102)</f>
        <v>2067691.1999999993</v>
      </c>
      <c r="M24" s="18">
        <f>($L$24/$T$12)-1</f>
        <v>0.34336686318181942</v>
      </c>
      <c r="N24" s="2"/>
      <c r="O24" s="2"/>
      <c r="P24" s="2"/>
      <c r="Q24" s="8">
        <v>23</v>
      </c>
      <c r="R24" s="11"/>
      <c r="S24" s="8">
        <v>11</v>
      </c>
      <c r="T24" s="7">
        <f>SUM($G$98:$G$102)</f>
        <v>2067691.1999999993</v>
      </c>
      <c r="U24" s="2"/>
      <c r="V24" s="2"/>
      <c r="W24" s="20"/>
      <c r="X24" s="2"/>
      <c r="Y24" s="2"/>
      <c r="Z24" s="2"/>
    </row>
    <row r="25" spans="1:26" ht="15.75" customHeight="1" x14ac:dyDescent="0.6">
      <c r="A25" s="9">
        <v>6</v>
      </c>
      <c r="B25" s="4">
        <v>2019</v>
      </c>
      <c r="C25" s="4">
        <v>24</v>
      </c>
      <c r="D25" s="10">
        <v>3781</v>
      </c>
      <c r="E25" s="7">
        <v>645854</v>
      </c>
      <c r="F25" s="7">
        <v>907270.95</v>
      </c>
      <c r="G25" s="7">
        <f t="shared" si="0"/>
        <v>261416.94999999995</v>
      </c>
      <c r="H25" s="2"/>
      <c r="I25" s="2"/>
      <c r="J25" s="11"/>
      <c r="K25" s="8">
        <v>12</v>
      </c>
      <c r="L25" s="7">
        <f>SUM($G$103:$G$106)</f>
        <v>1549067.9499999997</v>
      </c>
      <c r="M25" s="18">
        <f>($L$25/$T$13)-1</f>
        <v>4.2794117310471336E-2</v>
      </c>
      <c r="N25" s="2"/>
      <c r="O25" s="2"/>
      <c r="P25" s="2"/>
      <c r="Q25" s="14">
        <v>24</v>
      </c>
      <c r="R25" s="11"/>
      <c r="S25" s="8">
        <v>12</v>
      </c>
      <c r="T25" s="7">
        <f>SUM($G$103:$G$106)</f>
        <v>1549067.9499999997</v>
      </c>
      <c r="U25" s="2"/>
      <c r="V25" s="2"/>
      <c r="W25" s="20"/>
      <c r="X25" s="2"/>
      <c r="Y25" s="2"/>
      <c r="Z25" s="2"/>
    </row>
    <row r="26" spans="1:26" ht="15.75" customHeight="1" x14ac:dyDescent="0.6">
      <c r="A26" s="9">
        <v>6</v>
      </c>
      <c r="B26" s="4">
        <v>2019</v>
      </c>
      <c r="C26" s="8">
        <v>25</v>
      </c>
      <c r="D26" s="10">
        <v>5029</v>
      </c>
      <c r="E26" s="7">
        <v>786121</v>
      </c>
      <c r="F26" s="7">
        <v>1104578.5499999998</v>
      </c>
      <c r="G26" s="7">
        <f t="shared" si="0"/>
        <v>318457.54999999981</v>
      </c>
      <c r="H26" s="2"/>
      <c r="I26" s="2"/>
      <c r="J26" s="8">
        <v>2021</v>
      </c>
      <c r="K26" s="8">
        <v>1</v>
      </c>
      <c r="L26" s="7">
        <f>VLOOKUP($S$44,$X$40:$Z$51,3)*$T$44</f>
        <v>2031007.2319543976</v>
      </c>
      <c r="M26" s="18">
        <f>($U$44/$T$14)-1</f>
        <v>0.23034844570888602</v>
      </c>
      <c r="N26" s="2"/>
      <c r="O26" s="2"/>
      <c r="P26" s="2"/>
      <c r="Q26" s="8">
        <v>25</v>
      </c>
      <c r="R26" s="8">
        <v>2021</v>
      </c>
      <c r="S26" s="8">
        <v>1</v>
      </c>
      <c r="T26" s="7">
        <f>SUM($G$107:$G$110)</f>
        <v>1835053.75</v>
      </c>
      <c r="U26" s="2"/>
      <c r="V26" s="2"/>
      <c r="W26" s="20"/>
      <c r="X26" s="2"/>
      <c r="Y26" s="2"/>
      <c r="Z26" s="2"/>
    </row>
    <row r="27" spans="1:26" ht="15.75" customHeight="1" x14ac:dyDescent="0.6">
      <c r="A27" s="9">
        <v>6</v>
      </c>
      <c r="B27" s="4">
        <v>2019</v>
      </c>
      <c r="C27" s="8">
        <v>26</v>
      </c>
      <c r="D27" s="10">
        <v>5950</v>
      </c>
      <c r="E27" s="7">
        <v>863491</v>
      </c>
      <c r="F27" s="7">
        <v>1213832.5</v>
      </c>
      <c r="G27" s="7">
        <f t="shared" si="0"/>
        <v>350341.5</v>
      </c>
      <c r="H27" s="2"/>
      <c r="I27" s="2"/>
      <c r="J27" s="11"/>
      <c r="K27" s="8">
        <v>2</v>
      </c>
      <c r="L27" s="7">
        <f>VLOOKUP($S$45,$X$40:$Z$51,3)*$T$45</f>
        <v>1774654.8524436513</v>
      </c>
      <c r="M27" s="18">
        <f>($U$45/$T$15)-1</f>
        <v>0.17199537532718345</v>
      </c>
      <c r="N27" s="2"/>
      <c r="O27" s="2"/>
      <c r="P27" s="2"/>
      <c r="Q27" s="8">
        <v>26</v>
      </c>
      <c r="R27" s="11"/>
      <c r="S27" s="8">
        <v>2</v>
      </c>
      <c r="T27" s="7">
        <f>SUM($G$111:$G$114)</f>
        <v>1653677.6999999997</v>
      </c>
      <c r="U27" s="2"/>
      <c r="V27" s="2"/>
      <c r="W27" s="20"/>
      <c r="X27" s="2"/>
      <c r="Y27" s="2"/>
      <c r="Z27" s="2"/>
    </row>
    <row r="28" spans="1:26" ht="15.75" customHeight="1" x14ac:dyDescent="0.6">
      <c r="A28" s="9">
        <v>7</v>
      </c>
      <c r="B28" s="4">
        <v>2019</v>
      </c>
      <c r="C28" s="4">
        <v>27</v>
      </c>
      <c r="D28" s="10">
        <v>5137</v>
      </c>
      <c r="E28" s="7">
        <v>774985</v>
      </c>
      <c r="F28" s="7">
        <v>1089183.1499999999</v>
      </c>
      <c r="G28" s="7">
        <f t="shared" si="0"/>
        <v>314198.14999999991</v>
      </c>
      <c r="H28" s="2"/>
      <c r="I28" s="2"/>
      <c r="J28" s="11"/>
      <c r="K28" s="8">
        <v>3</v>
      </c>
      <c r="L28" s="7">
        <f>VLOOKUP($S$46,$X$40:$Z$51,3)*$T$46</f>
        <v>2507007.3687662822</v>
      </c>
      <c r="M28" s="18">
        <f>($U$46/$T$16)-1</f>
        <v>0.14255067411147637</v>
      </c>
      <c r="N28" s="2"/>
      <c r="O28" s="2"/>
      <c r="P28" s="2"/>
      <c r="Q28" s="8">
        <v>27</v>
      </c>
      <c r="R28" s="11"/>
      <c r="S28" s="8">
        <v>3</v>
      </c>
      <c r="T28" s="20" t="s">
        <v>18</v>
      </c>
      <c r="U28" s="2"/>
      <c r="V28" s="2"/>
      <c r="W28" s="20"/>
      <c r="X28" s="2"/>
      <c r="Y28" s="2"/>
      <c r="Z28" s="2"/>
    </row>
    <row r="29" spans="1:26" ht="15.75" customHeight="1" x14ac:dyDescent="0.6">
      <c r="A29" s="9">
        <v>7</v>
      </c>
      <c r="B29" s="4">
        <v>2019</v>
      </c>
      <c r="C29" s="8">
        <v>28</v>
      </c>
      <c r="D29" s="10">
        <v>4220</v>
      </c>
      <c r="E29" s="7">
        <v>726361</v>
      </c>
      <c r="F29" s="7">
        <v>1020149</v>
      </c>
      <c r="G29" s="7">
        <f t="shared" si="0"/>
        <v>293788</v>
      </c>
      <c r="H29" s="2"/>
      <c r="I29" s="2"/>
      <c r="J29" s="11"/>
      <c r="K29" s="8">
        <v>4</v>
      </c>
      <c r="L29" s="7">
        <f>VLOOKUP($S$47,$X$40:$Z$51,3)*$T$47</f>
        <v>4383417.0268589007</v>
      </c>
      <c r="M29" s="18">
        <f>($U$47/$T$17)-1</f>
        <v>0.19840528752351205</v>
      </c>
      <c r="N29" s="2"/>
      <c r="O29" s="2"/>
      <c r="P29" s="2"/>
      <c r="Q29" s="14">
        <v>28</v>
      </c>
      <c r="R29" s="11"/>
      <c r="S29" s="8">
        <v>4</v>
      </c>
      <c r="T29" s="2"/>
      <c r="U29" s="2"/>
      <c r="V29" s="2"/>
      <c r="W29" s="20"/>
      <c r="X29" s="2"/>
      <c r="Y29" s="2"/>
      <c r="Z29" s="2"/>
    </row>
    <row r="30" spans="1:26" ht="15.75" customHeight="1" x14ac:dyDescent="0.6">
      <c r="A30" s="9">
        <v>7</v>
      </c>
      <c r="B30" s="4">
        <v>2019</v>
      </c>
      <c r="C30" s="8">
        <v>29</v>
      </c>
      <c r="D30" s="10">
        <v>6927</v>
      </c>
      <c r="E30" s="7">
        <v>924435</v>
      </c>
      <c r="F30" s="7">
        <v>1299813.6499999999</v>
      </c>
      <c r="G30" s="7">
        <f t="shared" si="0"/>
        <v>375378.64999999991</v>
      </c>
      <c r="H30" s="2"/>
      <c r="I30" s="2"/>
      <c r="J30" s="11"/>
      <c r="K30" s="8">
        <v>5</v>
      </c>
      <c r="L30" s="7">
        <f>VLOOKUP($S$48,$X$40:$Z$51,3)*$T$48</f>
        <v>1725507.6546595299</v>
      </c>
      <c r="M30" s="18">
        <f>($U$48/$T$18)-1</f>
        <v>0.21524110150396614</v>
      </c>
      <c r="N30" s="2"/>
      <c r="O30" s="2"/>
      <c r="P30" s="2"/>
      <c r="Q30" s="8">
        <v>29</v>
      </c>
      <c r="R30" s="11"/>
      <c r="S30" s="8">
        <v>5</v>
      </c>
      <c r="T30" s="2"/>
      <c r="U30" s="2"/>
      <c r="V30" s="2"/>
      <c r="W30" s="20"/>
      <c r="X30" s="2"/>
      <c r="Y30" s="2"/>
      <c r="Z30" s="2"/>
    </row>
    <row r="31" spans="1:26" ht="15.75" customHeight="1" x14ac:dyDescent="0.6">
      <c r="A31" s="9">
        <v>7</v>
      </c>
      <c r="B31" s="4">
        <v>2019</v>
      </c>
      <c r="C31" s="4">
        <v>30</v>
      </c>
      <c r="D31" s="10">
        <v>6834</v>
      </c>
      <c r="E31" s="7">
        <v>909131</v>
      </c>
      <c r="F31" s="7">
        <v>1278158.3</v>
      </c>
      <c r="G31" s="7">
        <f t="shared" si="0"/>
        <v>369027.30000000005</v>
      </c>
      <c r="H31" s="2"/>
      <c r="I31" s="2"/>
      <c r="J31" s="11"/>
      <c r="K31" s="8">
        <v>6</v>
      </c>
      <c r="L31" s="7">
        <f>VLOOKUP($S$49,$X$40:$Z$51,3)*$T$49</f>
        <v>2288229.908988155</v>
      </c>
      <c r="M31" s="18">
        <f>($U$49/$T$19)-1</f>
        <v>0.2257248815460513</v>
      </c>
      <c r="N31" s="2"/>
      <c r="O31" s="2"/>
      <c r="P31" s="2"/>
      <c r="Q31" s="8">
        <v>30</v>
      </c>
      <c r="R31" s="11"/>
      <c r="S31" s="8">
        <v>6</v>
      </c>
      <c r="T31" s="2"/>
      <c r="U31" s="2"/>
      <c r="V31" s="2"/>
      <c r="W31" s="20"/>
      <c r="X31" s="2"/>
      <c r="Y31" s="2"/>
      <c r="Z31" s="2"/>
    </row>
    <row r="32" spans="1:26" ht="15.75" customHeight="1" x14ac:dyDescent="0.6">
      <c r="A32" s="9">
        <v>7</v>
      </c>
      <c r="B32" s="4">
        <v>2019</v>
      </c>
      <c r="C32" s="4">
        <v>31</v>
      </c>
      <c r="D32" s="10">
        <v>6552</v>
      </c>
      <c r="E32" s="7">
        <v>927796</v>
      </c>
      <c r="F32" s="7">
        <v>1304012.3999999999</v>
      </c>
      <c r="G32" s="7">
        <f t="shared" si="0"/>
        <v>376216.39999999991</v>
      </c>
      <c r="H32" s="2"/>
      <c r="I32" s="2"/>
      <c r="J32" s="11"/>
      <c r="K32" s="8">
        <v>7</v>
      </c>
      <c r="L32" s="7">
        <f>VLOOKUP($S$50,$X$40:$Z$51,3)*$T$50</f>
        <v>2298067.1751306849</v>
      </c>
      <c r="M32" s="18">
        <f>($U$50/$T$20)-1</f>
        <v>0.63333298871631971</v>
      </c>
      <c r="N32" s="2"/>
      <c r="O32" s="2"/>
      <c r="P32" s="2"/>
      <c r="Q32" s="8">
        <v>31</v>
      </c>
      <c r="R32" s="11"/>
      <c r="S32" s="8">
        <v>7</v>
      </c>
      <c r="T32" s="2"/>
      <c r="U32" s="2"/>
      <c r="V32" s="2"/>
      <c r="W32" s="20"/>
      <c r="X32" s="2"/>
      <c r="Y32" s="2"/>
      <c r="Z32" s="2"/>
    </row>
    <row r="33" spans="1:26" ht="15.75" customHeight="1" x14ac:dyDescent="0.6">
      <c r="A33" s="9">
        <v>8</v>
      </c>
      <c r="B33" s="4">
        <v>2019</v>
      </c>
      <c r="C33" s="8">
        <v>32</v>
      </c>
      <c r="D33" s="10">
        <v>6358</v>
      </c>
      <c r="E33" s="7">
        <v>907318</v>
      </c>
      <c r="F33" s="7">
        <v>1275282.0999999999</v>
      </c>
      <c r="G33" s="7">
        <f t="shared" si="0"/>
        <v>367964.09999999986</v>
      </c>
      <c r="H33" s="2"/>
      <c r="I33" s="2"/>
      <c r="J33" s="11"/>
      <c r="K33" s="8">
        <v>8</v>
      </c>
      <c r="L33" s="7">
        <f>VLOOKUP($S$51,$X$40:$Z$51,3)*$T$51</f>
        <v>5670221.968668554</v>
      </c>
      <c r="M33" s="18">
        <f>($U$51/$T$21)-1</f>
        <v>-0.107388756276381</v>
      </c>
      <c r="N33" s="2"/>
      <c r="O33" s="2"/>
      <c r="P33" s="2"/>
      <c r="Q33" s="14">
        <v>32</v>
      </c>
      <c r="R33" s="11"/>
      <c r="S33" s="8">
        <v>8</v>
      </c>
      <c r="T33" s="2"/>
      <c r="U33" s="2"/>
      <c r="V33" s="2"/>
      <c r="W33" s="20"/>
      <c r="X33" s="2"/>
      <c r="Y33" s="2"/>
      <c r="Z33" s="2"/>
    </row>
    <row r="34" spans="1:26" ht="15.75" customHeight="1" x14ac:dyDescent="0.6">
      <c r="A34" s="9">
        <v>8</v>
      </c>
      <c r="B34" s="4">
        <v>2019</v>
      </c>
      <c r="C34" s="8">
        <v>33</v>
      </c>
      <c r="D34" s="10">
        <v>8168</v>
      </c>
      <c r="E34" s="7">
        <v>1089541</v>
      </c>
      <c r="F34" s="7">
        <v>1532091.6</v>
      </c>
      <c r="G34" s="7">
        <f t="shared" si="0"/>
        <v>442550.60000000009</v>
      </c>
      <c r="H34" s="2"/>
      <c r="I34" s="2"/>
      <c r="J34" s="11"/>
      <c r="K34" s="8">
        <v>9</v>
      </c>
      <c r="L34" s="7">
        <f>VLOOKUP($S$52,$X$40:$Z$51,3)*$T$52</f>
        <v>12169324.198345656</v>
      </c>
      <c r="M34" s="18">
        <f>($U$52/$T$22)-1</f>
        <v>1.0022865339082987</v>
      </c>
      <c r="N34" s="2"/>
      <c r="O34" s="2"/>
      <c r="P34" s="2"/>
      <c r="Q34" s="8">
        <v>33</v>
      </c>
      <c r="R34" s="11"/>
      <c r="S34" s="8">
        <v>9</v>
      </c>
      <c r="T34" s="2"/>
      <c r="U34" s="2"/>
      <c r="V34" s="2"/>
      <c r="W34" s="20"/>
      <c r="X34" s="2"/>
      <c r="Y34" s="2"/>
      <c r="Z34" s="2"/>
    </row>
    <row r="35" spans="1:26" ht="15.75" customHeight="1" x14ac:dyDescent="0.6">
      <c r="A35" s="9">
        <v>8</v>
      </c>
      <c r="B35" s="4">
        <v>2019</v>
      </c>
      <c r="C35" s="4">
        <v>34</v>
      </c>
      <c r="D35" s="10">
        <v>8524</v>
      </c>
      <c r="E35" s="7">
        <v>1166962</v>
      </c>
      <c r="F35" s="7">
        <v>1640713.8</v>
      </c>
      <c r="G35" s="7">
        <f t="shared" si="0"/>
        <v>473751.80000000005</v>
      </c>
      <c r="H35" s="2"/>
      <c r="I35" s="2"/>
      <c r="J35" s="11"/>
      <c r="K35" s="8">
        <v>10</v>
      </c>
      <c r="L35" s="7">
        <f>VLOOKUP($S$53,$X$40:$Z$51,3)*$T$53</f>
        <v>2234366.2249114737</v>
      </c>
      <c r="M35" s="18">
        <f>($U$53/$T$23)-1</f>
        <v>0.86595831854393768</v>
      </c>
      <c r="N35" s="2"/>
      <c r="O35" s="2"/>
      <c r="P35" s="2"/>
      <c r="Q35" s="8">
        <v>34</v>
      </c>
      <c r="R35" s="11"/>
      <c r="S35" s="8">
        <v>10</v>
      </c>
      <c r="T35" s="2"/>
      <c r="U35" s="2"/>
      <c r="V35" s="2"/>
      <c r="W35" s="20"/>
      <c r="X35" s="2"/>
      <c r="Y35" s="2"/>
      <c r="Z35" s="2"/>
    </row>
    <row r="36" spans="1:26" ht="15.75" customHeight="1" x14ac:dyDescent="0.6">
      <c r="A36" s="9">
        <v>8</v>
      </c>
      <c r="B36" s="4">
        <v>2019</v>
      </c>
      <c r="C36" s="8">
        <v>35</v>
      </c>
      <c r="D36" s="10">
        <v>13810</v>
      </c>
      <c r="E36" s="7">
        <v>1943823</v>
      </c>
      <c r="F36" s="7">
        <v>2732229.5000000005</v>
      </c>
      <c r="G36" s="7">
        <f t="shared" si="0"/>
        <v>788406.50000000047</v>
      </c>
      <c r="H36" s="2"/>
      <c r="I36" s="2"/>
      <c r="J36" s="11"/>
      <c r="K36" s="8">
        <v>11</v>
      </c>
      <c r="L36" s="7">
        <f>VLOOKUP($S$54,$X$40:$Z$51,3)*$T$54</f>
        <v>2318843.9397165724</v>
      </c>
      <c r="M36" s="18">
        <f>($U$54/$T$24)-1</f>
        <v>0.12146530377291032</v>
      </c>
      <c r="N36" s="2"/>
      <c r="O36" s="2"/>
      <c r="P36" s="2"/>
      <c r="Q36" s="8">
        <v>35</v>
      </c>
      <c r="R36" s="11"/>
      <c r="S36" s="8">
        <v>11</v>
      </c>
      <c r="T36" s="2"/>
      <c r="U36" s="2"/>
      <c r="V36" s="2"/>
      <c r="W36" s="2"/>
      <c r="X36" s="2"/>
      <c r="Y36" s="2"/>
      <c r="Z36" s="2"/>
    </row>
    <row r="37" spans="1:26" ht="15.75" customHeight="1" x14ac:dyDescent="0.6">
      <c r="A37" s="9">
        <v>9</v>
      </c>
      <c r="B37" s="4">
        <v>2019</v>
      </c>
      <c r="C37" s="8">
        <v>36</v>
      </c>
      <c r="D37" s="10">
        <v>25748</v>
      </c>
      <c r="E37" s="7">
        <v>3622211</v>
      </c>
      <c r="F37" s="7">
        <v>5092022.5999999996</v>
      </c>
      <c r="G37" s="7">
        <f t="shared" si="0"/>
        <v>1469811.5999999996</v>
      </c>
      <c r="H37" s="2"/>
      <c r="I37" s="2"/>
      <c r="J37" s="11"/>
      <c r="K37" s="8">
        <v>12</v>
      </c>
      <c r="L37" s="7">
        <f>VLOOKUP($S$55,$X$40:$Z$51,3)*$T$55</f>
        <v>2239267.792758151</v>
      </c>
      <c r="M37" s="18">
        <f>($U$55/$T$25)-1</f>
        <v>0.44555814530805526</v>
      </c>
      <c r="N37" s="2"/>
      <c r="O37" s="2"/>
      <c r="P37" s="2"/>
      <c r="Q37" s="14">
        <v>36</v>
      </c>
      <c r="R37" s="11"/>
      <c r="S37" s="8">
        <v>12</v>
      </c>
      <c r="T37" s="2"/>
      <c r="U37" s="2"/>
      <c r="V37" s="2"/>
      <c r="W37" s="2"/>
      <c r="X37" s="2"/>
      <c r="Y37" s="2"/>
      <c r="Z37" s="2"/>
    </row>
    <row r="38" spans="1:26" ht="15.75" customHeight="1" x14ac:dyDescent="0.6">
      <c r="A38" s="9">
        <v>9</v>
      </c>
      <c r="B38" s="4">
        <v>2019</v>
      </c>
      <c r="C38" s="4">
        <v>37</v>
      </c>
      <c r="D38" s="10">
        <v>29545</v>
      </c>
      <c r="E38" s="7">
        <v>4031723</v>
      </c>
      <c r="F38" s="7">
        <v>5669272.75</v>
      </c>
      <c r="G38" s="7">
        <f t="shared" si="0"/>
        <v>1637549.75</v>
      </c>
      <c r="H38" s="2"/>
      <c r="I38" s="2"/>
      <c r="J38" s="2"/>
      <c r="K38" s="2"/>
      <c r="L38" s="2"/>
      <c r="M38" s="2"/>
      <c r="N38" s="2"/>
      <c r="O38" s="2"/>
      <c r="P38" s="2"/>
      <c r="Q38" s="10"/>
      <c r="R38" s="11"/>
      <c r="S38" s="2"/>
      <c r="T38" s="50" t="s">
        <v>19</v>
      </c>
      <c r="U38" s="51"/>
      <c r="V38" s="2"/>
      <c r="W38" s="2"/>
      <c r="X38" s="2"/>
      <c r="Y38" s="2"/>
      <c r="Z38" s="2"/>
    </row>
    <row r="39" spans="1:26" ht="15.75" customHeight="1" x14ac:dyDescent="0.6">
      <c r="A39" s="9">
        <v>9</v>
      </c>
      <c r="B39" s="4">
        <v>2019</v>
      </c>
      <c r="C39" s="8">
        <v>38</v>
      </c>
      <c r="D39" s="10">
        <v>38368</v>
      </c>
      <c r="E39" s="7">
        <v>5273951</v>
      </c>
      <c r="F39" s="7">
        <v>7416981.5999999996</v>
      </c>
      <c r="G39" s="7">
        <f t="shared" si="0"/>
        <v>2143030.5999999996</v>
      </c>
      <c r="H39" s="2"/>
      <c r="I39" s="2"/>
      <c r="J39" s="2"/>
      <c r="K39" s="2"/>
      <c r="L39" s="2"/>
      <c r="M39" s="2"/>
      <c r="N39" s="2"/>
      <c r="O39" s="19"/>
      <c r="P39" s="19"/>
      <c r="Q39" s="21" t="s">
        <v>8</v>
      </c>
      <c r="R39" s="1" t="s">
        <v>1</v>
      </c>
      <c r="S39" s="1" t="s">
        <v>0</v>
      </c>
      <c r="T39" s="1" t="s">
        <v>20</v>
      </c>
      <c r="U39" s="1" t="s">
        <v>21</v>
      </c>
      <c r="V39" s="1" t="s">
        <v>22</v>
      </c>
      <c r="W39" s="19"/>
      <c r="X39" s="1" t="s">
        <v>0</v>
      </c>
      <c r="Y39" s="1" t="s">
        <v>23</v>
      </c>
      <c r="Z39" s="1" t="s">
        <v>24</v>
      </c>
    </row>
    <row r="40" spans="1:26" ht="15.75" customHeight="1" x14ac:dyDescent="0.6">
      <c r="A40" s="9">
        <v>9</v>
      </c>
      <c r="B40" s="4">
        <v>2019</v>
      </c>
      <c r="C40" s="8">
        <v>39</v>
      </c>
      <c r="D40" s="10">
        <v>32138</v>
      </c>
      <c r="E40" s="7">
        <v>4286208</v>
      </c>
      <c r="F40" s="7">
        <v>6028813.0999999996</v>
      </c>
      <c r="G40" s="7">
        <f t="shared" si="0"/>
        <v>1742605.0999999996</v>
      </c>
      <c r="H40" s="2"/>
      <c r="I40" s="2"/>
      <c r="J40" s="2"/>
      <c r="K40" s="1" t="s">
        <v>0</v>
      </c>
      <c r="L40" s="1">
        <v>2021</v>
      </c>
      <c r="M40" s="1">
        <v>2020</v>
      </c>
      <c r="N40" s="2"/>
      <c r="O40" s="8">
        <v>2021</v>
      </c>
      <c r="P40" s="18"/>
      <c r="Q40" s="8">
        <v>21</v>
      </c>
      <c r="R40" s="8">
        <v>2020</v>
      </c>
      <c r="S40" s="8">
        <v>9</v>
      </c>
      <c r="T40" s="7">
        <f>Q40*Z4+Z5</f>
        <v>2854427.4799145292</v>
      </c>
      <c r="U40" s="7">
        <f>VLOOKUP($S$40,$X$40:$Z$51,3)*$T$40</f>
        <v>9669559.6239679847</v>
      </c>
      <c r="V40" s="18">
        <f>($U$40/$T$10)-1</f>
        <v>0.27003581762203566</v>
      </c>
      <c r="W40" s="8"/>
      <c r="X40" s="20">
        <v>1</v>
      </c>
      <c r="Y40" s="2">
        <f>AVERAGEIF($S$2:$S$37,$X$40,$W$2:$W$37)</f>
        <v>0.70677515554310011</v>
      </c>
      <c r="Z40" s="2">
        <f>$Y$40/AVERAGE($Y$40:$Y$51)</f>
        <v>0.65507866824943095</v>
      </c>
    </row>
    <row r="41" spans="1:26" ht="15.75" customHeight="1" x14ac:dyDescent="0.6">
      <c r="A41" s="9">
        <v>9</v>
      </c>
      <c r="B41" s="4">
        <v>2019</v>
      </c>
      <c r="C41" s="4">
        <v>40</v>
      </c>
      <c r="D41" s="10">
        <v>11246</v>
      </c>
      <c r="E41" s="7">
        <v>1527933</v>
      </c>
      <c r="F41" s="7">
        <v>2148547.6999999997</v>
      </c>
      <c r="G41" s="7">
        <f t="shared" si="0"/>
        <v>620614.69999999972</v>
      </c>
      <c r="H41" s="2"/>
      <c r="I41" s="2"/>
      <c r="J41" s="2"/>
      <c r="K41" s="8">
        <v>1</v>
      </c>
      <c r="L41" s="18">
        <f>($U$44/$T$14)-1</f>
        <v>0.23034844570888602</v>
      </c>
      <c r="M41" s="18">
        <f>($L$14/$T$2)-1</f>
        <v>1.3235727548632044</v>
      </c>
      <c r="N41" s="8" t="s">
        <v>25</v>
      </c>
      <c r="O41" s="18">
        <f>SUM(L41:L52)</f>
        <v>4.1454782996942168</v>
      </c>
      <c r="P41" s="18"/>
      <c r="Q41" s="8">
        <v>22</v>
      </c>
      <c r="R41" s="11"/>
      <c r="S41" s="8">
        <v>10</v>
      </c>
      <c r="T41" s="7">
        <f>Q41*Z4+Z5</f>
        <v>2915921.1170940166</v>
      </c>
      <c r="U41" s="7">
        <f>VLOOKUP($S$41,$X$40:$Z$51,3)*$T$41</f>
        <v>1783117.8062282221</v>
      </c>
      <c r="V41" s="18">
        <f>($U$41/$T$11)-1</f>
        <v>0.23395701914657274</v>
      </c>
      <c r="W41" s="8"/>
      <c r="X41" s="20">
        <v>2</v>
      </c>
      <c r="Y41" s="2">
        <f>AVERAGEIF($S$2:$S$37,$X$41,$W$2:$W$37)</f>
        <v>0.60555582076678005</v>
      </c>
      <c r="Z41" s="2">
        <f>$Y$41/AVERAGE($Y$40:$Y$51)</f>
        <v>0.56126293844294994</v>
      </c>
    </row>
    <row r="42" spans="1:26" ht="15.75" customHeight="1" x14ac:dyDescent="0.6">
      <c r="A42" s="9">
        <v>10</v>
      </c>
      <c r="B42" s="4">
        <v>2019</v>
      </c>
      <c r="C42" s="4">
        <v>41</v>
      </c>
      <c r="D42" s="10">
        <v>7092</v>
      </c>
      <c r="E42" s="7">
        <v>950519</v>
      </c>
      <c r="F42" s="7">
        <v>1336885.4000000001</v>
      </c>
      <c r="G42" s="7">
        <f t="shared" si="0"/>
        <v>386366.40000000014</v>
      </c>
      <c r="H42" s="2"/>
      <c r="I42" s="2"/>
      <c r="J42" s="2"/>
      <c r="K42" s="8">
        <v>2</v>
      </c>
      <c r="L42" s="18">
        <f>($U$45/$T$15)-1</f>
        <v>0.17199537532718345</v>
      </c>
      <c r="M42" s="18">
        <f>($L$15/$T$3)-1</f>
        <v>1.2699944562491927</v>
      </c>
      <c r="N42" s="8" t="s">
        <v>26</v>
      </c>
      <c r="O42" s="18">
        <f>AVERAGE(L41:L52)</f>
        <v>0.34545652497451806</v>
      </c>
      <c r="P42" s="18"/>
      <c r="Q42" s="8">
        <v>23</v>
      </c>
      <c r="R42" s="11"/>
      <c r="S42" s="8">
        <v>11</v>
      </c>
      <c r="T42" s="7">
        <f>Q42*Z4+Z5</f>
        <v>2977414.754273504</v>
      </c>
      <c r="U42" s="7">
        <f>VLOOKUP($S$42,$X$40:$Z$51,3)*$T$42</f>
        <v>1858285.6835263472</v>
      </c>
      <c r="V42" s="18">
        <f>($U$42/$T$12)-1</f>
        <v>0.20731732551479309</v>
      </c>
      <c r="W42" s="8"/>
      <c r="X42" s="20">
        <v>3</v>
      </c>
      <c r="Y42" s="13">
        <f>AVERAGEIF($S$2:$S$37,$X$42,$W$2:$W$37)</f>
        <v>0.83913274281629158</v>
      </c>
      <c r="Z42" s="2">
        <f>$Y$42/AVERAGE($Y$40:$Y$51)</f>
        <v>0.77775506869110256</v>
      </c>
    </row>
    <row r="43" spans="1:26" ht="13" x14ac:dyDescent="0.6">
      <c r="A43" s="9">
        <v>10</v>
      </c>
      <c r="B43" s="4">
        <v>2019</v>
      </c>
      <c r="C43" s="8">
        <v>42</v>
      </c>
      <c r="D43" s="10">
        <v>6563</v>
      </c>
      <c r="E43" s="7">
        <v>862678</v>
      </c>
      <c r="F43" s="7">
        <v>1213261.8499999999</v>
      </c>
      <c r="G43" s="7">
        <f t="shared" si="0"/>
        <v>350583.84999999986</v>
      </c>
      <c r="H43" s="2"/>
      <c r="I43" s="2"/>
      <c r="J43" s="2"/>
      <c r="K43" s="8">
        <v>3</v>
      </c>
      <c r="L43" s="18">
        <f>($U$46/$T$16)-1</f>
        <v>0.14255067411147637</v>
      </c>
      <c r="M43" s="18">
        <f>($L$16/$T$4)-1</f>
        <v>0.30276739085518045</v>
      </c>
      <c r="N43" s="2"/>
      <c r="O43" s="8">
        <v>2020</v>
      </c>
      <c r="P43" s="18"/>
      <c r="Q43" s="14">
        <v>24</v>
      </c>
      <c r="R43" s="11"/>
      <c r="S43" s="8">
        <v>12</v>
      </c>
      <c r="T43" s="7">
        <f>Q43*Z4+Z5</f>
        <v>3038908.3914529909</v>
      </c>
      <c r="U43" s="7">
        <f>VLOOKUP($S$43,$X$40:$Z$51,3)*$T$43</f>
        <v>1801755.9738862673</v>
      </c>
      <c r="V43" s="18">
        <f>($U$43/$T$13)-1</f>
        <v>0.21289742673818757</v>
      </c>
      <c r="W43" s="8"/>
      <c r="X43" s="20">
        <v>4</v>
      </c>
      <c r="Y43" s="13">
        <f>AVERAGEIF($S$2:$S$37,$X$43,$W$2:$W$37)</f>
        <v>1.4397288587034038</v>
      </c>
      <c r="Z43" s="2">
        <f>$Y$43/AVERAGE($Y$40:$Y$51)</f>
        <v>1.3344210757874966</v>
      </c>
    </row>
    <row r="44" spans="1:26" ht="13" x14ac:dyDescent="0.6">
      <c r="A44" s="9">
        <v>10</v>
      </c>
      <c r="B44" s="4">
        <v>2019</v>
      </c>
      <c r="C44" s="8">
        <v>43</v>
      </c>
      <c r="D44" s="10">
        <v>6475</v>
      </c>
      <c r="E44" s="7">
        <v>861334</v>
      </c>
      <c r="F44" s="7">
        <v>1211226.25</v>
      </c>
      <c r="G44" s="7">
        <f t="shared" si="0"/>
        <v>349892.25</v>
      </c>
      <c r="H44" s="2"/>
      <c r="I44" s="2"/>
      <c r="J44" s="2"/>
      <c r="K44" s="8">
        <v>4</v>
      </c>
      <c r="L44" s="18">
        <f>($U$47/$T$17)-1</f>
        <v>0.19840528752351205</v>
      </c>
      <c r="M44" s="18">
        <f>($L$17/$T$5)-1</f>
        <v>1.2898769290214269</v>
      </c>
      <c r="N44" s="8" t="s">
        <v>25</v>
      </c>
      <c r="O44" s="18">
        <f>SUM(M41:M52)</f>
        <v>6.7991591110523473</v>
      </c>
      <c r="P44" s="18"/>
      <c r="Q44" s="8">
        <v>25</v>
      </c>
      <c r="R44" s="8">
        <v>2021</v>
      </c>
      <c r="S44" s="8">
        <v>1</v>
      </c>
      <c r="T44" s="7">
        <f>Q44*Z4+Z5</f>
        <v>3100402.0286324779</v>
      </c>
      <c r="U44" s="7">
        <f>VLOOKUP($S$44,$X$40:$Z$51,3)*$T$44</f>
        <v>2031007.2319543976</v>
      </c>
      <c r="V44" s="18">
        <f>($U$44/$T$14)-1</f>
        <v>0.23034844570888602</v>
      </c>
      <c r="W44" s="8"/>
      <c r="X44" s="20">
        <v>5</v>
      </c>
      <c r="Y44" s="13">
        <f>AVERAGEIF($S$2:$S$37,$X$44,$W$2:$W$37)</f>
        <v>0.55632668995028811</v>
      </c>
      <c r="Z44" s="2">
        <f>$Y$44/AVERAGE($Y$40:$Y$51)</f>
        <v>0.51563463189959979</v>
      </c>
    </row>
    <row r="45" spans="1:26" ht="13" x14ac:dyDescent="0.6">
      <c r="A45" s="9">
        <v>10</v>
      </c>
      <c r="B45" s="4">
        <v>2019</v>
      </c>
      <c r="C45" s="4">
        <v>44</v>
      </c>
      <c r="D45" s="10">
        <v>6601</v>
      </c>
      <c r="E45" s="7">
        <v>881852</v>
      </c>
      <c r="F45" s="7">
        <v>1240049.95</v>
      </c>
      <c r="G45" s="7">
        <f t="shared" si="0"/>
        <v>358197.94999999995</v>
      </c>
      <c r="H45" s="2"/>
      <c r="I45" s="2"/>
      <c r="J45" s="2"/>
      <c r="K45" s="8">
        <v>5</v>
      </c>
      <c r="L45" s="18">
        <f>($U$48/$T$18)-1</f>
        <v>0.21524110150396614</v>
      </c>
      <c r="M45" s="18">
        <f>($L$18/$T$6)-1</f>
        <v>0.19580739934115954</v>
      </c>
      <c r="N45" s="8" t="s">
        <v>26</v>
      </c>
      <c r="O45" s="18">
        <f>AVERAGE(M41:M52)</f>
        <v>0.56659659258769557</v>
      </c>
      <c r="P45" s="18"/>
      <c r="Q45" s="8">
        <v>26</v>
      </c>
      <c r="R45" s="11"/>
      <c r="S45" s="8">
        <v>2</v>
      </c>
      <c r="T45" s="7">
        <f>Q45*Z4+Z5</f>
        <v>3161895.6658119652</v>
      </c>
      <c r="U45" s="7">
        <f>VLOOKUP($S$45,$X$40:$Z$51,3)*$T$45</f>
        <v>1774654.8524436513</v>
      </c>
      <c r="V45" s="18">
        <f>($U$45/$T$15)-1</f>
        <v>0.17199537532718345</v>
      </c>
      <c r="W45" s="8"/>
      <c r="X45" s="20">
        <v>6</v>
      </c>
      <c r="Y45" s="13">
        <f>AVERAGEIF($S$2:$S$37,$X$45,$W$2:$W$37)</f>
        <v>0.72444334727585968</v>
      </c>
      <c r="Z45" s="2">
        <f>$Y$45/AVERAGE($Y$40:$Y$51)</f>
        <v>0.67145453463338434</v>
      </c>
    </row>
    <row r="46" spans="1:26" ht="13" x14ac:dyDescent="0.6">
      <c r="A46" s="9">
        <v>11</v>
      </c>
      <c r="B46" s="4">
        <v>2019</v>
      </c>
      <c r="C46" s="8">
        <v>45</v>
      </c>
      <c r="D46" s="10">
        <v>6863</v>
      </c>
      <c r="E46" s="7">
        <v>917385</v>
      </c>
      <c r="F46" s="7">
        <v>1289996.8500000001</v>
      </c>
      <c r="G46" s="7">
        <f t="shared" si="0"/>
        <v>372611.85000000009</v>
      </c>
      <c r="H46" s="2"/>
      <c r="I46" s="2"/>
      <c r="J46" s="2"/>
      <c r="K46" s="8">
        <v>6</v>
      </c>
      <c r="L46" s="18">
        <f>($U$49/$T$19)-1</f>
        <v>0.2257248815460513</v>
      </c>
      <c r="M46" s="18">
        <f>($L$19/$T$7)-1</f>
        <v>0.52528555727937842</v>
      </c>
      <c r="N46" s="2"/>
      <c r="O46" s="2"/>
      <c r="P46" s="2"/>
      <c r="Q46" s="8">
        <v>27</v>
      </c>
      <c r="R46" s="11"/>
      <c r="S46" s="8">
        <v>3</v>
      </c>
      <c r="T46" s="7">
        <f>Q46*Z4+Z5</f>
        <v>3223389.3029914526</v>
      </c>
      <c r="U46" s="7">
        <f>VLOOKUP($S$46,$X$40:$Z$51,3)*$T$46</f>
        <v>2507007.3687662822</v>
      </c>
      <c r="V46" s="18">
        <f>($U$46/$T$16)-1</f>
        <v>0.14255067411147637</v>
      </c>
      <c r="W46" s="8"/>
      <c r="X46" s="20">
        <v>7</v>
      </c>
      <c r="Y46" s="13">
        <f>AVERAGEIF($S$2:$S$37,$X$46,$W$2:$W$37)</f>
        <v>0.7146619955711061</v>
      </c>
      <c r="Z46" s="2">
        <f>$Y$46/AVERAGE($Y$40:$Y$51)</f>
        <v>0.66238863185203156</v>
      </c>
    </row>
    <row r="47" spans="1:26" ht="13" x14ac:dyDescent="0.6">
      <c r="A47" s="9">
        <v>11</v>
      </c>
      <c r="B47" s="4">
        <v>2019</v>
      </c>
      <c r="C47" s="8">
        <v>46</v>
      </c>
      <c r="D47" s="10">
        <v>7799</v>
      </c>
      <c r="E47" s="7">
        <v>1030452</v>
      </c>
      <c r="F47" s="7">
        <v>1449060.05</v>
      </c>
      <c r="G47" s="7">
        <f t="shared" si="0"/>
        <v>418608.05000000005</v>
      </c>
      <c r="H47" s="2"/>
      <c r="I47" s="2"/>
      <c r="J47" s="2"/>
      <c r="K47" s="8">
        <v>7</v>
      </c>
      <c r="L47" s="18">
        <f>($U$50/$T$20)-1</f>
        <v>0.63333298871631971</v>
      </c>
      <c r="M47" s="18">
        <f>($L$20/$T$8)-1</f>
        <v>-0.18606196834043109</v>
      </c>
      <c r="N47" s="2"/>
      <c r="O47" s="2"/>
      <c r="P47" s="2"/>
      <c r="Q47" s="14">
        <v>28</v>
      </c>
      <c r="R47" s="11"/>
      <c r="S47" s="8">
        <v>4</v>
      </c>
      <c r="T47" s="7">
        <f>Q47*Z4+Z5</f>
        <v>3284882.94017094</v>
      </c>
      <c r="U47" s="7">
        <f>VLOOKUP($S$47,$X$40:$Z$51,3)*$T$47</f>
        <v>4383417.0268589007</v>
      </c>
      <c r="V47" s="18">
        <f>($U$47/$T$17)-1</f>
        <v>0.19840528752351205</v>
      </c>
      <c r="W47" s="8"/>
      <c r="X47" s="20">
        <v>8</v>
      </c>
      <c r="Y47" s="13">
        <f>AVERAGEIF($S$2:$S$37,$X$47,$W$2:$W$37)</f>
        <v>1.7326374156513167</v>
      </c>
      <c r="Z47" s="2">
        <f>$Y$47/AVERAGE($Y$40:$Y$51)</f>
        <v>1.6059050773110906</v>
      </c>
    </row>
    <row r="48" spans="1:26" ht="13" x14ac:dyDescent="0.6">
      <c r="A48" s="9">
        <v>11</v>
      </c>
      <c r="B48" s="4">
        <v>2019</v>
      </c>
      <c r="C48" s="4">
        <v>47</v>
      </c>
      <c r="D48" s="10">
        <v>7544</v>
      </c>
      <c r="E48" s="7">
        <v>987381</v>
      </c>
      <c r="F48" s="7">
        <v>1388502.8</v>
      </c>
      <c r="G48" s="7">
        <f t="shared" si="0"/>
        <v>401121.80000000005</v>
      </c>
      <c r="H48" s="2"/>
      <c r="I48" s="2"/>
      <c r="J48" s="2"/>
      <c r="K48" s="8">
        <v>8</v>
      </c>
      <c r="L48" s="18">
        <f>($U$51/$T$21)-1</f>
        <v>-0.107388756276381</v>
      </c>
      <c r="M48" s="18">
        <f>($L$21/$T$9)-1</f>
        <v>2.0648337195495854</v>
      </c>
      <c r="N48" s="2"/>
      <c r="O48" s="2"/>
      <c r="P48" s="2"/>
      <c r="Q48" s="8">
        <v>29</v>
      </c>
      <c r="R48" s="11"/>
      <c r="S48" s="8">
        <v>5</v>
      </c>
      <c r="T48" s="7">
        <f>Q48*Z4+Z5</f>
        <v>3346376.5773504269</v>
      </c>
      <c r="U48" s="7">
        <f>VLOOKUP($S$48,$X$40:$Z$51,3)*$T$48</f>
        <v>1725507.6546595299</v>
      </c>
      <c r="V48" s="18">
        <f>($U$48/$T$18)-1</f>
        <v>0.21524110150396614</v>
      </c>
      <c r="W48" s="8"/>
      <c r="X48" s="20">
        <v>9</v>
      </c>
      <c r="Y48" s="13">
        <f>AVERAGEIF($S$2:$S$37,$X$48,$W$2:$W$37)</f>
        <v>3.6549000035214525</v>
      </c>
      <c r="Z48" s="2">
        <f>$Y$48/AVERAGE($Y$40:$Y$51)</f>
        <v>3.3875653496222378</v>
      </c>
    </row>
    <row r="49" spans="1:26" ht="13" x14ac:dyDescent="0.6">
      <c r="A49" s="9">
        <v>11</v>
      </c>
      <c r="B49" s="4">
        <v>2019</v>
      </c>
      <c r="C49" s="8">
        <v>48</v>
      </c>
      <c r="D49" s="10">
        <v>6658</v>
      </c>
      <c r="E49" s="7">
        <v>853683</v>
      </c>
      <c r="F49" s="7">
        <v>1200527.0999999999</v>
      </c>
      <c r="G49" s="7">
        <f t="shared" si="0"/>
        <v>346844.09999999986</v>
      </c>
      <c r="H49" s="2"/>
      <c r="I49" s="2"/>
      <c r="J49" s="2"/>
      <c r="K49" s="8">
        <v>9</v>
      </c>
      <c r="L49" s="18">
        <f>($U$52/$T$22)-1</f>
        <v>1.0022865339082987</v>
      </c>
      <c r="M49" s="18">
        <f>($L$22/$T$10)-1</f>
        <v>-0.20173055186324651</v>
      </c>
      <c r="N49" s="2"/>
      <c r="O49" s="2"/>
      <c r="P49" s="2"/>
      <c r="Q49" s="8">
        <v>30</v>
      </c>
      <c r="R49" s="11"/>
      <c r="S49" s="8">
        <v>6</v>
      </c>
      <c r="T49" s="7">
        <f>Q49*Z4+Z5</f>
        <v>3407870.2145299139</v>
      </c>
      <c r="U49" s="7">
        <f>VLOOKUP($S$49,$X$40:$Z$51,3)*$T$49</f>
        <v>2288229.908988155</v>
      </c>
      <c r="V49" s="18">
        <f>($U$49/$T$19)-1</f>
        <v>0.2257248815460513</v>
      </c>
      <c r="W49" s="8"/>
      <c r="X49" s="20">
        <v>10</v>
      </c>
      <c r="Y49" s="13">
        <f>AVERAGEIF($S$2:$S$37,$X$49,$W$2:$W$37)</f>
        <v>0.65976926945012881</v>
      </c>
      <c r="Z49" s="2">
        <f>$Y$49/AVERAGE($Y$40:$Y$51)</f>
        <v>0.611510989023346</v>
      </c>
    </row>
    <row r="50" spans="1:26" ht="13" x14ac:dyDescent="0.6">
      <c r="A50" s="9">
        <v>12</v>
      </c>
      <c r="B50" s="4">
        <v>2019</v>
      </c>
      <c r="C50" s="8">
        <v>49</v>
      </c>
      <c r="D50" s="10">
        <v>6969</v>
      </c>
      <c r="E50" s="7">
        <v>908225</v>
      </c>
      <c r="F50" s="7">
        <v>1277171.5499999998</v>
      </c>
      <c r="G50" s="7">
        <f t="shared" si="0"/>
        <v>368946.54999999981</v>
      </c>
      <c r="H50" s="2"/>
      <c r="I50" s="2"/>
      <c r="J50" s="2"/>
      <c r="K50" s="8">
        <v>10</v>
      </c>
      <c r="L50" s="18">
        <f>($U$53/$T$23)-1</f>
        <v>0.86595831854393768</v>
      </c>
      <c r="M50" s="18">
        <f>($L$23/$T$11)-1</f>
        <v>-0.17134755639539379</v>
      </c>
      <c r="N50" s="2"/>
      <c r="O50" s="2"/>
      <c r="P50" s="2"/>
      <c r="Q50" s="8">
        <v>31</v>
      </c>
      <c r="R50" s="11"/>
      <c r="S50" s="8">
        <v>7</v>
      </c>
      <c r="T50" s="7">
        <f>Q50*Z4+Z5</f>
        <v>3469363.8517094012</v>
      </c>
      <c r="U50" s="7">
        <f>VLOOKUP($S$50,$X$40:$Z$51,3)*$T$50</f>
        <v>2298067.1751306849</v>
      </c>
      <c r="V50" s="18">
        <f>($U$50/$T$20)-1</f>
        <v>0.63333298871631971</v>
      </c>
      <c r="W50" s="8"/>
      <c r="X50" s="20">
        <v>11</v>
      </c>
      <c r="Y50" s="13">
        <f>AVERAGEIF($S$2:$S$37,$X$50,$W$2:$W$37)</f>
        <v>0.67338116134018544</v>
      </c>
      <c r="Z50" s="2">
        <f>$Y$50/AVERAGE($Y$40:$Y$51)</f>
        <v>0.624127250279504</v>
      </c>
    </row>
    <row r="51" spans="1:26" ht="13" x14ac:dyDescent="0.6">
      <c r="A51" s="9">
        <v>12</v>
      </c>
      <c r="B51" s="4">
        <v>2019</v>
      </c>
      <c r="C51" s="4">
        <v>50</v>
      </c>
      <c r="D51" s="10">
        <v>7276</v>
      </c>
      <c r="E51" s="7">
        <v>951342</v>
      </c>
      <c r="F51" s="7">
        <v>1337836.1999999997</v>
      </c>
      <c r="G51" s="7">
        <f t="shared" si="0"/>
        <v>386494.19999999972</v>
      </c>
      <c r="H51" s="2"/>
      <c r="I51" s="2"/>
      <c r="J51" s="2"/>
      <c r="K51" s="8">
        <v>11</v>
      </c>
      <c r="L51" s="18">
        <f>($U$54/$T$24)-1</f>
        <v>0.12146530377291032</v>
      </c>
      <c r="M51" s="18">
        <f>($L$24/$T$12)-1</f>
        <v>0.34336686318181942</v>
      </c>
      <c r="N51" s="2"/>
      <c r="O51" s="2"/>
      <c r="P51" s="2"/>
      <c r="Q51" s="14">
        <v>32</v>
      </c>
      <c r="R51" s="11"/>
      <c r="S51" s="8">
        <v>8</v>
      </c>
      <c r="T51" s="7">
        <f>Q51*Z4+Z5</f>
        <v>3530857.4888888886</v>
      </c>
      <c r="U51" s="7">
        <f>VLOOKUP($S$51,$X$40:$Z$51,3)*$T$51</f>
        <v>5670221.968668554</v>
      </c>
      <c r="V51" s="18">
        <f>($U$51/$T$21)-1</f>
        <v>-0.107388756276381</v>
      </c>
      <c r="W51" s="8"/>
      <c r="X51" s="20">
        <v>12</v>
      </c>
      <c r="Y51" s="13">
        <f>AVERAGEIF($S$2:$S$37,$X$51,$W$2:$W$37)</f>
        <v>0.6396850186316525</v>
      </c>
      <c r="Z51" s="2">
        <f>$Y$51/AVERAGE($Y$40:$Y$51)</f>
        <v>0.59289578420782707</v>
      </c>
    </row>
    <row r="52" spans="1:26" ht="13" x14ac:dyDescent="0.6">
      <c r="A52" s="9">
        <v>12</v>
      </c>
      <c r="B52" s="4">
        <v>2019</v>
      </c>
      <c r="C52" s="4">
        <v>51</v>
      </c>
      <c r="D52" s="10">
        <v>6900</v>
      </c>
      <c r="E52" s="7">
        <v>924762</v>
      </c>
      <c r="F52" s="7">
        <v>1300285</v>
      </c>
      <c r="G52" s="7">
        <f t="shared" si="0"/>
        <v>375523</v>
      </c>
      <c r="H52" s="2"/>
      <c r="I52" s="2"/>
      <c r="J52" s="2"/>
      <c r="K52" s="8">
        <v>12</v>
      </c>
      <c r="L52" s="18">
        <f>($U$55/$T$25)-1</f>
        <v>0.44555814530805526</v>
      </c>
      <c r="M52" s="18">
        <f>($L$25/$T$13)-1</f>
        <v>4.2794117310471336E-2</v>
      </c>
      <c r="N52" s="2"/>
      <c r="O52" s="2"/>
      <c r="P52" s="2"/>
      <c r="Q52" s="8">
        <v>33</v>
      </c>
      <c r="R52" s="11"/>
      <c r="S52" s="8">
        <v>9</v>
      </c>
      <c r="T52" s="7">
        <f>Q52*Z4+Z5</f>
        <v>3592351.1260683755</v>
      </c>
      <c r="U52" s="7">
        <f>VLOOKUP($S$52,$X$40:$Z$51,3)*$T$52</f>
        <v>12169324.198345656</v>
      </c>
      <c r="V52" s="18">
        <f>($U$52/$T$22)-1</f>
        <v>1.0022865339082987</v>
      </c>
      <c r="W52" s="2"/>
      <c r="X52" s="2"/>
      <c r="Y52" s="2"/>
      <c r="Z52" s="2"/>
    </row>
    <row r="53" spans="1:26" ht="13" x14ac:dyDescent="0.6">
      <c r="A53" s="9">
        <v>12</v>
      </c>
      <c r="B53" s="4">
        <v>2019</v>
      </c>
      <c r="C53" s="8">
        <v>52</v>
      </c>
      <c r="D53" s="10">
        <v>6747</v>
      </c>
      <c r="E53" s="7">
        <v>872619</v>
      </c>
      <c r="F53" s="7">
        <v>1227152.6499999999</v>
      </c>
      <c r="G53" s="7">
        <f t="shared" si="0"/>
        <v>354533.64999999991</v>
      </c>
      <c r="H53" s="2"/>
      <c r="I53" s="2"/>
      <c r="J53" s="2"/>
      <c r="K53" s="2"/>
      <c r="L53" s="2"/>
      <c r="M53" s="2"/>
      <c r="N53" s="2"/>
      <c r="O53" s="2"/>
      <c r="P53" s="2"/>
      <c r="Q53" s="8">
        <v>34</v>
      </c>
      <c r="R53" s="11"/>
      <c r="S53" s="8">
        <v>10</v>
      </c>
      <c r="T53" s="7">
        <f>Q53*Z4+Z5</f>
        <v>3653844.7632478625</v>
      </c>
      <c r="U53" s="7">
        <f>VLOOKUP($S$53,$X$40:$Z$51,3)*$T$53</f>
        <v>2234366.2249114737</v>
      </c>
      <c r="V53" s="18">
        <f>($U$53/$T$23)-1</f>
        <v>0.86595831854393768</v>
      </c>
      <c r="W53" s="2"/>
      <c r="X53" s="2"/>
      <c r="Y53" s="2"/>
      <c r="Z53" s="2"/>
    </row>
    <row r="54" spans="1:26" ht="13" x14ac:dyDescent="0.6">
      <c r="A54" s="9">
        <v>1</v>
      </c>
      <c r="B54" s="4">
        <v>2020</v>
      </c>
      <c r="C54" s="8">
        <v>1</v>
      </c>
      <c r="D54" s="10">
        <v>6752</v>
      </c>
      <c r="E54" s="7">
        <v>871339</v>
      </c>
      <c r="F54" s="7">
        <v>1225342.3999999999</v>
      </c>
      <c r="G54" s="7">
        <f t="shared" si="0"/>
        <v>354003.39999999991</v>
      </c>
      <c r="H54" s="18">
        <f>($G$54/$G$2)-1</f>
        <v>1.5199244741754705</v>
      </c>
      <c r="I54" s="2"/>
      <c r="J54" s="2"/>
      <c r="K54" s="2"/>
      <c r="L54" s="2"/>
      <c r="M54" s="2"/>
      <c r="N54" s="2"/>
      <c r="O54" s="2"/>
      <c r="P54" s="2"/>
      <c r="Q54" s="8">
        <v>35</v>
      </c>
      <c r="R54" s="11"/>
      <c r="S54" s="8">
        <v>11</v>
      </c>
      <c r="T54" s="7">
        <f>Q54*Z4+Z5</f>
        <v>3715338.4004273498</v>
      </c>
      <c r="U54" s="7">
        <f>VLOOKUP($S$54,$X$40:$Z$51,3)*$T$54</f>
        <v>2318843.9397165724</v>
      </c>
      <c r="V54" s="18">
        <f>($U$54/$T$24)-1</f>
        <v>0.12146530377291032</v>
      </c>
      <c r="W54" s="2"/>
      <c r="X54" s="2"/>
      <c r="Y54" s="2"/>
      <c r="Z54" s="2"/>
    </row>
    <row r="55" spans="1:26" ht="13" x14ac:dyDescent="0.6">
      <c r="A55" s="9">
        <v>1</v>
      </c>
      <c r="B55" s="4">
        <v>2020</v>
      </c>
      <c r="C55" s="8">
        <v>2</v>
      </c>
      <c r="D55" s="10">
        <v>6617</v>
      </c>
      <c r="E55" s="7">
        <v>874112</v>
      </c>
      <c r="F55" s="7">
        <v>1229219.1499999999</v>
      </c>
      <c r="G55" s="7">
        <f t="shared" si="0"/>
        <v>355107.14999999991</v>
      </c>
      <c r="H55" s="18">
        <f>($G$55/$G$3)-1</f>
        <v>1.4021805894728292</v>
      </c>
      <c r="I55" s="2"/>
      <c r="J55" s="2"/>
      <c r="K55" s="2"/>
      <c r="L55" s="2"/>
      <c r="M55" s="2"/>
      <c r="N55" s="2"/>
      <c r="O55" s="2"/>
      <c r="P55" s="2"/>
      <c r="Q55" s="14">
        <v>36</v>
      </c>
      <c r="R55" s="11"/>
      <c r="S55" s="8">
        <v>12</v>
      </c>
      <c r="T55" s="7">
        <f>Q55*Z4+Z5</f>
        <v>3776832.0376068372</v>
      </c>
      <c r="U55" s="7">
        <f>VLOOKUP($S$55,$X$40:$Z$51,3)*$T$55</f>
        <v>2239267.792758151</v>
      </c>
      <c r="V55" s="18">
        <f>($U$55/$T$25)-1</f>
        <v>0.44555814530805526</v>
      </c>
      <c r="W55" s="2"/>
      <c r="X55" s="2"/>
      <c r="Y55" s="2"/>
      <c r="Z55" s="2"/>
    </row>
    <row r="56" spans="1:26" ht="13" x14ac:dyDescent="0.6">
      <c r="A56" s="9">
        <v>1</v>
      </c>
      <c r="B56" s="4">
        <v>2020</v>
      </c>
      <c r="C56" s="8">
        <v>3</v>
      </c>
      <c r="D56" s="10">
        <v>5595</v>
      </c>
      <c r="E56" s="7">
        <v>715203</v>
      </c>
      <c r="F56" s="7">
        <v>1005890.25</v>
      </c>
      <c r="G56" s="7">
        <f t="shared" si="0"/>
        <v>290687.25</v>
      </c>
      <c r="H56" s="18">
        <f>($G$56/$G$4)-1</f>
        <v>1.0180672496431611</v>
      </c>
      <c r="I56" s="2"/>
      <c r="J56" s="2"/>
      <c r="K56" s="2"/>
      <c r="L56" s="2"/>
      <c r="M56" s="2"/>
      <c r="N56" s="2"/>
      <c r="O56" s="2"/>
      <c r="P56" s="2"/>
      <c r="Q56" s="10"/>
      <c r="R56" s="11"/>
      <c r="S56" s="11"/>
      <c r="T56" s="2"/>
      <c r="U56" s="2"/>
      <c r="V56" s="2"/>
      <c r="W56" s="2"/>
      <c r="X56" s="2"/>
      <c r="Y56" s="2"/>
      <c r="Z56" s="2"/>
    </row>
    <row r="57" spans="1:26" ht="13" x14ac:dyDescent="0.6">
      <c r="A57" s="9">
        <v>1</v>
      </c>
      <c r="B57" s="4">
        <v>2020</v>
      </c>
      <c r="C57" s="8">
        <v>4</v>
      </c>
      <c r="D57" s="10">
        <v>5941</v>
      </c>
      <c r="E57" s="7">
        <v>769047</v>
      </c>
      <c r="F57" s="7">
        <v>1081582.95</v>
      </c>
      <c r="G57" s="7">
        <f t="shared" si="0"/>
        <v>312535.94999999995</v>
      </c>
      <c r="H57" s="18">
        <f>($G$57/$G$5)-1</f>
        <v>1.3281090368286819</v>
      </c>
      <c r="I57" s="2"/>
      <c r="J57" s="2"/>
      <c r="K57" s="2"/>
      <c r="L57" s="2"/>
      <c r="M57" s="2"/>
      <c r="N57" s="2"/>
      <c r="O57" s="2"/>
      <c r="P57" s="2"/>
      <c r="Q57" s="10"/>
      <c r="R57" s="11"/>
      <c r="S57" s="8">
        <v>2021</v>
      </c>
      <c r="T57" s="8" t="s">
        <v>25</v>
      </c>
      <c r="U57" s="7">
        <f>SUM(U44:U55)</f>
        <v>41639915.34320201</v>
      </c>
      <c r="V57" s="2"/>
      <c r="W57" s="2"/>
      <c r="X57" s="2"/>
      <c r="Y57" s="2"/>
      <c r="Z57" s="2"/>
    </row>
    <row r="58" spans="1:26" ht="13" x14ac:dyDescent="0.6">
      <c r="A58" s="9">
        <v>1</v>
      </c>
      <c r="B58" s="4">
        <v>2020</v>
      </c>
      <c r="C58" s="8">
        <v>5</v>
      </c>
      <c r="D58" s="10">
        <v>6300</v>
      </c>
      <c r="E58" s="7">
        <v>833001</v>
      </c>
      <c r="F58" s="7">
        <v>1171425</v>
      </c>
      <c r="G58" s="7">
        <f t="shared" si="0"/>
        <v>338424</v>
      </c>
      <c r="H58" s="18">
        <f>($G$58/$G$6)-1</f>
        <v>1.3527195307408211</v>
      </c>
      <c r="I58" s="2"/>
      <c r="J58" s="2"/>
      <c r="K58" s="2"/>
      <c r="L58" s="2"/>
      <c r="M58" s="2"/>
      <c r="N58" s="2"/>
      <c r="O58" s="2"/>
      <c r="P58" s="2"/>
      <c r="Q58" s="10"/>
      <c r="R58" s="11"/>
      <c r="S58" s="11"/>
      <c r="T58" s="8" t="s">
        <v>27</v>
      </c>
      <c r="U58" s="7">
        <f>AVERAGE(U44:U55)</f>
        <v>3469992.945266834</v>
      </c>
      <c r="V58" s="2"/>
      <c r="W58" s="2"/>
      <c r="X58" s="2"/>
      <c r="Y58" s="2"/>
      <c r="Z58" s="2"/>
    </row>
    <row r="59" spans="1:26" ht="13" x14ac:dyDescent="0.6">
      <c r="A59" s="9">
        <v>2</v>
      </c>
      <c r="B59" s="4">
        <v>2020</v>
      </c>
      <c r="C59" s="8">
        <v>6</v>
      </c>
      <c r="D59" s="10">
        <v>6781</v>
      </c>
      <c r="E59" s="7">
        <v>898966</v>
      </c>
      <c r="F59" s="7">
        <v>1264150.95</v>
      </c>
      <c r="G59" s="7">
        <f t="shared" si="0"/>
        <v>365184.94999999995</v>
      </c>
      <c r="H59" s="18">
        <f>($G$59/$G$7)-1</f>
        <v>1.2229104343832433</v>
      </c>
      <c r="I59" s="2"/>
      <c r="J59" s="2"/>
      <c r="K59" s="2"/>
      <c r="L59" s="2"/>
      <c r="M59" s="2"/>
      <c r="N59" s="2"/>
      <c r="O59" s="2"/>
      <c r="P59" s="2"/>
      <c r="Q59" s="10"/>
      <c r="R59" s="11"/>
      <c r="S59" s="11"/>
      <c r="T59" s="2"/>
      <c r="U59" s="2"/>
      <c r="V59" s="2"/>
      <c r="W59" s="2"/>
      <c r="X59" s="2"/>
      <c r="Y59" s="2"/>
      <c r="Z59" s="2"/>
    </row>
    <row r="60" spans="1:26" ht="13" x14ac:dyDescent="0.6">
      <c r="A60" s="9">
        <v>2</v>
      </c>
      <c r="B60" s="4">
        <v>2020</v>
      </c>
      <c r="C60" s="8">
        <v>7</v>
      </c>
      <c r="D60" s="10">
        <v>7340</v>
      </c>
      <c r="E60" s="7">
        <v>989392</v>
      </c>
      <c r="F60" s="7">
        <v>1391152.9999999998</v>
      </c>
      <c r="G60" s="7">
        <f t="shared" si="0"/>
        <v>401760.99999999977</v>
      </c>
      <c r="H60" s="18">
        <f>($G$60/$G$8)-1</f>
        <v>1.6291073974872501</v>
      </c>
      <c r="I60" s="2"/>
      <c r="J60" s="2"/>
      <c r="K60" s="2"/>
      <c r="L60" s="2"/>
      <c r="M60" s="2"/>
      <c r="N60" s="2"/>
      <c r="O60" s="2"/>
      <c r="P60" s="2"/>
      <c r="Q60" s="10"/>
      <c r="R60" s="11"/>
      <c r="S60" s="11"/>
      <c r="T60" s="2"/>
      <c r="U60" s="2"/>
      <c r="V60" s="2"/>
      <c r="W60" s="2"/>
      <c r="X60" s="2"/>
      <c r="Y60" s="2"/>
      <c r="Z60" s="2"/>
    </row>
    <row r="61" spans="1:26" ht="13" x14ac:dyDescent="0.6">
      <c r="A61" s="9">
        <v>2</v>
      </c>
      <c r="B61" s="4">
        <v>2020</v>
      </c>
      <c r="C61" s="8">
        <v>8</v>
      </c>
      <c r="D61" s="10">
        <v>6866</v>
      </c>
      <c r="E61" s="7">
        <v>903252</v>
      </c>
      <c r="F61" s="7">
        <v>1270146.7000000002</v>
      </c>
      <c r="G61" s="7">
        <f t="shared" si="0"/>
        <v>366894.70000000019</v>
      </c>
      <c r="H61" s="18">
        <f>($G$61/$G$9)-1</f>
        <v>1.3957348903767333</v>
      </c>
      <c r="I61" s="2"/>
      <c r="J61" s="2"/>
      <c r="K61" s="2"/>
      <c r="L61" s="2"/>
      <c r="M61" s="2"/>
      <c r="N61" s="2"/>
      <c r="O61" s="2"/>
      <c r="P61" s="2"/>
      <c r="Q61" s="10"/>
      <c r="R61" s="11"/>
      <c r="S61" s="11"/>
      <c r="T61" s="2"/>
      <c r="U61" s="2"/>
      <c r="V61" s="2"/>
      <c r="W61" s="22" t="s">
        <v>6</v>
      </c>
      <c r="X61" s="2"/>
      <c r="Y61" s="2"/>
      <c r="Z61" s="2"/>
    </row>
    <row r="62" spans="1:26" ht="13" x14ac:dyDescent="0.6">
      <c r="A62" s="9">
        <v>2</v>
      </c>
      <c r="B62" s="4">
        <v>2020</v>
      </c>
      <c r="C62" s="8">
        <v>9</v>
      </c>
      <c r="D62" s="10">
        <v>7041</v>
      </c>
      <c r="E62" s="7">
        <v>936502</v>
      </c>
      <c r="F62" s="7">
        <v>1316877.95</v>
      </c>
      <c r="G62" s="7">
        <f t="shared" si="0"/>
        <v>380375.94999999995</v>
      </c>
      <c r="H62" s="18">
        <f>($G$62/$G$10)-1</f>
        <v>0.93263375087771783</v>
      </c>
      <c r="I62" s="2"/>
      <c r="J62" s="2"/>
      <c r="K62" s="2"/>
      <c r="L62" s="2"/>
      <c r="M62" s="2"/>
      <c r="N62" s="2"/>
      <c r="O62" s="2"/>
      <c r="P62" s="2"/>
      <c r="Q62" s="21" t="s">
        <v>8</v>
      </c>
      <c r="R62" s="1" t="s">
        <v>1</v>
      </c>
      <c r="S62" s="1" t="s">
        <v>0</v>
      </c>
      <c r="T62" s="1" t="s">
        <v>28</v>
      </c>
      <c r="U62" s="1" t="s">
        <v>29</v>
      </c>
      <c r="V62" s="2"/>
      <c r="W62" s="1" t="s">
        <v>30</v>
      </c>
      <c r="X62" s="19"/>
      <c r="Y62" s="2"/>
      <c r="Z62" s="2"/>
    </row>
    <row r="63" spans="1:26" ht="13" x14ac:dyDescent="0.6">
      <c r="A63" s="9">
        <v>3</v>
      </c>
      <c r="B63" s="4">
        <v>2020</v>
      </c>
      <c r="C63" s="8">
        <v>10</v>
      </c>
      <c r="D63" s="10">
        <v>7008</v>
      </c>
      <c r="E63" s="7">
        <v>939728</v>
      </c>
      <c r="F63" s="7">
        <v>1321419.5999999999</v>
      </c>
      <c r="G63" s="7">
        <f t="shared" si="0"/>
        <v>381691.59999999986</v>
      </c>
      <c r="H63" s="18">
        <f>($G$63/$G$11)-1</f>
        <v>1.0930905653114005</v>
      </c>
      <c r="I63" s="2"/>
      <c r="J63" s="2"/>
      <c r="K63" s="2"/>
      <c r="L63" s="2"/>
      <c r="M63" s="2"/>
      <c r="N63" s="2"/>
      <c r="O63" s="2"/>
      <c r="P63" s="2"/>
      <c r="Q63" s="8">
        <v>21</v>
      </c>
      <c r="R63" s="8">
        <v>2020</v>
      </c>
      <c r="S63" s="8">
        <v>9</v>
      </c>
      <c r="T63" s="7">
        <f>SUM($G$90:$G$93)</f>
        <v>6077713.6500000004</v>
      </c>
      <c r="U63" s="18">
        <f t="shared" ref="U63:U68" si="4">(T63/T10)-1</f>
        <v>-0.20173055186324651</v>
      </c>
      <c r="V63" s="2"/>
      <c r="W63" s="18">
        <f>ABS($U$148-$V$148)/$V$148</f>
        <v>0.59098637757769057</v>
      </c>
      <c r="X63" s="2"/>
      <c r="Y63" s="2"/>
      <c r="Z63" s="2"/>
    </row>
    <row r="64" spans="1:26" ht="13" x14ac:dyDescent="0.6">
      <c r="A64" s="9">
        <v>3</v>
      </c>
      <c r="B64" s="4">
        <v>2020</v>
      </c>
      <c r="C64" s="8">
        <v>11</v>
      </c>
      <c r="D64" s="10">
        <v>8456</v>
      </c>
      <c r="E64" s="7">
        <v>1135933</v>
      </c>
      <c r="F64" s="7">
        <v>1597387.2</v>
      </c>
      <c r="G64" s="7">
        <f t="shared" si="0"/>
        <v>461454.19999999995</v>
      </c>
      <c r="H64" s="18">
        <f t="shared" ref="H64:H105" si="5">(G64/G12)-1</f>
        <v>-0.12197534246835995</v>
      </c>
      <c r="I64" s="2"/>
      <c r="J64" s="2"/>
      <c r="K64" s="2"/>
      <c r="L64" s="2"/>
      <c r="M64" s="2"/>
      <c r="N64" s="2"/>
      <c r="O64" s="2"/>
      <c r="P64" s="2"/>
      <c r="Q64" s="8">
        <v>22</v>
      </c>
      <c r="R64" s="11"/>
      <c r="S64" s="8">
        <v>10</v>
      </c>
      <c r="T64" s="7">
        <f>SUM($G$94:$G$97)</f>
        <v>1197436.2999999998</v>
      </c>
      <c r="U64" s="18">
        <f t="shared" si="4"/>
        <v>-0.17134755639539379</v>
      </c>
      <c r="V64" s="2"/>
      <c r="W64" s="18">
        <f>ABS($U$149-$V$149)/$V$149</f>
        <v>0.48911287074579446</v>
      </c>
      <c r="X64" s="2"/>
      <c r="Y64" s="2"/>
      <c r="Z64" s="2"/>
    </row>
    <row r="65" spans="1:26" ht="13" x14ac:dyDescent="0.6">
      <c r="A65" s="9">
        <v>3</v>
      </c>
      <c r="B65" s="4">
        <v>2020</v>
      </c>
      <c r="C65" s="8">
        <v>12</v>
      </c>
      <c r="D65" s="10">
        <v>10950</v>
      </c>
      <c r="E65" s="7">
        <v>1441825</v>
      </c>
      <c r="F65" s="7">
        <v>2028022.4999999998</v>
      </c>
      <c r="G65" s="7">
        <f t="shared" si="0"/>
        <v>586197.49999999977</v>
      </c>
      <c r="H65" s="18">
        <f t="shared" si="5"/>
        <v>6.6229368887559925E-2</v>
      </c>
      <c r="I65" s="2"/>
      <c r="J65" s="2"/>
      <c r="K65" s="2"/>
      <c r="L65" s="2"/>
      <c r="M65" s="2"/>
      <c r="N65" s="2"/>
      <c r="O65" s="2"/>
      <c r="P65" s="2"/>
      <c r="Q65" s="8">
        <v>23</v>
      </c>
      <c r="R65" s="11"/>
      <c r="S65" s="8">
        <v>11</v>
      </c>
      <c r="T65" s="7">
        <f>SUM($G$98:$G$102)</f>
        <v>2067691.1999999993</v>
      </c>
      <c r="U65" s="18">
        <f t="shared" si="4"/>
        <v>0.34336686318181942</v>
      </c>
      <c r="V65" s="2"/>
      <c r="W65" s="18">
        <f>ABS($U$150-$V$150)/$V$150</f>
        <v>0.10127504362046527</v>
      </c>
      <c r="X65" s="2"/>
      <c r="Y65" s="2"/>
      <c r="Z65" s="2"/>
    </row>
    <row r="66" spans="1:26" ht="13" x14ac:dyDescent="0.6">
      <c r="A66" s="9">
        <v>3</v>
      </c>
      <c r="B66" s="4">
        <v>2020</v>
      </c>
      <c r="C66" s="8">
        <v>13</v>
      </c>
      <c r="D66" s="10">
        <v>7393</v>
      </c>
      <c r="E66" s="7">
        <v>968767</v>
      </c>
      <c r="F66" s="7">
        <v>1362520.35</v>
      </c>
      <c r="G66" s="7">
        <f t="shared" si="0"/>
        <v>393753.35000000009</v>
      </c>
      <c r="H66" s="18">
        <f t="shared" si="5"/>
        <v>-7.693805316580582E-2</v>
      </c>
      <c r="I66" s="2"/>
      <c r="J66" s="2"/>
      <c r="K66" s="2"/>
      <c r="L66" s="2"/>
      <c r="M66" s="2"/>
      <c r="N66" s="2"/>
      <c r="O66" s="2"/>
      <c r="P66" s="2"/>
      <c r="Q66" s="14">
        <v>24</v>
      </c>
      <c r="R66" s="11"/>
      <c r="S66" s="8">
        <v>12</v>
      </c>
      <c r="T66" s="7">
        <f>SUM($G$103:$G$106)</f>
        <v>1549067.9499999997</v>
      </c>
      <c r="U66" s="18">
        <f t="shared" si="4"/>
        <v>4.2794117310471336E-2</v>
      </c>
      <c r="V66" s="2"/>
      <c r="W66" s="18">
        <f>ABS($U$151-$V$151)/$V$151</f>
        <v>0.16312262085486154</v>
      </c>
      <c r="X66" s="2"/>
      <c r="Y66" s="2"/>
      <c r="Z66" s="2"/>
    </row>
    <row r="67" spans="1:26" ht="13" x14ac:dyDescent="0.6">
      <c r="A67" s="9">
        <v>3</v>
      </c>
      <c r="B67" s="4">
        <v>2020</v>
      </c>
      <c r="C67" s="8">
        <v>14</v>
      </c>
      <c r="D67" s="10">
        <v>7136</v>
      </c>
      <c r="E67" s="7">
        <v>912810</v>
      </c>
      <c r="F67" s="7">
        <v>1283933.2</v>
      </c>
      <c r="G67" s="7">
        <f t="shared" si="0"/>
        <v>371123.19999999995</v>
      </c>
      <c r="H67" s="18">
        <f t="shared" si="5"/>
        <v>-8.0786986382206383E-2</v>
      </c>
      <c r="I67" s="2"/>
      <c r="J67" s="2"/>
      <c r="K67" s="2"/>
      <c r="L67" s="2"/>
      <c r="M67" s="2"/>
      <c r="N67" s="2"/>
      <c r="O67" s="2"/>
      <c r="P67" s="2"/>
      <c r="Q67" s="8">
        <v>25</v>
      </c>
      <c r="R67" s="8">
        <v>2021</v>
      </c>
      <c r="S67" s="8">
        <v>1</v>
      </c>
      <c r="T67" s="7">
        <f>SUM($G$107:$G$110)</f>
        <v>1835053.75</v>
      </c>
      <c r="U67" s="18">
        <f t="shared" si="4"/>
        <v>0.11164327412668529</v>
      </c>
      <c r="V67" s="2"/>
      <c r="W67" s="18">
        <f>ABS($U$152-$V$152)/$V$152</f>
        <v>0.10678351081236592</v>
      </c>
      <c r="X67" s="2"/>
      <c r="Y67" s="2"/>
      <c r="Z67" s="2"/>
    </row>
    <row r="68" spans="1:26" ht="13" x14ac:dyDescent="0.6">
      <c r="A68" s="9">
        <v>4</v>
      </c>
      <c r="B68" s="4">
        <v>2020</v>
      </c>
      <c r="C68" s="8">
        <v>15</v>
      </c>
      <c r="D68" s="10">
        <v>6726</v>
      </c>
      <c r="E68" s="7">
        <v>849344</v>
      </c>
      <c r="F68" s="7">
        <v>1194753.7</v>
      </c>
      <c r="G68" s="7">
        <f t="shared" si="0"/>
        <v>345409.69999999995</v>
      </c>
      <c r="H68" s="18">
        <f t="shared" si="5"/>
        <v>0.6740700424030901</v>
      </c>
      <c r="I68" s="2"/>
      <c r="J68" s="2"/>
      <c r="K68" s="2"/>
      <c r="L68" s="2"/>
      <c r="M68" s="2"/>
      <c r="N68" s="2"/>
      <c r="O68" s="2"/>
      <c r="P68" s="2"/>
      <c r="Q68" s="8">
        <v>26</v>
      </c>
      <c r="R68" s="11"/>
      <c r="S68" s="8">
        <v>2</v>
      </c>
      <c r="T68" s="7">
        <f>SUM($G$111:$G$114)</f>
        <v>1653677.6999999997</v>
      </c>
      <c r="U68" s="18">
        <f t="shared" si="4"/>
        <v>9.2101156465990375E-2</v>
      </c>
      <c r="V68" s="2"/>
      <c r="W68" s="18">
        <f>ABS($U$153-$V$153)/$V$153</f>
        <v>7.3156427303610369E-2</v>
      </c>
      <c r="X68" s="2"/>
      <c r="Y68" s="2"/>
      <c r="Z68" s="2"/>
    </row>
    <row r="69" spans="1:26" ht="13" x14ac:dyDescent="0.6">
      <c r="A69" s="9">
        <v>4</v>
      </c>
      <c r="B69" s="4">
        <v>2020</v>
      </c>
      <c r="C69" s="8">
        <v>16</v>
      </c>
      <c r="D69" s="10">
        <v>57836</v>
      </c>
      <c r="E69" s="7">
        <v>7382448</v>
      </c>
      <c r="F69" s="7">
        <v>10379718.199999999</v>
      </c>
      <c r="G69" s="7">
        <f t="shared" si="0"/>
        <v>2997270.1999999993</v>
      </c>
      <c r="H69" s="18">
        <f t="shared" si="5"/>
        <v>7.1014221755155305</v>
      </c>
      <c r="I69" s="2"/>
      <c r="J69" s="2"/>
      <c r="K69" s="2"/>
      <c r="L69" s="2"/>
      <c r="M69" s="2"/>
      <c r="N69" s="2"/>
      <c r="O69" s="2"/>
      <c r="P69" s="2"/>
      <c r="Q69" s="10"/>
      <c r="R69" s="11"/>
      <c r="S69" s="7"/>
      <c r="T69" s="2"/>
      <c r="U69" s="2"/>
      <c r="V69" s="2"/>
      <c r="W69" s="2"/>
      <c r="X69" s="2"/>
      <c r="Y69" s="2"/>
      <c r="Z69" s="2"/>
    </row>
    <row r="70" spans="1:26" ht="13" x14ac:dyDescent="0.6">
      <c r="A70" s="9">
        <v>4</v>
      </c>
      <c r="B70" s="4">
        <v>2020</v>
      </c>
      <c r="C70" s="8">
        <v>17</v>
      </c>
      <c r="D70" s="10">
        <v>9978</v>
      </c>
      <c r="E70" s="7">
        <v>1286052</v>
      </c>
      <c r="F70" s="7">
        <v>1275676.75</v>
      </c>
      <c r="G70" s="7">
        <f t="shared" si="0"/>
        <v>-10375.25</v>
      </c>
      <c r="H70" s="18">
        <f t="shared" si="5"/>
        <v>-1.0322325646996837</v>
      </c>
      <c r="I70" s="2"/>
      <c r="J70" s="2"/>
      <c r="K70" s="2"/>
      <c r="L70" s="2"/>
      <c r="M70" s="2"/>
      <c r="N70" s="2"/>
      <c r="O70" s="2"/>
      <c r="P70" s="2"/>
      <c r="Q70" s="10"/>
      <c r="R70" s="11"/>
      <c r="S70" s="7"/>
      <c r="T70" s="2"/>
      <c r="U70" s="2"/>
      <c r="V70" s="2"/>
      <c r="W70" s="2"/>
      <c r="X70" s="2"/>
      <c r="Y70" s="2"/>
      <c r="Z70" s="2"/>
    </row>
    <row r="71" spans="1:26" ht="13" x14ac:dyDescent="0.6">
      <c r="A71" s="9">
        <v>4</v>
      </c>
      <c r="B71" s="4">
        <v>2020</v>
      </c>
      <c r="C71" s="8">
        <v>18</v>
      </c>
      <c r="D71" s="10">
        <v>6206</v>
      </c>
      <c r="E71" s="7">
        <v>800636</v>
      </c>
      <c r="F71" s="7">
        <v>1126039.7</v>
      </c>
      <c r="G71" s="7">
        <f t="shared" si="0"/>
        <v>325403.69999999995</v>
      </c>
      <c r="H71" s="18">
        <f t="shared" si="5"/>
        <v>0.10151995500541866</v>
      </c>
      <c r="I71" s="2"/>
      <c r="J71" s="2"/>
      <c r="K71" s="2"/>
      <c r="L71" s="2"/>
      <c r="M71" s="2"/>
      <c r="N71" s="2"/>
      <c r="O71" s="2"/>
      <c r="P71" s="2"/>
      <c r="Q71" s="10"/>
      <c r="R71" s="11"/>
      <c r="S71" s="7"/>
      <c r="T71" s="2"/>
      <c r="U71" s="2"/>
      <c r="V71" s="2"/>
      <c r="W71" s="2"/>
      <c r="X71" s="2"/>
      <c r="Y71" s="2"/>
      <c r="Z71" s="2"/>
    </row>
    <row r="72" spans="1:26" ht="13" x14ac:dyDescent="0.6">
      <c r="A72" s="9">
        <v>5</v>
      </c>
      <c r="B72" s="4">
        <v>2020</v>
      </c>
      <c r="C72" s="8">
        <v>19</v>
      </c>
      <c r="D72" s="10">
        <v>6865</v>
      </c>
      <c r="E72" s="7">
        <v>907214</v>
      </c>
      <c r="F72" s="7">
        <v>1275676.75</v>
      </c>
      <c r="G72" s="7">
        <f t="shared" si="0"/>
        <v>368462.75</v>
      </c>
      <c r="H72" s="18">
        <f t="shared" si="5"/>
        <v>0.29704348034234807</v>
      </c>
      <c r="I72" s="2"/>
      <c r="J72" s="2"/>
      <c r="K72" s="2"/>
      <c r="L72" s="2"/>
      <c r="M72" s="2"/>
      <c r="N72" s="2"/>
      <c r="O72" s="2"/>
      <c r="P72" s="2"/>
      <c r="Q72" s="10"/>
      <c r="R72" s="11"/>
      <c r="S72" s="7"/>
      <c r="T72" s="2"/>
      <c r="U72" s="2"/>
      <c r="V72" s="2"/>
      <c r="W72" s="2"/>
      <c r="X72" s="2"/>
      <c r="Y72" s="2"/>
      <c r="Z72" s="2"/>
    </row>
    <row r="73" spans="1:26" ht="13" x14ac:dyDescent="0.6">
      <c r="A73" s="9">
        <v>5</v>
      </c>
      <c r="B73" s="4">
        <v>2020</v>
      </c>
      <c r="C73" s="8">
        <v>20</v>
      </c>
      <c r="D73" s="10">
        <v>6687</v>
      </c>
      <c r="E73" s="7">
        <v>883180</v>
      </c>
      <c r="F73" s="7">
        <v>1241935.6499999999</v>
      </c>
      <c r="G73" s="7">
        <f t="shared" si="0"/>
        <v>358755.64999999991</v>
      </c>
      <c r="H73" s="18">
        <f t="shared" si="5"/>
        <v>0.20077655130356242</v>
      </c>
      <c r="I73" s="2"/>
      <c r="J73" s="2"/>
      <c r="K73" s="2"/>
      <c r="L73" s="2"/>
      <c r="M73" s="2"/>
      <c r="N73" s="2"/>
      <c r="O73" s="2"/>
      <c r="P73" s="2"/>
      <c r="Q73" s="10"/>
      <c r="R73" s="11"/>
      <c r="S73" s="7"/>
      <c r="T73" s="2"/>
      <c r="U73" s="2"/>
      <c r="V73" s="2"/>
      <c r="W73" s="2"/>
      <c r="X73" s="2"/>
      <c r="Y73" s="2"/>
      <c r="Z73" s="2"/>
    </row>
    <row r="74" spans="1:26" ht="13" x14ac:dyDescent="0.6">
      <c r="A74" s="9">
        <v>5</v>
      </c>
      <c r="B74" s="4">
        <v>2020</v>
      </c>
      <c r="C74" s="8">
        <v>21</v>
      </c>
      <c r="D74" s="10">
        <v>6814</v>
      </c>
      <c r="E74" s="7">
        <v>883594</v>
      </c>
      <c r="F74" s="7">
        <v>1242599.2999999998</v>
      </c>
      <c r="G74" s="7">
        <f t="shared" si="0"/>
        <v>359005.29999999981</v>
      </c>
      <c r="H74" s="18">
        <f t="shared" si="5"/>
        <v>0.21531285126973687</v>
      </c>
      <c r="I74" s="2"/>
      <c r="J74" s="2"/>
      <c r="K74" s="2"/>
      <c r="L74" s="2"/>
      <c r="M74" s="2"/>
      <c r="N74" s="2"/>
      <c r="O74" s="2"/>
      <c r="P74" s="2"/>
      <c r="Q74" s="10"/>
      <c r="R74" s="11"/>
      <c r="S74" s="7"/>
      <c r="T74" s="2"/>
      <c r="U74" s="2"/>
      <c r="V74" s="2"/>
      <c r="W74" s="2"/>
      <c r="X74" s="2"/>
      <c r="Y74" s="2"/>
      <c r="Z74" s="2"/>
    </row>
    <row r="75" spans="1:26" ht="13" x14ac:dyDescent="0.6">
      <c r="A75" s="9">
        <v>5</v>
      </c>
      <c r="B75" s="4">
        <v>2020</v>
      </c>
      <c r="C75" s="8">
        <v>22</v>
      </c>
      <c r="D75" s="10">
        <v>6191</v>
      </c>
      <c r="E75" s="7">
        <v>821295</v>
      </c>
      <c r="F75" s="7">
        <v>1154960.45</v>
      </c>
      <c r="G75" s="7">
        <f t="shared" si="0"/>
        <v>333665.44999999995</v>
      </c>
      <c r="H75" s="18">
        <f t="shared" si="5"/>
        <v>7.9336887933691758E-2</v>
      </c>
      <c r="I75" s="2"/>
      <c r="J75" s="2"/>
      <c r="K75" s="2"/>
      <c r="L75" s="2"/>
      <c r="M75" s="2"/>
      <c r="N75" s="2"/>
      <c r="O75" s="2"/>
      <c r="P75" s="2"/>
      <c r="Q75" s="10"/>
      <c r="R75" s="11"/>
      <c r="S75" s="7"/>
      <c r="T75" s="2"/>
      <c r="U75" s="2"/>
      <c r="V75" s="2"/>
      <c r="W75" s="2"/>
      <c r="X75" s="2"/>
      <c r="Y75" s="2"/>
      <c r="Z75" s="2"/>
    </row>
    <row r="76" spans="1:26" ht="13" x14ac:dyDescent="0.6">
      <c r="A76" s="9">
        <v>6</v>
      </c>
      <c r="B76" s="4">
        <v>2020</v>
      </c>
      <c r="C76" s="8">
        <v>23</v>
      </c>
      <c r="D76" s="10">
        <v>6408</v>
      </c>
      <c r="E76" s="7">
        <v>833224</v>
      </c>
      <c r="F76" s="7">
        <v>1171909.6000000001</v>
      </c>
      <c r="G76" s="7">
        <f t="shared" si="0"/>
        <v>338685.60000000009</v>
      </c>
      <c r="H76" s="18">
        <f t="shared" si="5"/>
        <v>0.15312554741319695</v>
      </c>
      <c r="I76" s="2"/>
      <c r="J76" s="2"/>
      <c r="K76" s="2"/>
      <c r="L76" s="2"/>
      <c r="M76" s="2"/>
      <c r="N76" s="2"/>
      <c r="O76" s="2"/>
      <c r="P76" s="2"/>
      <c r="Q76" s="10"/>
      <c r="R76" s="11"/>
      <c r="S76" s="7"/>
      <c r="T76" s="2"/>
      <c r="U76" s="2"/>
      <c r="V76" s="2"/>
      <c r="W76" s="2"/>
      <c r="X76" s="2"/>
      <c r="Y76" s="2"/>
      <c r="Z76" s="2"/>
    </row>
    <row r="77" spans="1:26" ht="13" x14ac:dyDescent="0.6">
      <c r="A77" s="9">
        <v>6</v>
      </c>
      <c r="B77" s="4">
        <v>2020</v>
      </c>
      <c r="C77" s="8">
        <v>24</v>
      </c>
      <c r="D77" s="10">
        <v>6800</v>
      </c>
      <c r="E77" s="7">
        <v>936151</v>
      </c>
      <c r="F77" s="7">
        <v>1316160</v>
      </c>
      <c r="G77" s="7">
        <f t="shared" si="0"/>
        <v>380009</v>
      </c>
      <c r="H77" s="18">
        <f t="shared" si="5"/>
        <v>0.4536509587461719</v>
      </c>
      <c r="I77" s="2"/>
      <c r="J77" s="2"/>
      <c r="K77" s="2"/>
      <c r="L77" s="2"/>
      <c r="M77" s="2"/>
      <c r="N77" s="2"/>
      <c r="O77" s="2"/>
      <c r="P77" s="2"/>
      <c r="Q77" s="10"/>
      <c r="R77" s="11"/>
      <c r="S77" s="7"/>
      <c r="T77" s="2"/>
      <c r="U77" s="2"/>
      <c r="V77" s="2"/>
      <c r="W77" s="2"/>
      <c r="X77" s="2"/>
      <c r="Y77" s="2"/>
      <c r="Z77" s="2"/>
    </row>
    <row r="78" spans="1:26" ht="13" x14ac:dyDescent="0.6">
      <c r="A78" s="9">
        <v>6</v>
      </c>
      <c r="B78" s="4">
        <v>2020</v>
      </c>
      <c r="C78" s="8">
        <v>25</v>
      </c>
      <c r="D78" s="10">
        <v>6853</v>
      </c>
      <c r="E78" s="7">
        <v>954074</v>
      </c>
      <c r="F78" s="7">
        <v>1341237.3499999999</v>
      </c>
      <c r="G78" s="7">
        <f t="shared" si="0"/>
        <v>387163.34999999986</v>
      </c>
      <c r="H78" s="18">
        <f t="shared" si="5"/>
        <v>0.21574555227219472</v>
      </c>
      <c r="I78" s="2"/>
      <c r="J78" s="2"/>
      <c r="K78" s="2"/>
      <c r="L78" s="2"/>
      <c r="M78" s="2"/>
      <c r="N78" s="2"/>
      <c r="O78" s="2"/>
      <c r="P78" s="2"/>
      <c r="Q78" s="10"/>
      <c r="R78" s="11"/>
      <c r="S78" s="7"/>
      <c r="T78" s="2"/>
      <c r="U78" s="2"/>
      <c r="V78" s="2"/>
      <c r="W78" s="2"/>
      <c r="X78" s="2"/>
      <c r="Y78" s="2"/>
      <c r="Z78" s="2"/>
    </row>
    <row r="79" spans="1:26" ht="13" x14ac:dyDescent="0.6">
      <c r="A79" s="9">
        <v>6</v>
      </c>
      <c r="B79" s="4">
        <v>2020</v>
      </c>
      <c r="C79" s="8">
        <v>26</v>
      </c>
      <c r="D79" s="10">
        <v>6933</v>
      </c>
      <c r="E79" s="7">
        <v>951465</v>
      </c>
      <c r="F79" s="7">
        <v>1337683.3499999996</v>
      </c>
      <c r="G79" s="7">
        <f t="shared" si="0"/>
        <v>386218.34999999963</v>
      </c>
      <c r="H79" s="18">
        <f t="shared" si="5"/>
        <v>0.10240536733444272</v>
      </c>
      <c r="I79" s="2"/>
      <c r="J79" s="2"/>
      <c r="K79" s="2"/>
      <c r="L79" s="2"/>
      <c r="M79" s="2"/>
      <c r="N79" s="2"/>
      <c r="O79" s="2"/>
      <c r="P79" s="2"/>
      <c r="Q79" s="54" t="s">
        <v>31</v>
      </c>
      <c r="R79" s="51"/>
      <c r="S79" s="51"/>
      <c r="T79" s="51"/>
      <c r="U79" s="2"/>
      <c r="V79" s="2"/>
      <c r="W79" s="2"/>
      <c r="X79" s="2"/>
      <c r="Y79" s="2"/>
      <c r="Z79" s="2"/>
    </row>
    <row r="80" spans="1:26" ht="13" x14ac:dyDescent="0.6">
      <c r="A80" s="9">
        <v>6</v>
      </c>
      <c r="B80" s="4">
        <v>2020</v>
      </c>
      <c r="C80" s="8">
        <v>27</v>
      </c>
      <c r="D80" s="10">
        <v>6924</v>
      </c>
      <c r="E80" s="7">
        <v>922942</v>
      </c>
      <c r="F80" s="7">
        <v>1297703.8</v>
      </c>
      <c r="G80" s="7">
        <f t="shared" si="0"/>
        <v>374761.80000000005</v>
      </c>
      <c r="H80" s="18">
        <f t="shared" si="5"/>
        <v>0.19275622724067643</v>
      </c>
      <c r="I80" s="2"/>
      <c r="J80" s="2"/>
      <c r="K80" s="2"/>
      <c r="L80" s="2"/>
      <c r="M80" s="2"/>
      <c r="N80" s="2"/>
      <c r="O80" s="2"/>
      <c r="P80" s="2"/>
      <c r="Q80" s="1" t="s">
        <v>1</v>
      </c>
      <c r="R80" s="1" t="s">
        <v>0</v>
      </c>
      <c r="S80" s="1" t="s">
        <v>6</v>
      </c>
      <c r="T80" s="1" t="s">
        <v>32</v>
      </c>
      <c r="U80" s="2"/>
      <c r="V80" s="2"/>
      <c r="W80" s="2"/>
      <c r="X80" s="2"/>
      <c r="Y80" s="2"/>
      <c r="Z80" s="2"/>
    </row>
    <row r="81" spans="1:26" ht="13" x14ac:dyDescent="0.6">
      <c r="A81" s="9">
        <v>7</v>
      </c>
      <c r="B81" s="4">
        <v>2020</v>
      </c>
      <c r="C81" s="8">
        <v>28</v>
      </c>
      <c r="D81" s="10">
        <v>6958</v>
      </c>
      <c r="E81" s="7">
        <v>937848</v>
      </c>
      <c r="F81" s="7">
        <v>1318652.0999999999</v>
      </c>
      <c r="G81" s="7">
        <f t="shared" si="0"/>
        <v>380804.09999999986</v>
      </c>
      <c r="H81" s="18">
        <f t="shared" si="5"/>
        <v>0.29618670606015174</v>
      </c>
      <c r="I81" s="2"/>
      <c r="J81" s="2"/>
      <c r="K81" s="2"/>
      <c r="L81" s="2"/>
      <c r="M81" s="2"/>
      <c r="N81" s="2"/>
      <c r="O81" s="2"/>
      <c r="P81" s="2"/>
      <c r="Q81" s="8">
        <v>2021</v>
      </c>
      <c r="R81" s="8">
        <v>1</v>
      </c>
      <c r="S81" s="7">
        <f>VLOOKUP($S$44,$X$40:$Z$51,3)*$T$44</f>
        <v>2031007.2319543976</v>
      </c>
      <c r="T81" s="18">
        <f>($U$44/$T$14)-1</f>
        <v>0.23034844570888602</v>
      </c>
      <c r="U81" s="18"/>
      <c r="V81" s="2"/>
      <c r="W81" s="2"/>
      <c r="X81" s="2"/>
      <c r="Y81" s="2"/>
      <c r="Z81" s="2"/>
    </row>
    <row r="82" spans="1:26" ht="13" x14ac:dyDescent="0.6">
      <c r="A82" s="9">
        <v>7</v>
      </c>
      <c r="B82" s="4">
        <v>2020</v>
      </c>
      <c r="C82" s="8">
        <v>29</v>
      </c>
      <c r="D82" s="10">
        <v>6762</v>
      </c>
      <c r="E82" s="7">
        <v>904014</v>
      </c>
      <c r="F82" s="7">
        <v>1271071.8999999999</v>
      </c>
      <c r="G82" s="7">
        <f t="shared" si="0"/>
        <v>367057.89999999991</v>
      </c>
      <c r="H82" s="18">
        <f t="shared" si="5"/>
        <v>-2.2166284630199429E-2</v>
      </c>
      <c r="I82" s="2"/>
      <c r="J82" s="2"/>
      <c r="K82" s="2"/>
      <c r="L82" s="2"/>
      <c r="M82" s="2"/>
      <c r="N82" s="2"/>
      <c r="O82" s="2"/>
      <c r="P82" s="2"/>
      <c r="Q82" s="11"/>
      <c r="R82" s="8">
        <v>2</v>
      </c>
      <c r="S82" s="7">
        <f>VLOOKUP($S$45,$X$40:$Z$51,3)*$T$45</f>
        <v>1774654.8524436513</v>
      </c>
      <c r="T82" s="18">
        <f>($U$45/$T$15)-1</f>
        <v>0.17199537532718345</v>
      </c>
      <c r="U82" s="18"/>
      <c r="V82" s="2"/>
      <c r="W82" s="2"/>
      <c r="X82" s="2"/>
      <c r="Y82" s="2"/>
      <c r="Z82" s="2"/>
    </row>
    <row r="83" spans="1:26" ht="13" x14ac:dyDescent="0.6">
      <c r="A83" s="9">
        <v>7</v>
      </c>
      <c r="B83" s="4">
        <v>2020</v>
      </c>
      <c r="C83" s="8">
        <v>30</v>
      </c>
      <c r="D83" s="10">
        <v>7089</v>
      </c>
      <c r="E83" s="7">
        <v>982862</v>
      </c>
      <c r="F83" s="7">
        <v>1380955.55</v>
      </c>
      <c r="G83" s="7">
        <f t="shared" si="0"/>
        <v>398093.55000000005</v>
      </c>
      <c r="H83" s="18">
        <f t="shared" si="5"/>
        <v>7.876449791113016E-2</v>
      </c>
      <c r="I83" s="2"/>
      <c r="J83" s="2"/>
      <c r="K83" s="2"/>
      <c r="L83" s="2"/>
      <c r="M83" s="2"/>
      <c r="N83" s="2"/>
      <c r="O83" s="2"/>
      <c r="P83" s="2"/>
      <c r="Q83" s="11"/>
      <c r="R83" s="8">
        <v>3</v>
      </c>
      <c r="S83" s="7">
        <f>VLOOKUP($S$46,$X$40:$Z$51,3)*$T$46</f>
        <v>2507007.3687662822</v>
      </c>
      <c r="T83" s="18">
        <f>($U$46/$T$16)-1</f>
        <v>0.14255067411147637</v>
      </c>
      <c r="U83" s="18"/>
      <c r="V83" s="2"/>
      <c r="W83" s="2"/>
      <c r="X83" s="2"/>
      <c r="Y83" s="2"/>
      <c r="Z83" s="2"/>
    </row>
    <row r="84" spans="1:26" ht="13" x14ac:dyDescent="0.6">
      <c r="A84" s="9">
        <v>7</v>
      </c>
      <c r="B84" s="4">
        <v>2020</v>
      </c>
      <c r="C84" s="8">
        <v>31</v>
      </c>
      <c r="D84" s="10">
        <v>5727</v>
      </c>
      <c r="E84" s="7">
        <v>641389</v>
      </c>
      <c r="F84" s="7">
        <v>902413.65</v>
      </c>
      <c r="G84" s="7">
        <f t="shared" si="0"/>
        <v>261024.65000000002</v>
      </c>
      <c r="H84" s="18">
        <f t="shared" si="5"/>
        <v>-0.30618481809937026</v>
      </c>
      <c r="I84" s="2"/>
      <c r="J84" s="2"/>
      <c r="K84" s="2"/>
      <c r="L84" s="2"/>
      <c r="M84" s="2"/>
      <c r="N84" s="2"/>
      <c r="O84" s="2"/>
      <c r="P84" s="2"/>
      <c r="Q84" s="11"/>
      <c r="R84" s="8">
        <v>4</v>
      </c>
      <c r="S84" s="7">
        <f>VLOOKUP($S$47,$X$40:$Z$51,3)*$T$47</f>
        <v>4383417.0268589007</v>
      </c>
      <c r="T84" s="18">
        <f>($U$47/$T$17)-1</f>
        <v>0.19840528752351205</v>
      </c>
      <c r="U84" s="18"/>
      <c r="V84" s="2"/>
      <c r="W84" s="2"/>
      <c r="X84" s="2"/>
      <c r="Y84" s="2"/>
      <c r="Z84" s="2"/>
    </row>
    <row r="85" spans="1:26" ht="13" x14ac:dyDescent="0.6">
      <c r="A85" s="9">
        <v>8</v>
      </c>
      <c r="B85" s="4">
        <v>2020</v>
      </c>
      <c r="C85" s="8">
        <v>32</v>
      </c>
      <c r="D85" s="10">
        <v>5307</v>
      </c>
      <c r="E85" s="7">
        <v>797571</v>
      </c>
      <c r="F85" s="7">
        <v>1120364.6499999999</v>
      </c>
      <c r="G85" s="7">
        <f t="shared" si="0"/>
        <v>322793.64999999991</v>
      </c>
      <c r="H85" s="18">
        <f t="shared" si="5"/>
        <v>-0.12275776359704649</v>
      </c>
      <c r="I85" s="2"/>
      <c r="J85" s="2"/>
      <c r="K85" s="2"/>
      <c r="L85" s="2"/>
      <c r="M85" s="2"/>
      <c r="N85" s="2"/>
      <c r="O85" s="2"/>
      <c r="P85" s="2"/>
      <c r="Q85" s="11"/>
      <c r="R85" s="8">
        <v>5</v>
      </c>
      <c r="S85" s="7">
        <f>VLOOKUP($S$48,$X$40:$Z$51,3)*$T$48</f>
        <v>1725507.6546595299</v>
      </c>
      <c r="T85" s="18">
        <f>($U$48/$T$18)-1</f>
        <v>0.21524110150396614</v>
      </c>
      <c r="U85" s="18"/>
      <c r="V85" s="2"/>
      <c r="W85" s="2"/>
      <c r="X85" s="2"/>
      <c r="Y85" s="2"/>
      <c r="Z85" s="2"/>
    </row>
    <row r="86" spans="1:26" ht="13" x14ac:dyDescent="0.6">
      <c r="A86" s="9">
        <v>8</v>
      </c>
      <c r="B86" s="4">
        <v>2020</v>
      </c>
      <c r="C86" s="8">
        <v>33</v>
      </c>
      <c r="D86" s="10">
        <v>10815</v>
      </c>
      <c r="E86" s="7">
        <v>1414179</v>
      </c>
      <c r="F86" s="7">
        <v>1986339.25</v>
      </c>
      <c r="G86" s="7">
        <f t="shared" si="0"/>
        <v>572160.25</v>
      </c>
      <c r="H86" s="18">
        <f t="shared" si="5"/>
        <v>0.2928696741118415</v>
      </c>
      <c r="I86" s="2"/>
      <c r="J86" s="2"/>
      <c r="K86" s="2"/>
      <c r="L86" s="2"/>
      <c r="M86" s="2"/>
      <c r="N86" s="2"/>
      <c r="O86" s="2"/>
      <c r="P86" s="2"/>
      <c r="Q86" s="11"/>
      <c r="R86" s="8">
        <v>6</v>
      </c>
      <c r="S86" s="7">
        <f>VLOOKUP($S$49,$X$40:$Z$51,3)*$T$49</f>
        <v>2288229.908988155</v>
      </c>
      <c r="T86" s="18">
        <f>($U$49/$T$19)-1</f>
        <v>0.2257248815460513</v>
      </c>
      <c r="U86" s="18"/>
      <c r="V86" s="2"/>
      <c r="W86" s="2"/>
      <c r="X86" s="2"/>
      <c r="Y86" s="2"/>
      <c r="Z86" s="2"/>
    </row>
    <row r="87" spans="1:26" ht="13" x14ac:dyDescent="0.6">
      <c r="A87" s="9">
        <v>8</v>
      </c>
      <c r="B87" s="4">
        <v>2020</v>
      </c>
      <c r="C87" s="8">
        <v>34</v>
      </c>
      <c r="D87" s="10">
        <v>11691</v>
      </c>
      <c r="E87" s="7">
        <v>1502908</v>
      </c>
      <c r="F87" s="7">
        <v>2111485.4499999997</v>
      </c>
      <c r="G87" s="7">
        <f t="shared" si="0"/>
        <v>608577.44999999972</v>
      </c>
      <c r="H87" s="18">
        <f t="shared" si="5"/>
        <v>0.28459131975857321</v>
      </c>
      <c r="I87" s="2"/>
      <c r="J87" s="2"/>
      <c r="K87" s="2"/>
      <c r="L87" s="2"/>
      <c r="M87" s="2"/>
      <c r="N87" s="2"/>
      <c r="O87" s="2"/>
      <c r="P87" s="2"/>
      <c r="Q87" s="11"/>
      <c r="R87" s="8">
        <v>7</v>
      </c>
      <c r="S87" s="7">
        <f>VLOOKUP($S$50,$X$40:$Z$51,3)*$T$50</f>
        <v>2298067.1751306849</v>
      </c>
      <c r="T87" s="18">
        <f>($U$50/$T$20)-1</f>
        <v>0.63333298871631971</v>
      </c>
      <c r="U87" s="18"/>
      <c r="V87" s="2"/>
      <c r="W87" s="2"/>
      <c r="X87" s="2"/>
      <c r="Y87" s="2"/>
      <c r="Z87" s="2"/>
    </row>
    <row r="88" spans="1:26" ht="13" x14ac:dyDescent="0.6">
      <c r="A88" s="9">
        <v>8</v>
      </c>
      <c r="B88" s="4">
        <v>2020</v>
      </c>
      <c r="C88" s="8">
        <v>35</v>
      </c>
      <c r="D88" s="10">
        <v>25147</v>
      </c>
      <c r="E88" s="7">
        <v>3081866</v>
      </c>
      <c r="F88" s="7">
        <v>4329692.6500000004</v>
      </c>
      <c r="G88" s="7">
        <f t="shared" si="0"/>
        <v>1247826.6500000004</v>
      </c>
      <c r="H88" s="18">
        <f t="shared" si="5"/>
        <v>0.58271989132509638</v>
      </c>
      <c r="I88" s="2"/>
      <c r="J88" s="2"/>
      <c r="K88" s="2"/>
      <c r="L88" s="2"/>
      <c r="M88" s="2"/>
      <c r="N88" s="2"/>
      <c r="O88" s="2"/>
      <c r="P88" s="2"/>
      <c r="Q88" s="11"/>
      <c r="R88" s="8">
        <v>8</v>
      </c>
      <c r="S88" s="7">
        <f>VLOOKUP($S$51,$X$40:$Z$51,3)*$T$51</f>
        <v>5670221.968668554</v>
      </c>
      <c r="T88" s="18">
        <f>($U$51/$T$21)-1</f>
        <v>-0.107388756276381</v>
      </c>
      <c r="U88" s="18"/>
      <c r="V88" s="2"/>
      <c r="W88" s="2"/>
      <c r="X88" s="2"/>
      <c r="Y88" s="2"/>
      <c r="Z88" s="2"/>
    </row>
    <row r="89" spans="1:26" ht="13" x14ac:dyDescent="0.6">
      <c r="A89" s="9">
        <v>8</v>
      </c>
      <c r="B89" s="4">
        <v>2020</v>
      </c>
      <c r="C89" s="8">
        <v>36</v>
      </c>
      <c r="D89" s="10">
        <v>84898</v>
      </c>
      <c r="E89" s="7">
        <v>8835765</v>
      </c>
      <c r="F89" s="7">
        <v>12436805.1</v>
      </c>
      <c r="G89" s="7">
        <f t="shared" si="0"/>
        <v>3601040.0999999996</v>
      </c>
      <c r="H89" s="18">
        <f t="shared" si="5"/>
        <v>1.4500011430036341</v>
      </c>
      <c r="I89" s="2"/>
      <c r="J89" s="2"/>
      <c r="K89" s="2"/>
      <c r="L89" s="2"/>
      <c r="M89" s="2"/>
      <c r="N89" s="2"/>
      <c r="O89" s="2"/>
      <c r="P89" s="2"/>
      <c r="Q89" s="11"/>
      <c r="R89" s="8">
        <v>9</v>
      </c>
      <c r="S89" s="7">
        <f>VLOOKUP($S$52,$X$40:$Z$51,3)*$T$52</f>
        <v>12169324.198345656</v>
      </c>
      <c r="T89" s="18">
        <f>($U$52/$T$22)-1</f>
        <v>1.0022865339082987</v>
      </c>
      <c r="U89" s="18"/>
      <c r="V89" s="2"/>
      <c r="W89" s="2"/>
      <c r="X89" s="2"/>
      <c r="Y89" s="2"/>
      <c r="Z89" s="2"/>
    </row>
    <row r="90" spans="1:26" ht="13" x14ac:dyDescent="0.6">
      <c r="A90" s="9">
        <v>9</v>
      </c>
      <c r="B90" s="4">
        <v>2020</v>
      </c>
      <c r="C90" s="8">
        <v>37</v>
      </c>
      <c r="D90" s="10">
        <v>28968</v>
      </c>
      <c r="E90" s="7">
        <v>3628412</v>
      </c>
      <c r="F90" s="7">
        <v>5099711.5999999996</v>
      </c>
      <c r="G90" s="7">
        <f t="shared" si="0"/>
        <v>1471299.5999999996</v>
      </c>
      <c r="H90" s="18">
        <f t="shared" si="5"/>
        <v>-0.10152372469905135</v>
      </c>
      <c r="I90" s="2"/>
      <c r="J90" s="2"/>
      <c r="K90" s="2"/>
      <c r="L90" s="2"/>
      <c r="M90" s="2"/>
      <c r="N90" s="2"/>
      <c r="O90" s="2"/>
      <c r="P90" s="2"/>
      <c r="Q90" s="11"/>
      <c r="R90" s="8">
        <v>10</v>
      </c>
      <c r="S90" s="7">
        <f>VLOOKUP($S$53,$X$40:$Z$51,3)*$T$53</f>
        <v>2234366.2249114737</v>
      </c>
      <c r="T90" s="18">
        <f>($U$53/$T$23)-1</f>
        <v>0.86595831854393768</v>
      </c>
      <c r="U90" s="18"/>
      <c r="V90" s="2"/>
      <c r="W90" s="2"/>
      <c r="X90" s="2"/>
      <c r="Y90" s="2"/>
      <c r="Z90" s="2"/>
    </row>
    <row r="91" spans="1:26" ht="13" x14ac:dyDescent="0.6">
      <c r="A91" s="9">
        <v>9</v>
      </c>
      <c r="B91" s="4">
        <v>2020</v>
      </c>
      <c r="C91" s="8">
        <v>38</v>
      </c>
      <c r="D91" s="10">
        <v>39210</v>
      </c>
      <c r="E91" s="7">
        <v>4927651</v>
      </c>
      <c r="F91" s="7">
        <v>6925439.5</v>
      </c>
      <c r="G91" s="7">
        <f t="shared" si="0"/>
        <v>1997788.5</v>
      </c>
      <c r="H91" s="18">
        <f t="shared" si="5"/>
        <v>-6.7774160574281872E-2</v>
      </c>
      <c r="I91" s="2"/>
      <c r="J91" s="2"/>
      <c r="K91" s="2"/>
      <c r="L91" s="2"/>
      <c r="M91" s="2"/>
      <c r="N91" s="2"/>
      <c r="O91" s="2"/>
      <c r="P91" s="2"/>
      <c r="Q91" s="11"/>
      <c r="R91" s="8">
        <v>11</v>
      </c>
      <c r="S91" s="7">
        <f>VLOOKUP($S$54,$X$40:$Z$51,3)*$T$54</f>
        <v>2318843.9397165724</v>
      </c>
      <c r="T91" s="18">
        <f>($U$54/$T$24)-1</f>
        <v>0.12146530377291032</v>
      </c>
      <c r="U91" s="18"/>
      <c r="V91" s="2"/>
      <c r="W91" s="2"/>
      <c r="X91" s="2"/>
      <c r="Y91" s="2"/>
      <c r="Z91" s="2"/>
    </row>
    <row r="92" spans="1:26" ht="13" x14ac:dyDescent="0.6">
      <c r="A92" s="9">
        <v>9</v>
      </c>
      <c r="B92" s="4">
        <v>2020</v>
      </c>
      <c r="C92" s="8">
        <v>39</v>
      </c>
      <c r="D92" s="10">
        <v>43107</v>
      </c>
      <c r="E92" s="7">
        <v>5280419</v>
      </c>
      <c r="F92" s="7">
        <v>7421664.6500000004</v>
      </c>
      <c r="G92" s="7">
        <f t="shared" si="0"/>
        <v>2141245.6500000004</v>
      </c>
      <c r="H92" s="18">
        <f t="shared" si="5"/>
        <v>0.2287612666805583</v>
      </c>
      <c r="I92" s="2"/>
      <c r="J92" s="2"/>
      <c r="K92" s="2"/>
      <c r="L92" s="2"/>
      <c r="M92" s="2"/>
      <c r="N92" s="2"/>
      <c r="O92" s="2"/>
      <c r="P92" s="2"/>
      <c r="Q92" s="11"/>
      <c r="R92" s="8">
        <v>12</v>
      </c>
      <c r="S92" s="7">
        <f>VLOOKUP($S$55,$X$40:$Z$51,3)*$T$55</f>
        <v>2239267.792758151</v>
      </c>
      <c r="T92" s="18">
        <f>($U$55/$T$25)-1</f>
        <v>0.44555814530805526</v>
      </c>
      <c r="U92" s="18"/>
      <c r="V92" s="2"/>
      <c r="W92" s="2"/>
      <c r="X92" s="2"/>
      <c r="Y92" s="2"/>
      <c r="Z92" s="2"/>
    </row>
    <row r="93" spans="1:26" ht="13" x14ac:dyDescent="0.6">
      <c r="A93" s="9">
        <v>9</v>
      </c>
      <c r="B93" s="4">
        <v>2020</v>
      </c>
      <c r="C93" s="8">
        <v>40</v>
      </c>
      <c r="D93" s="10">
        <v>8982</v>
      </c>
      <c r="E93" s="7">
        <v>1152871</v>
      </c>
      <c r="F93" s="7">
        <v>1620250.9</v>
      </c>
      <c r="G93" s="7">
        <f t="shared" si="0"/>
        <v>467379.89999999991</v>
      </c>
      <c r="H93" s="18">
        <f t="shared" si="5"/>
        <v>-0.2469081057860858</v>
      </c>
      <c r="I93" s="2"/>
      <c r="J93" s="2"/>
      <c r="K93" s="2"/>
      <c r="L93" s="2"/>
      <c r="M93" s="2"/>
      <c r="N93" s="2"/>
      <c r="O93" s="2"/>
      <c r="P93" s="2"/>
      <c r="Q93" s="10"/>
      <c r="R93" s="11"/>
      <c r="S93" s="7"/>
      <c r="T93" s="2"/>
      <c r="U93" s="2"/>
      <c r="V93" s="2"/>
      <c r="W93" s="2"/>
      <c r="X93" s="2"/>
      <c r="Y93" s="2"/>
      <c r="Z93" s="2"/>
    </row>
    <row r="94" spans="1:26" ht="13" x14ac:dyDescent="0.6">
      <c r="A94" s="9">
        <v>10</v>
      </c>
      <c r="B94" s="4">
        <v>2020</v>
      </c>
      <c r="C94" s="8">
        <v>41</v>
      </c>
      <c r="D94" s="10">
        <v>6428</v>
      </c>
      <c r="E94" s="7">
        <v>834164</v>
      </c>
      <c r="F94" s="7">
        <v>1172248.6000000001</v>
      </c>
      <c r="G94" s="7">
        <f t="shared" si="0"/>
        <v>338084.60000000009</v>
      </c>
      <c r="H94" s="18">
        <f t="shared" si="5"/>
        <v>-0.12496376496506956</v>
      </c>
      <c r="I94" s="2"/>
      <c r="J94" s="2"/>
      <c r="K94" s="2"/>
      <c r="L94" s="2"/>
      <c r="M94" s="2"/>
      <c r="N94" s="2"/>
      <c r="O94" s="2"/>
      <c r="P94" s="2"/>
      <c r="Q94" s="10"/>
      <c r="R94" s="11"/>
      <c r="S94" s="7"/>
      <c r="T94" s="2"/>
      <c r="U94" s="2"/>
      <c r="V94" s="2"/>
      <c r="W94" s="2"/>
      <c r="X94" s="2"/>
      <c r="Y94" s="2"/>
      <c r="Z94" s="2"/>
    </row>
    <row r="95" spans="1:26" ht="13" x14ac:dyDescent="0.6">
      <c r="A95" s="9">
        <v>10</v>
      </c>
      <c r="B95" s="4">
        <v>2020</v>
      </c>
      <c r="C95" s="8">
        <v>42</v>
      </c>
      <c r="D95" s="10">
        <v>5974</v>
      </c>
      <c r="E95" s="7">
        <v>780288</v>
      </c>
      <c r="F95" s="7">
        <v>1096391.2999999998</v>
      </c>
      <c r="G95" s="7">
        <f t="shared" si="0"/>
        <v>316103.29999999981</v>
      </c>
      <c r="H95" s="18">
        <f t="shared" si="5"/>
        <v>-9.8351792303039809E-2</v>
      </c>
      <c r="I95" s="2"/>
      <c r="J95" s="2"/>
      <c r="K95" s="2"/>
      <c r="L95" s="2"/>
      <c r="M95" s="2"/>
      <c r="N95" s="2"/>
      <c r="O95" s="2"/>
      <c r="P95" s="2"/>
      <c r="Q95" s="10"/>
      <c r="R95" s="11"/>
      <c r="S95" s="7"/>
      <c r="T95" s="2"/>
      <c r="U95" s="2"/>
      <c r="V95" s="2"/>
      <c r="W95" s="2"/>
      <c r="X95" s="2"/>
      <c r="Y95" s="2"/>
      <c r="Z95" s="2"/>
    </row>
    <row r="96" spans="1:26" ht="13" x14ac:dyDescent="0.6">
      <c r="A96" s="9">
        <v>10</v>
      </c>
      <c r="B96" s="4">
        <v>2020</v>
      </c>
      <c r="C96" s="8">
        <v>43</v>
      </c>
      <c r="D96" s="10">
        <v>5107</v>
      </c>
      <c r="E96" s="7">
        <v>682778</v>
      </c>
      <c r="F96" s="7">
        <v>959234.65</v>
      </c>
      <c r="G96" s="7">
        <f t="shared" si="0"/>
        <v>276456.65000000002</v>
      </c>
      <c r="H96" s="18">
        <f t="shared" si="5"/>
        <v>-0.20988061324593488</v>
      </c>
      <c r="I96" s="2"/>
      <c r="J96" s="2"/>
      <c r="K96" s="2"/>
      <c r="L96" s="2"/>
      <c r="M96" s="2"/>
      <c r="N96" s="2"/>
      <c r="O96" s="2"/>
      <c r="P96" s="2"/>
      <c r="Q96" s="10"/>
      <c r="R96" s="11"/>
      <c r="S96" s="7"/>
      <c r="T96" s="2"/>
      <c r="U96" s="2"/>
      <c r="V96" s="2"/>
      <c r="W96" s="2"/>
      <c r="X96" s="2"/>
      <c r="Y96" s="2"/>
      <c r="Z96" s="2"/>
    </row>
    <row r="97" spans="1:26" ht="13" x14ac:dyDescent="0.6">
      <c r="A97" s="9">
        <v>10</v>
      </c>
      <c r="B97" s="4">
        <v>2020</v>
      </c>
      <c r="C97" s="8">
        <v>44</v>
      </c>
      <c r="D97" s="10">
        <v>4805</v>
      </c>
      <c r="E97" s="7">
        <v>659458</v>
      </c>
      <c r="F97" s="7">
        <v>926249.75</v>
      </c>
      <c r="G97" s="7">
        <f t="shared" si="0"/>
        <v>266791.75</v>
      </c>
      <c r="H97" s="18">
        <f t="shared" si="5"/>
        <v>-0.25518348164750793</v>
      </c>
      <c r="I97" s="2"/>
      <c r="J97" s="2"/>
      <c r="K97" s="2"/>
      <c r="L97" s="2"/>
      <c r="M97" s="2"/>
      <c r="N97" s="2"/>
      <c r="O97" s="2"/>
      <c r="P97" s="2"/>
      <c r="Q97" s="10"/>
      <c r="R97" s="11"/>
      <c r="S97" s="7"/>
      <c r="T97" s="2"/>
      <c r="U97" s="2"/>
      <c r="V97" s="2"/>
      <c r="W97" s="2"/>
      <c r="X97" s="2"/>
      <c r="Y97" s="2"/>
      <c r="Z97" s="2"/>
    </row>
    <row r="98" spans="1:26" ht="13" x14ac:dyDescent="0.6">
      <c r="A98" s="9">
        <v>11</v>
      </c>
      <c r="B98" s="4">
        <v>2020</v>
      </c>
      <c r="C98" s="8">
        <v>45</v>
      </c>
      <c r="D98" s="10">
        <v>6348</v>
      </c>
      <c r="E98" s="7">
        <v>849361</v>
      </c>
      <c r="F98" s="7">
        <v>1192952.5999999999</v>
      </c>
      <c r="G98" s="7">
        <f t="shared" si="0"/>
        <v>343591.59999999986</v>
      </c>
      <c r="H98" s="18">
        <f t="shared" si="5"/>
        <v>-7.7883325503470213E-2</v>
      </c>
      <c r="I98" s="2"/>
      <c r="J98" s="2"/>
      <c r="K98" s="2"/>
      <c r="L98" s="2"/>
      <c r="M98" s="2"/>
      <c r="N98" s="2"/>
      <c r="O98" s="2"/>
      <c r="P98" s="2"/>
      <c r="Q98" s="10"/>
      <c r="R98" s="11"/>
      <c r="S98" s="7"/>
      <c r="T98" s="2"/>
      <c r="U98" s="2"/>
      <c r="V98" s="2"/>
      <c r="W98" s="2"/>
      <c r="X98" s="2"/>
      <c r="Y98" s="2"/>
      <c r="Z98" s="2"/>
    </row>
    <row r="99" spans="1:26" ht="13" x14ac:dyDescent="0.6">
      <c r="A99" s="9">
        <v>11</v>
      </c>
      <c r="B99" s="4">
        <v>2020</v>
      </c>
      <c r="C99" s="8">
        <v>46</v>
      </c>
      <c r="D99" s="10">
        <v>7869</v>
      </c>
      <c r="E99" s="7">
        <v>1046424</v>
      </c>
      <c r="F99" s="7">
        <v>1469556.55</v>
      </c>
      <c r="G99" s="7">
        <f t="shared" si="0"/>
        <v>423132.55000000005</v>
      </c>
      <c r="H99" s="18">
        <f t="shared" si="5"/>
        <v>1.080844001924941E-2</v>
      </c>
      <c r="I99" s="2"/>
      <c r="J99" s="2"/>
      <c r="K99" s="2"/>
      <c r="L99" s="2"/>
      <c r="M99" s="2"/>
      <c r="N99" s="2"/>
      <c r="O99" s="2"/>
      <c r="P99" s="2"/>
      <c r="Q99" s="10"/>
      <c r="R99" s="11"/>
      <c r="S99" s="7"/>
      <c r="T99" s="2"/>
      <c r="U99" s="2"/>
      <c r="V99" s="2"/>
      <c r="W99" s="2"/>
      <c r="X99" s="2"/>
      <c r="Y99" s="2"/>
      <c r="Z99" s="2"/>
    </row>
    <row r="100" spans="1:26" ht="13" x14ac:dyDescent="0.6">
      <c r="A100" s="9">
        <v>11</v>
      </c>
      <c r="B100" s="4">
        <v>2020</v>
      </c>
      <c r="C100" s="8">
        <v>47</v>
      </c>
      <c r="D100" s="10">
        <v>8831</v>
      </c>
      <c r="E100" s="7">
        <v>1158998</v>
      </c>
      <c r="F100" s="7">
        <v>1627448.4499999997</v>
      </c>
      <c r="G100" s="7">
        <f t="shared" si="0"/>
        <v>468450.44999999972</v>
      </c>
      <c r="H100" s="18">
        <f t="shared" si="5"/>
        <v>0.16785088718688357</v>
      </c>
      <c r="I100" s="2"/>
      <c r="J100" s="2"/>
      <c r="K100" s="2"/>
      <c r="L100" s="2"/>
      <c r="M100" s="2"/>
      <c r="N100" s="2"/>
      <c r="O100" s="2"/>
      <c r="P100" s="2"/>
      <c r="Q100" s="10"/>
      <c r="R100" s="1" t="s">
        <v>0</v>
      </c>
      <c r="S100" s="1" t="s">
        <v>33</v>
      </c>
      <c r="T100" s="2"/>
      <c r="U100" s="2"/>
      <c r="V100" s="2"/>
      <c r="W100" s="2"/>
      <c r="X100" s="2"/>
      <c r="Y100" s="2"/>
      <c r="Z100" s="2"/>
    </row>
    <row r="101" spans="1:26" ht="13" x14ac:dyDescent="0.6">
      <c r="A101" s="9">
        <v>11</v>
      </c>
      <c r="B101" s="4">
        <v>2020</v>
      </c>
      <c r="C101" s="8">
        <v>48</v>
      </c>
      <c r="D101" s="10">
        <v>7529</v>
      </c>
      <c r="E101" s="7">
        <v>981132</v>
      </c>
      <c r="F101" s="7">
        <v>1377973.5499999998</v>
      </c>
      <c r="G101" s="7">
        <f t="shared" si="0"/>
        <v>396841.54999999981</v>
      </c>
      <c r="H101" s="18">
        <f t="shared" si="5"/>
        <v>0.14414963379800882</v>
      </c>
      <c r="I101" s="2"/>
      <c r="J101" s="2"/>
      <c r="K101" s="2"/>
      <c r="L101" s="2"/>
      <c r="M101" s="2"/>
      <c r="N101" s="2"/>
      <c r="O101" s="2"/>
      <c r="P101" s="2"/>
      <c r="Q101" s="10"/>
      <c r="R101" s="20">
        <v>1</v>
      </c>
      <c r="S101" s="18">
        <f>$Y$40/AVERAGE($Y$40:$Y$51)</f>
        <v>0.65507866824943095</v>
      </c>
      <c r="T101" s="2"/>
      <c r="U101" s="2"/>
      <c r="V101" s="2"/>
      <c r="W101" s="2"/>
      <c r="X101" s="2"/>
      <c r="Y101" s="2"/>
      <c r="Z101" s="2"/>
    </row>
    <row r="102" spans="1:26" ht="13" x14ac:dyDescent="0.6">
      <c r="A102" s="9">
        <v>11</v>
      </c>
      <c r="B102" s="4">
        <v>2020</v>
      </c>
      <c r="C102" s="8">
        <v>49</v>
      </c>
      <c r="D102" s="10">
        <v>8239</v>
      </c>
      <c r="E102" s="7">
        <v>1077283</v>
      </c>
      <c r="F102" s="7">
        <v>1512958.0499999998</v>
      </c>
      <c r="G102" s="7">
        <f t="shared" si="0"/>
        <v>435675.04999999981</v>
      </c>
      <c r="H102" s="18">
        <f t="shared" si="5"/>
        <v>0.18086224142765395</v>
      </c>
      <c r="I102" s="2"/>
      <c r="J102" s="2"/>
      <c r="K102" s="2"/>
      <c r="L102" s="2"/>
      <c r="M102" s="2"/>
      <c r="N102" s="2"/>
      <c r="O102" s="2"/>
      <c r="P102" s="2"/>
      <c r="Q102" s="10"/>
      <c r="R102" s="20">
        <v>2</v>
      </c>
      <c r="S102" s="18">
        <f>$Y$41/AVERAGE($Y$40:$Y$51)</f>
        <v>0.56126293844294994</v>
      </c>
      <c r="T102" s="2"/>
      <c r="U102" s="2"/>
      <c r="V102" s="2"/>
      <c r="W102" s="2"/>
      <c r="X102" s="2"/>
      <c r="Y102" s="2"/>
      <c r="Z102" s="2"/>
    </row>
    <row r="103" spans="1:26" ht="13" x14ac:dyDescent="0.6">
      <c r="A103" s="9">
        <v>12</v>
      </c>
      <c r="B103" s="4">
        <v>2020</v>
      </c>
      <c r="C103" s="8">
        <v>50</v>
      </c>
      <c r="D103" s="10">
        <v>8351</v>
      </c>
      <c r="E103" s="7">
        <v>1081491</v>
      </c>
      <c r="F103" s="7">
        <v>1518832.4499999997</v>
      </c>
      <c r="G103" s="7">
        <f t="shared" si="0"/>
        <v>437341.44999999972</v>
      </c>
      <c r="H103" s="18">
        <f t="shared" si="5"/>
        <v>0.13156018900154276</v>
      </c>
      <c r="I103" s="2"/>
      <c r="J103" s="2"/>
      <c r="K103" s="2"/>
      <c r="L103" s="2"/>
      <c r="M103" s="2"/>
      <c r="N103" s="2"/>
      <c r="O103" s="2"/>
      <c r="P103" s="2"/>
      <c r="Q103" s="10"/>
      <c r="R103" s="20">
        <v>3</v>
      </c>
      <c r="S103" s="18">
        <f>$Y$42/AVERAGE($Y$40:$Y$51)</f>
        <v>0.77775506869110256</v>
      </c>
      <c r="T103" s="2"/>
      <c r="U103" s="2"/>
      <c r="V103" s="2"/>
      <c r="W103" s="2"/>
      <c r="X103" s="2"/>
      <c r="Y103" s="2"/>
      <c r="Z103" s="2"/>
    </row>
    <row r="104" spans="1:26" ht="13" x14ac:dyDescent="0.6">
      <c r="A104" s="9">
        <v>12</v>
      </c>
      <c r="B104" s="4">
        <v>2020</v>
      </c>
      <c r="C104" s="8">
        <v>51</v>
      </c>
      <c r="D104" s="10">
        <v>7289</v>
      </c>
      <c r="E104" s="7">
        <v>954363</v>
      </c>
      <c r="F104" s="7">
        <v>1340385.5499999998</v>
      </c>
      <c r="G104" s="7">
        <f t="shared" si="0"/>
        <v>386022.54999999981</v>
      </c>
      <c r="H104" s="18">
        <f t="shared" si="5"/>
        <v>2.7959805391413628E-2</v>
      </c>
      <c r="I104" s="2"/>
      <c r="J104" s="2"/>
      <c r="K104" s="2"/>
      <c r="L104" s="2"/>
      <c r="M104" s="2"/>
      <c r="N104" s="2"/>
      <c r="O104" s="2"/>
      <c r="P104" s="2"/>
      <c r="Q104" s="10"/>
      <c r="R104" s="20">
        <v>4</v>
      </c>
      <c r="S104" s="18">
        <f>$Y$43/AVERAGE($Y$40:$Y$51)</f>
        <v>1.3344210757874966</v>
      </c>
      <c r="T104" s="2"/>
      <c r="U104" s="2"/>
      <c r="V104" s="2"/>
      <c r="W104" s="2"/>
      <c r="X104" s="2"/>
      <c r="Y104" s="2"/>
      <c r="Z104" s="2"/>
    </row>
    <row r="105" spans="1:26" ht="13" x14ac:dyDescent="0.6">
      <c r="A105" s="9">
        <v>12</v>
      </c>
      <c r="B105" s="4">
        <v>2020</v>
      </c>
      <c r="C105" s="8">
        <v>52</v>
      </c>
      <c r="D105" s="10">
        <v>6708</v>
      </c>
      <c r="E105" s="7">
        <v>916713</v>
      </c>
      <c r="F105" s="7">
        <v>1287534.6000000001</v>
      </c>
      <c r="G105" s="7">
        <f t="shared" si="0"/>
        <v>370821.60000000009</v>
      </c>
      <c r="H105" s="18">
        <f t="shared" si="5"/>
        <v>4.5941901424590315E-2</v>
      </c>
      <c r="I105" s="2"/>
      <c r="J105" s="2"/>
      <c r="K105" s="2"/>
      <c r="L105" s="2"/>
      <c r="M105" s="2"/>
      <c r="N105" s="2"/>
      <c r="O105" s="2"/>
      <c r="P105" s="2"/>
      <c r="Q105" s="10"/>
      <c r="R105" s="20">
        <v>5</v>
      </c>
      <c r="S105" s="18">
        <f>$Y$44/AVERAGE($Y$40:$Y$51)</f>
        <v>0.51563463189959979</v>
      </c>
      <c r="T105" s="2"/>
      <c r="U105" s="2"/>
      <c r="V105" s="2"/>
      <c r="W105" s="2"/>
      <c r="X105" s="2"/>
      <c r="Y105" s="2"/>
      <c r="Z105" s="2"/>
    </row>
    <row r="106" spans="1:26" ht="13" x14ac:dyDescent="0.6">
      <c r="A106" s="9">
        <v>12</v>
      </c>
      <c r="B106" s="4">
        <v>2020</v>
      </c>
      <c r="C106" s="8">
        <v>53</v>
      </c>
      <c r="D106" s="10">
        <v>6233</v>
      </c>
      <c r="E106" s="7">
        <v>877406</v>
      </c>
      <c r="F106" s="7">
        <v>1232288.3500000001</v>
      </c>
      <c r="G106" s="7">
        <f t="shared" si="0"/>
        <v>354882.35000000009</v>
      </c>
      <c r="H106" s="20" t="s">
        <v>34</v>
      </c>
      <c r="I106" s="2"/>
      <c r="J106" s="2"/>
      <c r="K106" s="2"/>
      <c r="L106" s="2"/>
      <c r="M106" s="2"/>
      <c r="N106" s="2"/>
      <c r="O106" s="2"/>
      <c r="P106" s="2"/>
      <c r="Q106" s="10"/>
      <c r="R106" s="20">
        <v>6</v>
      </c>
      <c r="S106" s="18">
        <f>$Y$45/AVERAGE($Y$40:$Y$51)</f>
        <v>0.67145453463338434</v>
      </c>
      <c r="T106" s="2"/>
      <c r="U106" s="2"/>
      <c r="V106" s="2"/>
      <c r="W106" s="2"/>
      <c r="X106" s="2"/>
      <c r="Y106" s="2"/>
      <c r="Z106" s="2"/>
    </row>
    <row r="107" spans="1:26" ht="13" x14ac:dyDescent="0.6">
      <c r="A107" s="9">
        <v>1</v>
      </c>
      <c r="B107" s="4">
        <v>2021</v>
      </c>
      <c r="C107" s="8">
        <v>1</v>
      </c>
      <c r="D107" s="10">
        <v>8363</v>
      </c>
      <c r="E107" s="7">
        <v>1229783</v>
      </c>
      <c r="F107" s="7">
        <v>1726281.85</v>
      </c>
      <c r="G107" s="7">
        <f t="shared" si="0"/>
        <v>496498.85000000009</v>
      </c>
      <c r="H107" s="18">
        <f>($G$107/$G$54)-1</f>
        <v>0.40252565370841142</v>
      </c>
      <c r="I107" s="2"/>
      <c r="J107" s="2"/>
      <c r="K107" s="2"/>
      <c r="L107" s="2"/>
      <c r="M107" s="2"/>
      <c r="N107" s="2"/>
      <c r="O107" s="2"/>
      <c r="P107" s="2"/>
      <c r="Q107" s="10"/>
      <c r="R107" s="20">
        <v>7</v>
      </c>
      <c r="S107" s="18">
        <f>$Y$46/AVERAGE($Y$40:$Y$51)</f>
        <v>0.66238863185203156</v>
      </c>
      <c r="T107" s="2"/>
      <c r="U107" s="2"/>
      <c r="V107" s="2"/>
      <c r="W107" s="2"/>
      <c r="X107" s="2"/>
      <c r="Y107" s="2"/>
      <c r="Z107" s="2"/>
    </row>
    <row r="108" spans="1:26" ht="13" x14ac:dyDescent="0.6">
      <c r="A108" s="9">
        <v>1</v>
      </c>
      <c r="B108" s="4">
        <v>2021</v>
      </c>
      <c r="C108" s="8">
        <v>2</v>
      </c>
      <c r="D108" s="10">
        <v>8287</v>
      </c>
      <c r="E108" s="7">
        <v>1119249</v>
      </c>
      <c r="F108" s="7">
        <v>1571705.65</v>
      </c>
      <c r="G108" s="7">
        <f t="shared" si="0"/>
        <v>452456.64999999991</v>
      </c>
      <c r="H108" s="18">
        <f>($G$108/$G$55)-1</f>
        <v>0.27414119935349102</v>
      </c>
      <c r="I108" s="2"/>
      <c r="J108" s="2"/>
      <c r="K108" s="2"/>
      <c r="L108" s="2"/>
      <c r="M108" s="2"/>
      <c r="N108" s="2"/>
      <c r="O108" s="2"/>
      <c r="P108" s="2"/>
      <c r="Q108" s="10"/>
      <c r="R108" s="20">
        <v>8</v>
      </c>
      <c r="S108" s="18">
        <f>$Y$47/AVERAGE($Y$40:$Y$51)</f>
        <v>1.6059050773110906</v>
      </c>
      <c r="T108" s="2"/>
      <c r="U108" s="2"/>
      <c r="V108" s="2"/>
      <c r="W108" s="2"/>
      <c r="X108" s="2"/>
      <c r="Y108" s="2"/>
      <c r="Z108" s="2"/>
    </row>
    <row r="109" spans="1:26" ht="13" x14ac:dyDescent="0.6">
      <c r="A109" s="9">
        <v>1</v>
      </c>
      <c r="B109" s="4">
        <v>2021</v>
      </c>
      <c r="C109" s="8">
        <v>3</v>
      </c>
      <c r="D109" s="10">
        <v>8546</v>
      </c>
      <c r="E109" s="7">
        <v>1154737</v>
      </c>
      <c r="F109" s="7">
        <v>1621272.7</v>
      </c>
      <c r="G109" s="7">
        <f t="shared" si="0"/>
        <v>466535.69999999995</v>
      </c>
      <c r="H109" s="18">
        <f>($G$109/$G$56)-1</f>
        <v>0.60494036116135108</v>
      </c>
      <c r="I109" s="2"/>
      <c r="J109" s="2"/>
      <c r="K109" s="2"/>
      <c r="L109" s="2"/>
      <c r="M109" s="2"/>
      <c r="N109" s="2"/>
      <c r="O109" s="2"/>
      <c r="P109" s="2"/>
      <c r="Q109" s="10"/>
      <c r="R109" s="20">
        <v>9</v>
      </c>
      <c r="S109" s="18">
        <f>$Y$48/AVERAGE($Y$40:$Y$51)</f>
        <v>3.3875653496222378</v>
      </c>
      <c r="T109" s="2"/>
      <c r="U109" s="2"/>
      <c r="V109" s="2"/>
      <c r="W109" s="2"/>
      <c r="X109" s="2"/>
      <c r="Y109" s="2"/>
      <c r="Z109" s="2"/>
    </row>
    <row r="110" spans="1:26" ht="13" x14ac:dyDescent="0.6">
      <c r="A110" s="9">
        <v>1</v>
      </c>
      <c r="B110" s="4">
        <v>2021</v>
      </c>
      <c r="C110" s="8">
        <v>4</v>
      </c>
      <c r="D110" s="10">
        <v>8049</v>
      </c>
      <c r="E110" s="7">
        <v>1036835</v>
      </c>
      <c r="F110" s="7">
        <v>1456397.55</v>
      </c>
      <c r="G110" s="7">
        <f t="shared" si="0"/>
        <v>419562.55000000005</v>
      </c>
      <c r="H110" s="18">
        <f>($G$110/$G$57)-1</f>
        <v>0.34244572504379134</v>
      </c>
      <c r="I110" s="2"/>
      <c r="J110" s="2"/>
      <c r="K110" s="2"/>
      <c r="L110" s="2"/>
      <c r="M110" s="2"/>
      <c r="N110" s="2"/>
      <c r="O110" s="2"/>
      <c r="P110" s="2"/>
      <c r="Q110" s="10"/>
      <c r="R110" s="20">
        <v>10</v>
      </c>
      <c r="S110" s="18">
        <f>$Y$49/AVERAGE($Y$40:$Y$51)</f>
        <v>0.611510989023346</v>
      </c>
      <c r="T110" s="2"/>
      <c r="U110" s="2"/>
      <c r="V110" s="2"/>
      <c r="W110" s="2"/>
      <c r="X110" s="2"/>
      <c r="Y110" s="2"/>
      <c r="Z110" s="2"/>
    </row>
    <row r="111" spans="1:26" ht="13" x14ac:dyDescent="0.6">
      <c r="A111" s="9">
        <v>2</v>
      </c>
      <c r="B111" s="4">
        <v>2021</v>
      </c>
      <c r="C111" s="8">
        <v>5</v>
      </c>
      <c r="D111" s="10">
        <v>8354</v>
      </c>
      <c r="E111" s="7">
        <v>1069764</v>
      </c>
      <c r="F111" s="7">
        <v>1502492.2999999998</v>
      </c>
      <c r="G111" s="7">
        <f t="shared" si="0"/>
        <v>432728.29999999981</v>
      </c>
      <c r="H111" s="18">
        <f>($G$111/$G$58)-1</f>
        <v>0.27865724653097823</v>
      </c>
      <c r="I111" s="2"/>
      <c r="J111" s="2"/>
      <c r="K111" s="2"/>
      <c r="L111" s="2"/>
      <c r="M111" s="2"/>
      <c r="N111" s="2"/>
      <c r="O111" s="2"/>
      <c r="P111" s="2"/>
      <c r="Q111" s="10"/>
      <c r="R111" s="20">
        <v>11</v>
      </c>
      <c r="S111" s="18">
        <f>$Y$50/AVERAGE($Y$40:$Y$51)</f>
        <v>0.624127250279504</v>
      </c>
      <c r="T111" s="2"/>
      <c r="U111" s="2"/>
      <c r="V111" s="2"/>
      <c r="W111" s="2"/>
      <c r="X111" s="2"/>
      <c r="Y111" s="2"/>
      <c r="Z111" s="2"/>
    </row>
    <row r="112" spans="1:26" ht="13" x14ac:dyDescent="0.6">
      <c r="A112" s="9">
        <v>2</v>
      </c>
      <c r="B112" s="4">
        <v>2021</v>
      </c>
      <c r="C112" s="8">
        <v>6</v>
      </c>
      <c r="D112" s="10">
        <v>8156</v>
      </c>
      <c r="E112" s="7">
        <v>1050320</v>
      </c>
      <c r="F112" s="7">
        <v>1475322.2000000002</v>
      </c>
      <c r="G112" s="7">
        <f t="shared" si="0"/>
        <v>425002.20000000019</v>
      </c>
      <c r="H112" s="18">
        <f>($G$112/$G$59)-1</f>
        <v>0.16379987729505352</v>
      </c>
      <c r="I112" s="2"/>
      <c r="J112" s="2"/>
      <c r="K112" s="2"/>
      <c r="L112" s="2"/>
      <c r="M112" s="2"/>
      <c r="N112" s="2"/>
      <c r="O112" s="2"/>
      <c r="P112" s="2"/>
      <c r="Q112" s="10"/>
      <c r="R112" s="20">
        <v>12</v>
      </c>
      <c r="S112" s="18">
        <f>$Y$51/AVERAGE($Y$40:$Y$51)</f>
        <v>0.59289578420782707</v>
      </c>
      <c r="T112" s="2"/>
      <c r="U112" s="2"/>
      <c r="V112" s="2"/>
      <c r="W112" s="2"/>
      <c r="X112" s="2"/>
      <c r="Y112" s="2"/>
      <c r="Z112" s="2"/>
    </row>
    <row r="113" spans="1:26" ht="13" x14ac:dyDescent="0.6">
      <c r="A113" s="9">
        <v>2</v>
      </c>
      <c r="B113" s="4">
        <v>2021</v>
      </c>
      <c r="C113" s="8">
        <v>7</v>
      </c>
      <c r="D113" s="10">
        <v>8015</v>
      </c>
      <c r="E113" s="7">
        <v>1043847</v>
      </c>
      <c r="F113" s="7">
        <v>1466069.25</v>
      </c>
      <c r="G113" s="7">
        <f t="shared" si="0"/>
        <v>422222.25</v>
      </c>
      <c r="H113" s="18">
        <f>($G$113/$G$60)-1</f>
        <v>5.0928910471649269E-2</v>
      </c>
      <c r="I113" s="2"/>
      <c r="J113" s="2"/>
      <c r="K113" s="2"/>
      <c r="L113" s="2"/>
      <c r="M113" s="2"/>
      <c r="N113" s="2"/>
      <c r="O113" s="2"/>
      <c r="P113" s="2"/>
      <c r="Q113" s="10"/>
      <c r="R113" s="11"/>
      <c r="S113" s="7"/>
      <c r="T113" s="2"/>
      <c r="U113" s="2"/>
      <c r="V113" s="2"/>
      <c r="W113" s="2"/>
      <c r="X113" s="2"/>
      <c r="Y113" s="2"/>
      <c r="Z113" s="2"/>
    </row>
    <row r="114" spans="1:26" ht="13" x14ac:dyDescent="0.6">
      <c r="A114" s="9">
        <v>2</v>
      </c>
      <c r="B114" s="4">
        <v>2021</v>
      </c>
      <c r="C114" s="8">
        <v>8</v>
      </c>
      <c r="D114" s="10">
        <v>7061</v>
      </c>
      <c r="E114" s="7">
        <v>923382</v>
      </c>
      <c r="F114" s="7">
        <v>1297106.9499999997</v>
      </c>
      <c r="G114" s="7">
        <f t="shared" si="0"/>
        <v>373724.94999999972</v>
      </c>
      <c r="H114" s="18">
        <f>($G$114/$G$61)-1</f>
        <v>1.8616376851449568E-2</v>
      </c>
      <c r="I114" s="2"/>
      <c r="J114" s="2"/>
      <c r="K114" s="2"/>
      <c r="L114" s="2"/>
      <c r="M114" s="2"/>
      <c r="N114" s="2"/>
      <c r="O114" s="2"/>
      <c r="P114" s="2"/>
      <c r="Q114" s="10"/>
      <c r="R114" s="11"/>
      <c r="S114" s="7"/>
      <c r="T114" s="2"/>
      <c r="U114" s="2"/>
      <c r="V114" s="2"/>
      <c r="W114" s="2"/>
      <c r="X114" s="2"/>
      <c r="Y114" s="2"/>
      <c r="Z114" s="2"/>
    </row>
    <row r="115" spans="1:26" ht="13" x14ac:dyDescent="0.6">
      <c r="A115" s="9">
        <v>3</v>
      </c>
      <c r="B115" s="4">
        <v>2021</v>
      </c>
      <c r="C115" s="8">
        <v>9</v>
      </c>
      <c r="D115" s="10">
        <v>7935</v>
      </c>
      <c r="E115" s="7">
        <v>1005788</v>
      </c>
      <c r="F115" s="7">
        <v>1412833.25</v>
      </c>
      <c r="G115" s="7">
        <f t="shared" si="0"/>
        <v>407045.25</v>
      </c>
      <c r="H115" s="18">
        <f>($G$115/$G$62)-1</f>
        <v>7.0113002675379565E-2</v>
      </c>
      <c r="I115" s="2"/>
      <c r="J115" s="2"/>
      <c r="K115" s="2"/>
      <c r="L115" s="2"/>
      <c r="M115" s="2"/>
      <c r="N115" s="2"/>
      <c r="O115" s="2"/>
      <c r="P115" s="2"/>
      <c r="Q115" s="10"/>
      <c r="R115" s="11"/>
      <c r="S115" s="7"/>
      <c r="T115" s="2"/>
      <c r="U115" s="2"/>
      <c r="V115" s="2"/>
      <c r="W115" s="2"/>
      <c r="X115" s="2"/>
      <c r="Y115" s="2"/>
      <c r="Z115" s="2"/>
    </row>
    <row r="116" spans="1:26" ht="13" x14ac:dyDescent="0.6">
      <c r="A116" s="9">
        <v>3</v>
      </c>
      <c r="B116" s="4">
        <v>2021</v>
      </c>
      <c r="C116" s="8">
        <v>10</v>
      </c>
      <c r="D116" s="10">
        <v>8994</v>
      </c>
      <c r="E116" s="7">
        <v>1130553</v>
      </c>
      <c r="F116" s="7">
        <v>1588520.2999999998</v>
      </c>
      <c r="G116" s="7">
        <f t="shared" si="0"/>
        <v>457967.29999999981</v>
      </c>
      <c r="H116" s="18">
        <f>($G$116/$G$63)-1</f>
        <v>0.19983594084858036</v>
      </c>
      <c r="I116" s="2"/>
      <c r="J116" s="2"/>
      <c r="K116" s="2"/>
      <c r="L116" s="2"/>
      <c r="M116" s="2"/>
      <c r="N116" s="2"/>
      <c r="O116" s="2"/>
      <c r="P116" s="2"/>
      <c r="Q116" s="10"/>
      <c r="R116" s="11"/>
      <c r="S116" s="7"/>
      <c r="T116" s="2"/>
      <c r="U116" s="2"/>
      <c r="V116" s="2"/>
      <c r="W116" s="2"/>
      <c r="X116" s="2"/>
      <c r="Y116" s="2"/>
      <c r="Z116" s="2"/>
    </row>
    <row r="117" spans="1:26" ht="13" x14ac:dyDescent="0.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10"/>
      <c r="R117" s="11"/>
      <c r="S117" s="7"/>
      <c r="T117" s="2"/>
      <c r="U117" s="2"/>
      <c r="V117" s="2"/>
      <c r="W117" s="2"/>
      <c r="X117" s="2"/>
      <c r="Y117" s="2"/>
      <c r="Z117" s="2"/>
    </row>
    <row r="118" spans="1:26" ht="13" x14ac:dyDescent="0.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10"/>
      <c r="R118" s="11"/>
      <c r="S118" s="7"/>
      <c r="T118" s="2"/>
      <c r="U118" s="2"/>
      <c r="V118" s="2"/>
      <c r="W118" s="2"/>
      <c r="X118" s="2"/>
      <c r="Y118" s="2"/>
      <c r="Z118" s="2"/>
    </row>
    <row r="119" spans="1:26" ht="13" x14ac:dyDescent="0.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10"/>
      <c r="R119" s="11"/>
      <c r="S119" s="7"/>
      <c r="T119" s="2"/>
      <c r="U119" s="2"/>
      <c r="V119" s="2"/>
      <c r="W119" s="2"/>
      <c r="X119" s="2"/>
      <c r="Y119" s="2"/>
      <c r="Z119" s="2"/>
    </row>
    <row r="120" spans="1:26" ht="13" x14ac:dyDescent="0.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11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50" t="s">
        <v>35</v>
      </c>
      <c r="P121" s="51"/>
      <c r="Q121" s="2"/>
      <c r="R121" s="11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6">
      <c r="A122" s="2"/>
      <c r="B122" s="50" t="s">
        <v>36</v>
      </c>
      <c r="C122" s="51"/>
      <c r="D122" s="51"/>
      <c r="E122" s="2"/>
      <c r="F122" s="2"/>
      <c r="G122" s="2"/>
      <c r="H122" s="2"/>
      <c r="I122" s="2"/>
      <c r="J122" s="2"/>
      <c r="K122" s="2"/>
      <c r="L122" s="2"/>
      <c r="M122" s="2"/>
      <c r="N122" s="1" t="s">
        <v>2</v>
      </c>
      <c r="O122" s="23">
        <v>2021</v>
      </c>
      <c r="P122" s="23">
        <v>2020</v>
      </c>
      <c r="Q122" s="24"/>
      <c r="R122" s="11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6">
      <c r="A123" s="1" t="s">
        <v>2</v>
      </c>
      <c r="B123" s="23">
        <v>2021</v>
      </c>
      <c r="C123" s="23">
        <v>2020</v>
      </c>
      <c r="D123" s="23">
        <v>2019</v>
      </c>
      <c r="E123" s="2"/>
      <c r="F123" s="2"/>
      <c r="G123" s="2"/>
      <c r="H123" s="2"/>
      <c r="I123" s="2"/>
      <c r="J123" s="2"/>
      <c r="K123" s="2"/>
      <c r="L123" s="2"/>
      <c r="M123" s="2"/>
      <c r="N123" s="20">
        <v>1</v>
      </c>
      <c r="O123" s="25">
        <f>($G$107/$G$54)-1</f>
        <v>0.40252565370841142</v>
      </c>
      <c r="P123" s="25">
        <f>($G$54/$G$2)-1</f>
        <v>1.5199244741754705</v>
      </c>
      <c r="Q123" s="26"/>
      <c r="R123" s="11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6">
      <c r="A124" s="8">
        <v>1</v>
      </c>
      <c r="B124" s="27">
        <v>496498.85000000009</v>
      </c>
      <c r="C124" s="27">
        <v>354003.39999999991</v>
      </c>
      <c r="D124" s="27">
        <v>140482</v>
      </c>
      <c r="E124" s="2"/>
      <c r="F124" s="2"/>
      <c r="G124" s="2"/>
      <c r="H124" s="2"/>
      <c r="I124" s="2"/>
      <c r="J124" s="2"/>
      <c r="K124" s="2"/>
      <c r="L124" s="2"/>
      <c r="M124" s="2"/>
      <c r="N124" s="20">
        <v>2</v>
      </c>
      <c r="O124" s="25">
        <f>($G$108/$G$55)-1</f>
        <v>0.27414119935349102</v>
      </c>
      <c r="P124" s="25">
        <f>($G$55/$G$3)-1</f>
        <v>1.4021805894728292</v>
      </c>
      <c r="Q124" s="26"/>
      <c r="R124" s="11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6">
      <c r="A125" s="8">
        <v>2</v>
      </c>
      <c r="B125" s="27">
        <v>452456.64999999991</v>
      </c>
      <c r="C125" s="27">
        <v>355107.14999999991</v>
      </c>
      <c r="D125" s="27">
        <v>147827</v>
      </c>
      <c r="E125" s="2"/>
      <c r="F125" s="2"/>
      <c r="G125" s="2"/>
      <c r="H125" s="2"/>
      <c r="I125" s="2"/>
      <c r="J125" s="2"/>
      <c r="K125" s="2"/>
      <c r="L125" s="2"/>
      <c r="M125" s="2"/>
      <c r="N125" s="20">
        <v>3</v>
      </c>
      <c r="O125" s="25">
        <f>($G$109/$G$56)-1</f>
        <v>0.60494036116135108</v>
      </c>
      <c r="P125" s="25">
        <f>($G$56/$G$4)-1</f>
        <v>1.0180672496431611</v>
      </c>
      <c r="Q125" s="26"/>
      <c r="R125" s="11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6">
      <c r="A126" s="8">
        <v>3</v>
      </c>
      <c r="B126" s="27">
        <v>466535.69999999995</v>
      </c>
      <c r="C126" s="27">
        <v>290687.25</v>
      </c>
      <c r="D126" s="27">
        <v>144042.39999999997</v>
      </c>
      <c r="E126" s="2"/>
      <c r="F126" s="2"/>
      <c r="G126" s="2"/>
      <c r="H126" s="2"/>
      <c r="I126" s="2"/>
      <c r="J126" s="2"/>
      <c r="K126" s="2"/>
      <c r="L126" s="2"/>
      <c r="M126" s="2"/>
      <c r="N126" s="20">
        <v>4</v>
      </c>
      <c r="O126" s="25">
        <f>($G$110/$G$57)-1</f>
        <v>0.34244572504379134</v>
      </c>
      <c r="P126" s="25">
        <f>($G$57/$G$5)-1</f>
        <v>1.3281090368286819</v>
      </c>
      <c r="Q126" s="26"/>
      <c r="R126" s="11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6">
      <c r="A127" s="8">
        <v>4</v>
      </c>
      <c r="B127" s="27">
        <v>419562.55000000005</v>
      </c>
      <c r="C127" s="27">
        <v>312535.94999999995</v>
      </c>
      <c r="D127" s="27">
        <v>134244.55000000005</v>
      </c>
      <c r="E127" s="2"/>
      <c r="F127" s="2"/>
      <c r="G127" s="2"/>
      <c r="H127" s="2"/>
      <c r="I127" s="2"/>
      <c r="J127" s="2"/>
      <c r="K127" s="2"/>
      <c r="L127" s="2"/>
      <c r="M127" s="2"/>
      <c r="N127" s="20">
        <v>5</v>
      </c>
      <c r="O127" s="25">
        <f>($G$111/$G$58)-1</f>
        <v>0.27865724653097823</v>
      </c>
      <c r="P127" s="25">
        <f>($G$58/$G$6)-1</f>
        <v>1.3527195307408211</v>
      </c>
      <c r="Q127" s="26"/>
      <c r="R127" s="11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6">
      <c r="A128" s="8">
        <v>5</v>
      </c>
      <c r="B128" s="27">
        <v>432728.29999999981</v>
      </c>
      <c r="C128" s="27">
        <v>338424</v>
      </c>
      <c r="D128" s="27">
        <v>143843.75</v>
      </c>
      <c r="E128" s="2"/>
      <c r="F128" s="2"/>
      <c r="G128" s="2"/>
      <c r="H128" s="2"/>
      <c r="I128" s="2"/>
      <c r="J128" s="2"/>
      <c r="K128" s="2"/>
      <c r="L128" s="2"/>
      <c r="M128" s="2"/>
      <c r="N128" s="20">
        <v>6</v>
      </c>
      <c r="O128" s="25">
        <f>($G$112/$G$59)-1</f>
        <v>0.16379987729505352</v>
      </c>
      <c r="P128" s="25">
        <f>($G$59/$G$7)-1</f>
        <v>1.2229104343832433</v>
      </c>
      <c r="Q128" s="26"/>
      <c r="R128" s="11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6">
      <c r="A129" s="8">
        <v>6</v>
      </c>
      <c r="B129" s="27">
        <v>425002.20000000019</v>
      </c>
      <c r="C129" s="27">
        <v>365184.94999999995</v>
      </c>
      <c r="D129" s="27">
        <v>164282.34999999998</v>
      </c>
      <c r="E129" s="2"/>
      <c r="F129" s="2"/>
      <c r="G129" s="2"/>
      <c r="H129" s="2"/>
      <c r="I129" s="2"/>
      <c r="J129" s="2"/>
      <c r="K129" s="2"/>
      <c r="L129" s="2"/>
      <c r="M129" s="2"/>
      <c r="N129" s="20">
        <v>7</v>
      </c>
      <c r="O129" s="25">
        <f>($G$113/$G$60)-1</f>
        <v>5.0928910471649269E-2</v>
      </c>
      <c r="P129" s="25">
        <f>($G$60/$G$8)-1</f>
        <v>1.6291073974872501</v>
      </c>
      <c r="Q129" s="26"/>
      <c r="R129" s="11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6">
      <c r="A130" s="8">
        <v>7</v>
      </c>
      <c r="B130" s="27">
        <v>422222.25</v>
      </c>
      <c r="C130" s="27">
        <v>401760.99999999977</v>
      </c>
      <c r="D130" s="27">
        <v>152812.69999999995</v>
      </c>
      <c r="E130" s="2"/>
      <c r="F130" s="2"/>
      <c r="G130" s="2"/>
      <c r="H130" s="2"/>
      <c r="I130" s="2"/>
      <c r="J130" s="2"/>
      <c r="K130" s="2"/>
      <c r="L130" s="2"/>
      <c r="M130" s="2"/>
      <c r="N130" s="20">
        <v>8</v>
      </c>
      <c r="O130" s="25">
        <f>($G$114/$G$61)-1</f>
        <v>1.8616376851449568E-2</v>
      </c>
      <c r="P130" s="25">
        <f>($G$61/$G$9)-1</f>
        <v>1.3957348903767333</v>
      </c>
      <c r="Q130" s="26"/>
      <c r="R130" s="11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6">
      <c r="A131" s="8">
        <v>8</v>
      </c>
      <c r="B131" s="27">
        <v>373724.94999999972</v>
      </c>
      <c r="C131" s="27">
        <v>366894.70000000019</v>
      </c>
      <c r="D131" s="27">
        <v>153144.94999999995</v>
      </c>
      <c r="E131" s="2"/>
      <c r="F131" s="2"/>
      <c r="G131" s="2"/>
      <c r="H131" s="2"/>
      <c r="I131" s="2"/>
      <c r="J131" s="2"/>
      <c r="K131" s="2"/>
      <c r="L131" s="2"/>
      <c r="M131" s="2"/>
      <c r="N131" s="20">
        <v>9</v>
      </c>
      <c r="O131" s="25">
        <f>($G$115/$G$62)-1</f>
        <v>7.0113002675379565E-2</v>
      </c>
      <c r="P131" s="25">
        <f>($G$62/$G$10)-1</f>
        <v>0.93263375087771783</v>
      </c>
      <c r="Q131" s="26"/>
      <c r="R131" s="11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6">
      <c r="A132" s="8">
        <v>9</v>
      </c>
      <c r="B132" s="27">
        <v>407045.25</v>
      </c>
      <c r="C132" s="27">
        <v>380375.94999999995</v>
      </c>
      <c r="D132" s="27">
        <v>196817.39999999991</v>
      </c>
      <c r="E132" s="2"/>
      <c r="F132" s="2"/>
      <c r="G132" s="2"/>
      <c r="H132" s="2"/>
      <c r="I132" s="2"/>
      <c r="J132" s="2"/>
      <c r="K132" s="2"/>
      <c r="L132" s="2"/>
      <c r="M132" s="2"/>
      <c r="N132" s="20">
        <v>10</v>
      </c>
      <c r="O132" s="25">
        <f>($G$116/$G$63)-1</f>
        <v>0.19983594084858036</v>
      </c>
      <c r="P132" s="25">
        <f>($G$63/$G$11)-1</f>
        <v>1.0930905653114005</v>
      </c>
      <c r="Q132" s="26"/>
      <c r="R132" s="11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6">
      <c r="A133" s="8">
        <v>10</v>
      </c>
      <c r="B133" s="27">
        <v>457967.29999999981</v>
      </c>
      <c r="C133" s="27">
        <v>381691.59999999986</v>
      </c>
      <c r="D133" s="27">
        <v>182357.90000000002</v>
      </c>
      <c r="E133" s="2"/>
      <c r="F133" s="2"/>
      <c r="G133" s="2"/>
      <c r="H133" s="2"/>
      <c r="I133" s="2"/>
      <c r="J133" s="2"/>
      <c r="K133" s="2"/>
      <c r="L133" s="2"/>
      <c r="M133" s="2"/>
      <c r="N133" s="22" t="s">
        <v>37</v>
      </c>
      <c r="O133" s="28">
        <f t="shared" ref="O133:P133" si="6">SUM(O123:O132)</f>
        <v>2.4060042939401347</v>
      </c>
      <c r="P133" s="28">
        <f t="shared" si="6"/>
        <v>12.894477919297309</v>
      </c>
      <c r="Q133" s="29"/>
      <c r="R133" s="11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6">
      <c r="A134" s="1" t="s">
        <v>37</v>
      </c>
      <c r="B134" s="30">
        <f t="shared" ref="B134:D134" si="7">SUM(B124:B133)</f>
        <v>4353744</v>
      </c>
      <c r="C134" s="30">
        <f t="shared" si="7"/>
        <v>3546665.9499999993</v>
      </c>
      <c r="D134" s="30">
        <f t="shared" si="7"/>
        <v>1559854.9999999995</v>
      </c>
      <c r="E134" s="2"/>
      <c r="F134" s="2"/>
      <c r="G134" s="2"/>
      <c r="H134" s="2"/>
      <c r="I134" s="2"/>
      <c r="J134" s="2"/>
      <c r="K134" s="2"/>
      <c r="L134" s="2"/>
      <c r="M134" s="2"/>
      <c r="N134" s="1" t="s">
        <v>38</v>
      </c>
      <c r="O134" s="31">
        <f t="shared" ref="O134:P134" si="8">AVERAGE(O123:O132)</f>
        <v>0.24060042939401347</v>
      </c>
      <c r="P134" s="31">
        <f t="shared" si="8"/>
        <v>1.2894477919297309</v>
      </c>
      <c r="Q134" s="2"/>
      <c r="R134" s="11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11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6">
      <c r="A141" s="2"/>
      <c r="B141" s="50" t="s">
        <v>39</v>
      </c>
      <c r="C141" s="51"/>
      <c r="D141" s="5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6">
      <c r="A142" s="1" t="s">
        <v>2</v>
      </c>
      <c r="B142" s="23">
        <v>2021</v>
      </c>
      <c r="C142" s="23">
        <v>2020</v>
      </c>
      <c r="D142" s="23">
        <v>2019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6">
      <c r="A143" s="8">
        <v>1</v>
      </c>
      <c r="B143" s="7">
        <v>1229783</v>
      </c>
      <c r="C143" s="7">
        <v>871339</v>
      </c>
      <c r="D143" s="6">
        <v>346981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6">
      <c r="A144" s="8">
        <v>2</v>
      </c>
      <c r="B144" s="7">
        <v>1119249</v>
      </c>
      <c r="C144" s="7">
        <v>874112</v>
      </c>
      <c r="D144" s="7">
        <v>364985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6">
      <c r="A145" s="8">
        <v>3</v>
      </c>
      <c r="B145" s="7">
        <v>1154737</v>
      </c>
      <c r="C145" s="7">
        <v>715203</v>
      </c>
      <c r="D145" s="7">
        <v>355634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6">
      <c r="A146" s="8">
        <v>4</v>
      </c>
      <c r="B146" s="7">
        <v>1036835</v>
      </c>
      <c r="C146" s="7">
        <v>769047</v>
      </c>
      <c r="D146" s="7">
        <v>331465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32"/>
      <c r="X146" s="2"/>
      <c r="Y146" s="2"/>
      <c r="Z146" s="2"/>
    </row>
    <row r="147" spans="1:26" ht="13" x14ac:dyDescent="0.6">
      <c r="A147" s="8">
        <v>5</v>
      </c>
      <c r="B147" s="7">
        <v>1069764</v>
      </c>
      <c r="C147" s="7">
        <v>833001</v>
      </c>
      <c r="D147" s="7">
        <v>355093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1" t="s">
        <v>8</v>
      </c>
      <c r="S147" s="1" t="s">
        <v>1</v>
      </c>
      <c r="T147" s="1" t="s">
        <v>0</v>
      </c>
      <c r="U147" s="1" t="s">
        <v>40</v>
      </c>
      <c r="V147" s="1" t="s">
        <v>41</v>
      </c>
      <c r="W147" s="1" t="s">
        <v>30</v>
      </c>
      <c r="X147" s="2"/>
      <c r="Y147" s="2"/>
      <c r="Z147" s="2"/>
    </row>
    <row r="148" spans="1:26" ht="13" x14ac:dyDescent="0.6">
      <c r="A148" s="8">
        <v>6</v>
      </c>
      <c r="B148" s="7">
        <v>1050320</v>
      </c>
      <c r="C148" s="7">
        <v>898966</v>
      </c>
      <c r="D148" s="7">
        <v>405613</v>
      </c>
      <c r="E148" s="2"/>
      <c r="F148" s="2"/>
      <c r="G148" s="2"/>
      <c r="H148" s="50" t="s">
        <v>42</v>
      </c>
      <c r="I148" s="51"/>
      <c r="J148" s="51"/>
      <c r="K148" s="2"/>
      <c r="L148" s="2"/>
      <c r="M148" s="2"/>
      <c r="N148" s="2"/>
      <c r="O148" s="2"/>
      <c r="P148" s="2"/>
      <c r="Q148" s="2"/>
      <c r="R148" s="8">
        <v>21</v>
      </c>
      <c r="S148" s="8">
        <v>2020</v>
      </c>
      <c r="T148" s="33">
        <v>44075</v>
      </c>
      <c r="U148" s="7">
        <f>VLOOKUP($S$40,$X$40:$Z$51,3)*$T$40</f>
        <v>9669559.6239679847</v>
      </c>
      <c r="V148" s="7">
        <f>SUM($G$90:$G$93)</f>
        <v>6077713.6500000004</v>
      </c>
      <c r="W148" s="18">
        <f>ABS($U$148-$V$148)/$V$148</f>
        <v>0.59098637757769057</v>
      </c>
      <c r="X148" s="2"/>
      <c r="Y148" s="2"/>
      <c r="Z148" s="2"/>
    </row>
    <row r="149" spans="1:26" ht="13" x14ac:dyDescent="0.6">
      <c r="A149" s="8">
        <v>7</v>
      </c>
      <c r="B149" s="7">
        <v>1043847</v>
      </c>
      <c r="C149" s="7">
        <v>989392</v>
      </c>
      <c r="D149" s="7">
        <v>377266</v>
      </c>
      <c r="E149" s="2"/>
      <c r="F149" s="2"/>
      <c r="G149" s="1" t="s">
        <v>2</v>
      </c>
      <c r="H149" s="23">
        <v>2021</v>
      </c>
      <c r="I149" s="23">
        <v>2020</v>
      </c>
      <c r="J149" s="23">
        <v>2019</v>
      </c>
      <c r="K149" s="2"/>
      <c r="L149" s="2"/>
      <c r="M149" s="2"/>
      <c r="N149" s="2"/>
      <c r="O149" s="2"/>
      <c r="P149" s="2"/>
      <c r="Q149" s="2"/>
      <c r="R149" s="8">
        <v>22</v>
      </c>
      <c r="S149" s="11"/>
      <c r="T149" s="33">
        <v>44105</v>
      </c>
      <c r="U149" s="7">
        <f>VLOOKUP($S$41,$X$40:$Z$51,3)*$T$41</f>
        <v>1783117.8062282221</v>
      </c>
      <c r="V149" s="7">
        <f>SUM($G$94:$G$97)</f>
        <v>1197436.2999999998</v>
      </c>
      <c r="W149" s="18">
        <f>ABS($U$149-$V$149)/$V$149</f>
        <v>0.48911287074579446</v>
      </c>
      <c r="X149" s="2"/>
      <c r="Y149" s="2"/>
      <c r="Z149" s="2"/>
    </row>
    <row r="150" spans="1:26" ht="13" x14ac:dyDescent="0.6">
      <c r="A150" s="8">
        <v>8</v>
      </c>
      <c r="B150" s="7">
        <v>923382</v>
      </c>
      <c r="C150" s="7">
        <v>903252</v>
      </c>
      <c r="D150" s="7">
        <v>378194</v>
      </c>
      <c r="E150" s="2"/>
      <c r="F150" s="2"/>
      <c r="G150" s="8">
        <v>1</v>
      </c>
      <c r="H150" s="7">
        <f t="shared" ref="H150:J150" si="9">B143/B161</f>
        <v>147.05046036111443</v>
      </c>
      <c r="I150" s="7">
        <f t="shared" si="9"/>
        <v>129.04902251184834</v>
      </c>
      <c r="J150" s="7">
        <f t="shared" si="9"/>
        <v>110.32782193958664</v>
      </c>
      <c r="K150" s="2"/>
      <c r="L150" s="2"/>
      <c r="M150" s="2"/>
      <c r="N150" s="2"/>
      <c r="O150" s="2"/>
      <c r="P150" s="2"/>
      <c r="Q150" s="2"/>
      <c r="R150" s="8">
        <v>23</v>
      </c>
      <c r="S150" s="11"/>
      <c r="T150" s="33">
        <v>44136</v>
      </c>
      <c r="U150" s="7">
        <f>VLOOKUP($S$42,$X$40:$Z$51,3)*$T$42</f>
        <v>1858285.6835263472</v>
      </c>
      <c r="V150" s="7">
        <f>SUM($G$98:$G$102)</f>
        <v>2067691.1999999993</v>
      </c>
      <c r="W150" s="18">
        <f>ABS($U$150-$V$150)/$V$150</f>
        <v>0.10127504362046527</v>
      </c>
      <c r="X150" s="2"/>
      <c r="Y150" s="2"/>
      <c r="Z150" s="2"/>
    </row>
    <row r="151" spans="1:26" ht="13" x14ac:dyDescent="0.6">
      <c r="A151" s="8">
        <v>9</v>
      </c>
      <c r="B151" s="7">
        <v>1005788</v>
      </c>
      <c r="C151" s="7">
        <v>936502</v>
      </c>
      <c r="D151" s="7">
        <v>485844</v>
      </c>
      <c r="E151" s="2"/>
      <c r="F151" s="2"/>
      <c r="G151" s="8">
        <v>2</v>
      </c>
      <c r="H151" s="7">
        <f t="shared" ref="H151:J151" si="10">B144/B162</f>
        <v>135.06081814890794</v>
      </c>
      <c r="I151" s="7">
        <f t="shared" si="10"/>
        <v>132.10095209309355</v>
      </c>
      <c r="J151" s="7">
        <f t="shared" si="10"/>
        <v>108.6264880952381</v>
      </c>
      <c r="K151" s="2"/>
      <c r="L151" s="2"/>
      <c r="M151" s="2"/>
      <c r="N151" s="2"/>
      <c r="O151" s="2"/>
      <c r="P151" s="2"/>
      <c r="Q151" s="2"/>
      <c r="R151" s="14">
        <v>24</v>
      </c>
      <c r="S151" s="11"/>
      <c r="T151" s="33">
        <v>44166</v>
      </c>
      <c r="U151" s="7">
        <f>VLOOKUP($S$43,$X$40:$Z$51,3)*$T$43</f>
        <v>1801755.9738862673</v>
      </c>
      <c r="V151" s="7">
        <f>SUM($G$103:$G$106)</f>
        <v>1549067.9499999997</v>
      </c>
      <c r="W151" s="18">
        <f>ABS($U$151-$V$151)/$V$151</f>
        <v>0.16312262085486154</v>
      </c>
      <c r="X151" s="2"/>
      <c r="Y151" s="2"/>
      <c r="Z151" s="2"/>
    </row>
    <row r="152" spans="1:26" ht="13" x14ac:dyDescent="0.6">
      <c r="A152" s="8">
        <v>10</v>
      </c>
      <c r="B152" s="7">
        <v>1130553</v>
      </c>
      <c r="C152" s="7">
        <v>939728</v>
      </c>
      <c r="D152" s="7">
        <v>450504</v>
      </c>
      <c r="E152" s="2"/>
      <c r="F152" s="2"/>
      <c r="G152" s="8">
        <v>3</v>
      </c>
      <c r="H152" s="7">
        <f t="shared" ref="H152:J152" si="11">B145/B163</f>
        <v>135.1201731804353</v>
      </c>
      <c r="I152" s="7">
        <f t="shared" si="11"/>
        <v>127.82895442359249</v>
      </c>
      <c r="J152" s="7">
        <f t="shared" si="11"/>
        <v>108.69009779951101</v>
      </c>
      <c r="K152" s="2"/>
      <c r="L152" s="2"/>
      <c r="M152" s="2"/>
      <c r="N152" s="2"/>
      <c r="O152" s="2"/>
      <c r="P152" s="2"/>
      <c r="Q152" s="2"/>
      <c r="R152" s="8">
        <v>25</v>
      </c>
      <c r="S152" s="8">
        <v>2021</v>
      </c>
      <c r="T152" s="33">
        <v>44197</v>
      </c>
      <c r="U152" s="7">
        <f>VLOOKUP($S$44,$X$40:$Z$51,3)*$T$44</f>
        <v>2031007.2319543976</v>
      </c>
      <c r="V152" s="7">
        <f>SUM($G$107:$G$110)</f>
        <v>1835053.75</v>
      </c>
      <c r="W152" s="18">
        <f>ABS($U$152-$V$152)/$V$152</f>
        <v>0.10678351081236592</v>
      </c>
      <c r="X152" s="2"/>
      <c r="Y152" s="2"/>
      <c r="Z152" s="2"/>
    </row>
    <row r="153" spans="1:26" ht="13" x14ac:dyDescent="0.6">
      <c r="A153" s="1" t="s">
        <v>37</v>
      </c>
      <c r="B153" s="30">
        <f t="shared" ref="B153:D153" si="12">SUM(B143:B152)</f>
        <v>10764258</v>
      </c>
      <c r="C153" s="30">
        <f t="shared" si="12"/>
        <v>8730542</v>
      </c>
      <c r="D153" s="30">
        <f t="shared" si="12"/>
        <v>3851579</v>
      </c>
      <c r="E153" s="2"/>
      <c r="F153" s="2"/>
      <c r="G153" s="8">
        <v>4</v>
      </c>
      <c r="H153" s="7">
        <f t="shared" ref="H153:J153" si="13">B146/B164</f>
        <v>128.81538079264504</v>
      </c>
      <c r="I153" s="7">
        <f t="shared" si="13"/>
        <v>129.44739942770576</v>
      </c>
      <c r="J153" s="7">
        <f t="shared" si="13"/>
        <v>110.15785975407113</v>
      </c>
      <c r="K153" s="2"/>
      <c r="L153" s="2"/>
      <c r="M153" s="2"/>
      <c r="N153" s="2"/>
      <c r="O153" s="2"/>
      <c r="P153" s="2"/>
      <c r="Q153" s="2"/>
      <c r="R153" s="8">
        <v>26</v>
      </c>
      <c r="S153" s="11"/>
      <c r="T153" s="33">
        <v>44228</v>
      </c>
      <c r="U153" s="7">
        <f>VLOOKUP($S$45,$X$40:$Z$51,3)*$T$45</f>
        <v>1774654.8524436513</v>
      </c>
      <c r="V153" s="7">
        <f>SUM($G$111:$G$114)</f>
        <v>1653677.6999999997</v>
      </c>
      <c r="W153" s="18">
        <f>ABS($U$153-$V$153)/$V$153</f>
        <v>7.3156427303610369E-2</v>
      </c>
      <c r="X153" s="2"/>
      <c r="Y153" s="2"/>
      <c r="Z153" s="2"/>
    </row>
    <row r="154" spans="1:26" ht="13" x14ac:dyDescent="0.6">
      <c r="A154" s="2"/>
      <c r="B154" s="2"/>
      <c r="C154" s="2"/>
      <c r="D154" s="2"/>
      <c r="E154" s="2"/>
      <c r="F154" s="2"/>
      <c r="G154" s="8">
        <v>5</v>
      </c>
      <c r="H154" s="7">
        <f t="shared" ref="H154:J154" si="14">B147/B165</f>
        <v>128.05410581757243</v>
      </c>
      <c r="I154" s="7">
        <f t="shared" si="14"/>
        <v>132.22238095238095</v>
      </c>
      <c r="J154" s="7">
        <f t="shared" si="14"/>
        <v>108.75742725880551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6">
      <c r="A155" s="2"/>
      <c r="B155" s="2"/>
      <c r="C155" s="2"/>
      <c r="D155" s="2"/>
      <c r="E155" s="2"/>
      <c r="F155" s="2"/>
      <c r="G155" s="8">
        <v>6</v>
      </c>
      <c r="H155" s="7">
        <f t="shared" ref="H155:J155" si="15">B148/B166</f>
        <v>128.7788131436979</v>
      </c>
      <c r="I155" s="7">
        <f t="shared" si="15"/>
        <v>132.57130216782184</v>
      </c>
      <c r="J155" s="7">
        <f t="shared" si="15"/>
        <v>109.83292715949094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6">
      <c r="A156" s="2"/>
      <c r="B156" s="2"/>
      <c r="C156" s="2"/>
      <c r="D156" s="2"/>
      <c r="E156" s="2"/>
      <c r="F156" s="2"/>
      <c r="G156" s="8">
        <v>7</v>
      </c>
      <c r="H156" s="7">
        <f t="shared" ref="H156:J156" si="16">B149/B167</f>
        <v>130.23668122270743</v>
      </c>
      <c r="I156" s="7">
        <f t="shared" si="16"/>
        <v>134.79455040871935</v>
      </c>
      <c r="J156" s="7">
        <f t="shared" si="16"/>
        <v>110.11850554582604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6">
      <c r="A157" s="2"/>
      <c r="B157" s="2"/>
      <c r="C157" s="2"/>
      <c r="D157" s="2"/>
      <c r="E157" s="2"/>
      <c r="F157" s="2"/>
      <c r="G157" s="8">
        <v>8</v>
      </c>
      <c r="H157" s="7">
        <f t="shared" ref="H157:J157" si="17">B150/B168</f>
        <v>130.77212859368362</v>
      </c>
      <c r="I157" s="7">
        <f t="shared" si="17"/>
        <v>131.5543256626857</v>
      </c>
      <c r="J157" s="7">
        <f t="shared" si="17"/>
        <v>110.55071616486407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6">
      <c r="A158" s="2"/>
      <c r="B158" s="2"/>
      <c r="C158" s="2"/>
      <c r="D158" s="2"/>
      <c r="E158" s="2"/>
      <c r="F158" s="2"/>
      <c r="G158" s="8">
        <v>9</v>
      </c>
      <c r="H158" s="7">
        <f t="shared" ref="H158:J158" si="18">B151/B169</f>
        <v>126.75337114051669</v>
      </c>
      <c r="I158" s="7">
        <f t="shared" si="18"/>
        <v>133.00695923874449</v>
      </c>
      <c r="J158" s="7">
        <f t="shared" si="18"/>
        <v>111.12625800548948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6">
      <c r="A159" s="2"/>
      <c r="B159" s="50" t="s">
        <v>43</v>
      </c>
      <c r="C159" s="51"/>
      <c r="D159" s="51"/>
      <c r="E159" s="2"/>
      <c r="F159" s="2"/>
      <c r="G159" s="8">
        <v>10</v>
      </c>
      <c r="H159" s="7">
        <f t="shared" ref="H159:J159" si="19">B152/B170</f>
        <v>125.70080053368913</v>
      </c>
      <c r="I159" s="7">
        <f t="shared" si="19"/>
        <v>134.09360730593608</v>
      </c>
      <c r="J159" s="7">
        <f t="shared" si="19"/>
        <v>119.7511961722488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6">
      <c r="A160" s="1" t="s">
        <v>2</v>
      </c>
      <c r="B160" s="23">
        <v>2021</v>
      </c>
      <c r="C160" s="23">
        <v>2020</v>
      </c>
      <c r="D160" s="23">
        <v>2019</v>
      </c>
      <c r="E160" s="2"/>
      <c r="F160" s="2"/>
      <c r="G160" s="1" t="s">
        <v>38</v>
      </c>
      <c r="H160" s="34">
        <f>AVERAGE($H$150:$H$159)</f>
        <v>131.63427329349699</v>
      </c>
      <c r="I160" s="34">
        <f>AVERAGE($I$150:$I$159)</f>
        <v>131.66694541925284</v>
      </c>
      <c r="J160" s="34">
        <f>AVERAGE($J$150:$J$159)</f>
        <v>110.79392978951319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6">
      <c r="A161" s="8">
        <v>1</v>
      </c>
      <c r="B161" s="10">
        <v>8363</v>
      </c>
      <c r="C161" s="10">
        <v>6752</v>
      </c>
      <c r="D161" s="5">
        <v>3145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6">
      <c r="A162" s="8">
        <v>2</v>
      </c>
      <c r="B162" s="10">
        <v>8287</v>
      </c>
      <c r="C162" s="10">
        <v>6617</v>
      </c>
      <c r="D162" s="10">
        <v>3360</v>
      </c>
      <c r="E162" s="2"/>
      <c r="F162" s="2"/>
      <c r="G162" s="8"/>
      <c r="H162" s="1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6">
      <c r="A163" s="8">
        <v>3</v>
      </c>
      <c r="B163" s="10">
        <v>8546</v>
      </c>
      <c r="C163" s="10">
        <v>5595</v>
      </c>
      <c r="D163" s="10">
        <v>3272</v>
      </c>
      <c r="E163" s="2"/>
      <c r="F163" s="2"/>
      <c r="G163" s="8"/>
      <c r="H163" s="1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6">
      <c r="A164" s="8">
        <v>4</v>
      </c>
      <c r="B164" s="10">
        <v>8049</v>
      </c>
      <c r="C164" s="10">
        <v>5941</v>
      </c>
      <c r="D164" s="10">
        <v>3009</v>
      </c>
      <c r="E164" s="2"/>
      <c r="F164" s="2"/>
      <c r="G164" s="8"/>
      <c r="H164" s="1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6">
      <c r="A165" s="8">
        <v>5</v>
      </c>
      <c r="B165" s="10">
        <v>8354</v>
      </c>
      <c r="C165" s="10">
        <v>6300</v>
      </c>
      <c r="D165" s="10">
        <v>3265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6">
      <c r="A166" s="8">
        <v>6</v>
      </c>
      <c r="B166" s="10">
        <v>8156</v>
      </c>
      <c r="C166" s="10">
        <v>6781</v>
      </c>
      <c r="D166" s="10">
        <v>3693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6">
      <c r="A167" s="8">
        <v>7</v>
      </c>
      <c r="B167" s="10">
        <v>8015</v>
      </c>
      <c r="C167" s="10">
        <v>7340</v>
      </c>
      <c r="D167" s="10">
        <v>3426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6">
      <c r="A168" s="8">
        <v>8</v>
      </c>
      <c r="B168" s="10">
        <v>7061</v>
      </c>
      <c r="C168" s="10">
        <v>6866</v>
      </c>
      <c r="D168" s="10">
        <v>3421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6">
      <c r="A169" s="8">
        <v>9</v>
      </c>
      <c r="B169" s="10">
        <v>7935</v>
      </c>
      <c r="C169" s="10">
        <v>7041</v>
      </c>
      <c r="D169" s="10">
        <v>4372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6">
      <c r="A170" s="8">
        <v>10</v>
      </c>
      <c r="B170" s="10">
        <v>8994</v>
      </c>
      <c r="C170" s="10">
        <v>7008</v>
      </c>
      <c r="D170" s="10">
        <v>3762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6">
      <c r="A171" s="1" t="s">
        <v>37</v>
      </c>
      <c r="B171" s="35">
        <f>SUM(B159:B170)</f>
        <v>83781</v>
      </c>
      <c r="C171" s="35">
        <f t="shared" ref="C171:D171" si="20">SUM(C161:C170)</f>
        <v>66241</v>
      </c>
      <c r="D171" s="35">
        <f t="shared" si="20"/>
        <v>34725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6">
      <c r="A176" s="2"/>
      <c r="B176" s="50" t="s">
        <v>44</v>
      </c>
      <c r="C176" s="51"/>
      <c r="D176" s="5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6">
      <c r="A177" s="1" t="s">
        <v>2</v>
      </c>
      <c r="B177" s="23">
        <v>2021</v>
      </c>
      <c r="C177" s="23">
        <v>2020</v>
      </c>
      <c r="D177" s="23">
        <v>2019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6">
      <c r="A178" s="8">
        <v>1</v>
      </c>
      <c r="B178" s="7">
        <v>1726281.85</v>
      </c>
      <c r="C178" s="7">
        <v>1225342.3999999999</v>
      </c>
      <c r="D178" s="6">
        <v>487462.75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6">
      <c r="A179" s="8">
        <v>2</v>
      </c>
      <c r="B179" s="7">
        <v>1571705.65</v>
      </c>
      <c r="C179" s="7">
        <v>1229219.1499999999</v>
      </c>
      <c r="D179" s="7">
        <v>512812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6">
      <c r="A180" s="8">
        <v>3</v>
      </c>
      <c r="B180" s="7">
        <v>1621272.7</v>
      </c>
      <c r="C180" s="7">
        <v>1005890.25</v>
      </c>
      <c r="D180" s="7">
        <v>499676.39999999997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6">
      <c r="A181" s="8">
        <v>4</v>
      </c>
      <c r="B181" s="7">
        <v>1456397.55</v>
      </c>
      <c r="C181" s="7">
        <v>1081582.95</v>
      </c>
      <c r="D181" s="7">
        <v>465709.55000000005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6">
      <c r="A182" s="8">
        <v>5</v>
      </c>
      <c r="B182" s="7">
        <v>1502492.2999999998</v>
      </c>
      <c r="C182" s="7">
        <v>1171425</v>
      </c>
      <c r="D182" s="7">
        <v>498936.75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6">
      <c r="A183" s="8">
        <v>6</v>
      </c>
      <c r="B183" s="7">
        <v>1475322.2000000002</v>
      </c>
      <c r="C183" s="7">
        <v>1264150.95</v>
      </c>
      <c r="D183" s="7">
        <v>569895.35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6">
      <c r="A184" s="8">
        <v>7</v>
      </c>
      <c r="B184" s="7">
        <v>1466069.25</v>
      </c>
      <c r="C184" s="7">
        <v>1391152.9999999998</v>
      </c>
      <c r="D184" s="7">
        <v>530078.69999999995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6">
      <c r="A185" s="8">
        <v>8</v>
      </c>
      <c r="B185" s="7">
        <v>1297106.9499999997</v>
      </c>
      <c r="C185" s="7">
        <v>1270146.7000000002</v>
      </c>
      <c r="D185" s="7">
        <v>531338.94999999995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6">
      <c r="A186" s="8">
        <v>9</v>
      </c>
      <c r="B186" s="7">
        <v>1412833.25</v>
      </c>
      <c r="C186" s="7">
        <v>1316877.95</v>
      </c>
      <c r="D186" s="7">
        <v>682661.39999999991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6">
      <c r="A187" s="8">
        <v>10</v>
      </c>
      <c r="B187" s="7">
        <v>1588520.2999999998</v>
      </c>
      <c r="C187" s="7">
        <v>1321419.5999999999</v>
      </c>
      <c r="D187" s="7">
        <v>632861.9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6">
      <c r="A188" s="1" t="s">
        <v>37</v>
      </c>
      <c r="B188" s="36">
        <f t="shared" ref="B188:D188" si="21">SUM(B178:B187)</f>
        <v>15118002</v>
      </c>
      <c r="C188" s="36">
        <f t="shared" si="21"/>
        <v>12277207.949999999</v>
      </c>
      <c r="D188" s="36">
        <f t="shared" si="21"/>
        <v>5411433.75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1" t="s">
        <v>6</v>
      </c>
      <c r="V190" s="2"/>
      <c r="W190" s="2"/>
      <c r="X190" s="2"/>
      <c r="Y190" s="2"/>
      <c r="Z190" s="2"/>
    </row>
    <row r="191" spans="1:26" ht="13" x14ac:dyDescent="0.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19"/>
      <c r="T191" s="1" t="s">
        <v>0</v>
      </c>
      <c r="U191" s="1">
        <v>2021</v>
      </c>
      <c r="V191" s="1">
        <v>2020</v>
      </c>
      <c r="W191" s="1">
        <v>2019</v>
      </c>
      <c r="X191" s="2"/>
      <c r="Y191" s="2"/>
      <c r="Z191" s="2"/>
    </row>
    <row r="192" spans="1:26" ht="13" x14ac:dyDescent="0.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8"/>
      <c r="T192" s="8">
        <v>1</v>
      </c>
      <c r="U192" s="7">
        <f>VLOOKUP($S$44,$X$40:$Z$51,3)*$T$44</f>
        <v>2031007.2319543976</v>
      </c>
      <c r="V192" s="7">
        <f>SUM($G$54:$G$58)</f>
        <v>1650757.7499999998</v>
      </c>
      <c r="W192" s="7">
        <f>SUM($G$2:$G$6)</f>
        <v>710439.45</v>
      </c>
      <c r="X192" s="2"/>
      <c r="Y192" s="2"/>
      <c r="Z192" s="2"/>
    </row>
    <row r="193" spans="1:26" ht="13" x14ac:dyDescent="0.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11"/>
      <c r="T193" s="8">
        <v>2</v>
      </c>
      <c r="U193" s="7">
        <f>VLOOKUP($S$45,$X$40:$Z$51,3)*$T$45</f>
        <v>1774654.8524436513</v>
      </c>
      <c r="V193" s="7">
        <f>SUM($G$59:$G$62)</f>
        <v>1514216.5999999999</v>
      </c>
      <c r="W193" s="7">
        <f>SUM($G$7:$G$10)</f>
        <v>667057.39999999979</v>
      </c>
      <c r="X193" s="2"/>
      <c r="Y193" s="2"/>
      <c r="Z193" s="2"/>
    </row>
    <row r="194" spans="1:26" ht="13" x14ac:dyDescent="0.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11"/>
      <c r="T194" s="8">
        <v>3</v>
      </c>
      <c r="U194" s="7">
        <f>VLOOKUP($S$46,$X$40:$Z$51,3)*$T$46</f>
        <v>2507007.3687662822</v>
      </c>
      <c r="V194" s="7">
        <f>SUM($G$63:$G$67)</f>
        <v>2194219.8499999996</v>
      </c>
      <c r="W194" s="7">
        <f>SUM($G$11:$G$14)</f>
        <v>1684275.9999999998</v>
      </c>
      <c r="X194" s="2"/>
      <c r="Y194" s="2"/>
      <c r="Z194" s="2"/>
    </row>
    <row r="195" spans="1:26" ht="13" x14ac:dyDescent="0.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15"/>
      <c r="T195" s="8">
        <v>4</v>
      </c>
      <c r="U195" s="7">
        <f>VLOOKUP($S$47,$X$40:$Z$51,3)*$T$47</f>
        <v>4383417.0268589007</v>
      </c>
      <c r="V195" s="7">
        <f>SUM($G$68:$G$71)</f>
        <v>3657708.3499999996</v>
      </c>
      <c r="W195" s="7">
        <f>SUM($G$15:$G$19)</f>
        <v>1597338.4</v>
      </c>
      <c r="X195" s="2"/>
      <c r="Y195" s="2"/>
      <c r="Z195" s="2"/>
    </row>
    <row r="196" spans="1:26" ht="13" x14ac:dyDescent="0.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11"/>
      <c r="T196" s="8">
        <v>5</v>
      </c>
      <c r="U196" s="7">
        <f>VLOOKUP($S$48,$X$40:$Z$51,3)*$T$48</f>
        <v>1725507.6546595299</v>
      </c>
      <c r="V196" s="7">
        <f>SUM($G$72:$G$75)</f>
        <v>1419889.1499999997</v>
      </c>
      <c r="W196" s="7">
        <f>SUM($G$20:$G$23)</f>
        <v>1187389.5</v>
      </c>
      <c r="X196" s="2"/>
      <c r="Y196" s="2"/>
      <c r="Z196" s="2"/>
    </row>
    <row r="197" spans="1:26" ht="13" x14ac:dyDescent="0.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11"/>
      <c r="T197" s="8">
        <v>6</v>
      </c>
      <c r="U197" s="7">
        <f>VLOOKUP($S$49,$X$40:$Z$51,3)*$T$49</f>
        <v>2288229.908988155</v>
      </c>
      <c r="V197" s="7">
        <f>SUM($G$76:$G$80)</f>
        <v>1866838.0999999996</v>
      </c>
      <c r="W197" s="7">
        <f>SUM($G$24:$G$27)</f>
        <v>1223926.9499999997</v>
      </c>
      <c r="X197" s="2"/>
      <c r="Y197" s="2"/>
      <c r="Z197" s="2"/>
    </row>
    <row r="198" spans="1:26" ht="13" x14ac:dyDescent="0.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8" t="s">
        <v>45</v>
      </c>
      <c r="L198" s="2"/>
      <c r="M198" s="2"/>
      <c r="N198" s="2"/>
      <c r="O198" s="2"/>
      <c r="P198" s="2"/>
      <c r="Q198" s="2"/>
      <c r="R198" s="2"/>
      <c r="S198" s="11"/>
      <c r="T198" s="8">
        <v>7</v>
      </c>
      <c r="U198" s="7">
        <f>VLOOKUP($S$50,$X$40:$Z$51,3)*$T$50</f>
        <v>2298067.1751306849</v>
      </c>
      <c r="V198" s="7">
        <f>SUM($G$81:$G$84)</f>
        <v>1406980.1999999997</v>
      </c>
      <c r="W198" s="7">
        <f>SUM($G$28:$G$32)</f>
        <v>1728608.4999999998</v>
      </c>
      <c r="X198" s="2"/>
      <c r="Y198" s="2"/>
      <c r="Z198" s="2"/>
    </row>
    <row r="199" spans="1:26" ht="13" x14ac:dyDescent="0.6">
      <c r="A199" s="2"/>
      <c r="B199" s="2"/>
      <c r="C199" s="2"/>
      <c r="D199" s="2"/>
      <c r="E199" s="2"/>
      <c r="F199" s="2"/>
      <c r="G199" s="2"/>
      <c r="H199" s="2"/>
      <c r="I199" s="2"/>
      <c r="J199" s="20"/>
      <c r="K199" s="20">
        <v>2019</v>
      </c>
      <c r="L199" s="20">
        <v>2020</v>
      </c>
      <c r="M199" s="2"/>
      <c r="N199" s="2"/>
      <c r="O199" s="2"/>
      <c r="P199" s="2"/>
      <c r="Q199" s="2"/>
      <c r="R199" s="2"/>
      <c r="S199" s="11"/>
      <c r="T199" s="8">
        <v>8</v>
      </c>
      <c r="U199" s="7">
        <f>VLOOKUP($S$51,$X$40:$Z$51,3)*$T$51</f>
        <v>5670221.968668554</v>
      </c>
      <c r="V199" s="7">
        <f>SUM($G$85:$G$89)</f>
        <v>6352398.0999999996</v>
      </c>
      <c r="W199" s="7">
        <f>SUM($G$33:$G$36)</f>
        <v>2072673.0000000005</v>
      </c>
      <c r="X199" s="2"/>
      <c r="Y199" s="2"/>
      <c r="Z199" s="2"/>
    </row>
    <row r="200" spans="1:26" ht="13" x14ac:dyDescent="0.6">
      <c r="A200" s="2"/>
      <c r="B200" s="2"/>
      <c r="C200" s="2"/>
      <c r="D200" s="8" t="s">
        <v>1</v>
      </c>
      <c r="E200" s="8" t="s">
        <v>3</v>
      </c>
      <c r="F200" s="8" t="s">
        <v>4</v>
      </c>
      <c r="G200" s="8" t="s">
        <v>5</v>
      </c>
      <c r="H200" s="8" t="s">
        <v>6</v>
      </c>
      <c r="I200" s="2"/>
      <c r="J200" s="37">
        <v>1</v>
      </c>
      <c r="K200" s="38">
        <v>140482</v>
      </c>
      <c r="L200" s="27">
        <v>354003.39999999991</v>
      </c>
      <c r="M200" s="2"/>
      <c r="N200" s="2"/>
      <c r="O200" s="8" t="s">
        <v>27</v>
      </c>
      <c r="P200" s="8" t="s">
        <v>25</v>
      </c>
      <c r="Q200" s="2"/>
      <c r="R200" s="2"/>
      <c r="S200" s="11"/>
      <c r="T200" s="8">
        <v>9</v>
      </c>
      <c r="U200" s="7">
        <f>VLOOKUP($S$52,$X$40:$Z$51,3)*$T$52</f>
        <v>12169324.198345656</v>
      </c>
      <c r="V200" s="7">
        <f>SUM($G$90:$G$93)</f>
        <v>6077713.6500000004</v>
      </c>
      <c r="W200" s="7">
        <f>SUM($G$37:$G$41)</f>
        <v>7613611.7499999981</v>
      </c>
      <c r="X200" s="2"/>
      <c r="Y200" s="2"/>
      <c r="Z200" s="2"/>
    </row>
    <row r="201" spans="1:26" ht="13" x14ac:dyDescent="0.6">
      <c r="A201" s="2"/>
      <c r="B201" s="2"/>
      <c r="C201" s="2"/>
      <c r="D201" s="9">
        <v>201901</v>
      </c>
      <c r="E201" s="39">
        <v>3145</v>
      </c>
      <c r="F201" s="27">
        <v>346981</v>
      </c>
      <c r="G201" s="27">
        <v>487462.75</v>
      </c>
      <c r="H201" s="38">
        <v>140482</v>
      </c>
      <c r="I201" s="2"/>
      <c r="J201" s="37">
        <v>2</v>
      </c>
      <c r="K201" s="27">
        <v>147827</v>
      </c>
      <c r="L201" s="27">
        <v>355107.14999999991</v>
      </c>
      <c r="M201" s="2"/>
      <c r="N201" s="8">
        <v>2019</v>
      </c>
      <c r="O201" s="7">
        <f>AVERAGE(K200:K251)</f>
        <v>441443.17019230773</v>
      </c>
      <c r="P201" s="7">
        <f>SUM(K200:K251)</f>
        <v>22955044.850000001</v>
      </c>
      <c r="Q201" s="2"/>
      <c r="R201" s="2"/>
      <c r="S201" s="11"/>
      <c r="T201" s="8">
        <v>10</v>
      </c>
      <c r="U201" s="7">
        <f>VLOOKUP($S$53,$X$40:$Z$51,3)*$T$53</f>
        <v>2234366.2249114737</v>
      </c>
      <c r="V201" s="7">
        <f>SUM($G$94:$G$97)</f>
        <v>1197436.2999999998</v>
      </c>
      <c r="W201" s="7">
        <f>SUM($G$42:$G$45)</f>
        <v>1445040.45</v>
      </c>
      <c r="X201" s="2"/>
      <c r="Y201" s="2"/>
      <c r="Z201" s="2"/>
    </row>
    <row r="202" spans="1:26" ht="13" x14ac:dyDescent="0.6">
      <c r="A202" s="2"/>
      <c r="B202" s="2"/>
      <c r="C202" s="2"/>
      <c r="D202" s="9">
        <v>201902</v>
      </c>
      <c r="E202" s="39">
        <v>3360</v>
      </c>
      <c r="F202" s="27">
        <v>364985</v>
      </c>
      <c r="G202" s="27">
        <v>512812</v>
      </c>
      <c r="H202" s="27">
        <v>147827</v>
      </c>
      <c r="I202" s="2"/>
      <c r="J202" s="37">
        <v>3</v>
      </c>
      <c r="K202" s="27">
        <v>144042.39999999997</v>
      </c>
      <c r="L202" s="27">
        <v>290687.25</v>
      </c>
      <c r="M202" s="2"/>
      <c r="N202" s="8">
        <v>2020</v>
      </c>
      <c r="O202" s="7">
        <f>AVERAGE(L200:L252)</f>
        <v>584055.03490566043</v>
      </c>
      <c r="P202" s="7">
        <f>SUM(L200:L252)</f>
        <v>30954916.850000005</v>
      </c>
      <c r="Q202" s="2"/>
      <c r="R202" s="2"/>
      <c r="S202" s="8"/>
      <c r="T202" s="8">
        <v>11</v>
      </c>
      <c r="U202" s="7">
        <f>VLOOKUP($S$54,$X$40:$Z$51,3)*$T$54</f>
        <v>2318843.9397165724</v>
      </c>
      <c r="V202" s="7">
        <f>SUM($G$98:$G$102)</f>
        <v>2067691.1999999993</v>
      </c>
      <c r="W202" s="7">
        <f>SUM($G$46:$G$49)</f>
        <v>1539185.8</v>
      </c>
      <c r="X202" s="2"/>
      <c r="Y202" s="2"/>
      <c r="Z202" s="2"/>
    </row>
    <row r="203" spans="1:26" ht="13" x14ac:dyDescent="0.6">
      <c r="A203" s="2"/>
      <c r="B203" s="2"/>
      <c r="C203" s="2"/>
      <c r="D203" s="9">
        <v>201903</v>
      </c>
      <c r="E203" s="39">
        <v>3272</v>
      </c>
      <c r="F203" s="27">
        <v>355634</v>
      </c>
      <c r="G203" s="27">
        <v>499676.39999999997</v>
      </c>
      <c r="H203" s="27">
        <v>144042.39999999997</v>
      </c>
      <c r="I203" s="2"/>
      <c r="J203" s="37">
        <v>4</v>
      </c>
      <c r="K203" s="27">
        <v>134244.55000000005</v>
      </c>
      <c r="L203" s="27">
        <v>312535.94999999995</v>
      </c>
      <c r="M203" s="2"/>
      <c r="N203" s="2"/>
      <c r="O203" s="2"/>
      <c r="P203" s="2"/>
      <c r="Q203" s="2"/>
      <c r="R203" s="2"/>
      <c r="S203" s="8"/>
      <c r="T203" s="8">
        <v>12</v>
      </c>
      <c r="U203" s="7">
        <f>VLOOKUP($S$55,$X$40:$Z$51,3)*$T$55</f>
        <v>2239267.792758151</v>
      </c>
      <c r="V203" s="7">
        <f>SUM($G$103:$G$106)</f>
        <v>1549067.9499999997</v>
      </c>
      <c r="W203" s="7">
        <f>SUM($G$50:$G$53)</f>
        <v>1485497.3999999994</v>
      </c>
      <c r="X203" s="2"/>
      <c r="Y203" s="2"/>
      <c r="Z203" s="2"/>
    </row>
    <row r="204" spans="1:26" ht="13" x14ac:dyDescent="0.6">
      <c r="A204" s="2"/>
      <c r="B204" s="2"/>
      <c r="C204" s="2"/>
      <c r="D204" s="9">
        <v>201904</v>
      </c>
      <c r="E204" s="39">
        <v>3009</v>
      </c>
      <c r="F204" s="27">
        <v>331465</v>
      </c>
      <c r="G204" s="27">
        <v>465709.55000000005</v>
      </c>
      <c r="H204" s="27">
        <v>134244.55000000005</v>
      </c>
      <c r="I204" s="2"/>
      <c r="J204" s="37">
        <v>5</v>
      </c>
      <c r="K204" s="27">
        <v>143843.75</v>
      </c>
      <c r="L204" s="27">
        <v>338424</v>
      </c>
      <c r="M204" s="2"/>
      <c r="N204" s="2"/>
      <c r="O204" s="2"/>
      <c r="P204" s="2"/>
      <c r="Q204" s="2"/>
      <c r="R204" s="2"/>
      <c r="S204" s="8"/>
      <c r="T204" s="8"/>
      <c r="U204" s="2"/>
      <c r="V204" s="2"/>
      <c r="W204" s="2"/>
      <c r="X204" s="2"/>
      <c r="Y204" s="2"/>
      <c r="Z204" s="2"/>
    </row>
    <row r="205" spans="1:26" ht="13" x14ac:dyDescent="0.6">
      <c r="A205" s="2"/>
      <c r="B205" s="2"/>
      <c r="C205" s="2"/>
      <c r="D205" s="9">
        <v>201905</v>
      </c>
      <c r="E205" s="39">
        <v>3265</v>
      </c>
      <c r="F205" s="27">
        <v>355093</v>
      </c>
      <c r="G205" s="27">
        <v>498936.75</v>
      </c>
      <c r="H205" s="27">
        <v>143843.75</v>
      </c>
      <c r="I205" s="2"/>
      <c r="J205" s="37">
        <v>6</v>
      </c>
      <c r="K205" s="27">
        <v>164282.34999999998</v>
      </c>
      <c r="L205" s="27">
        <v>365184.94999999995</v>
      </c>
      <c r="M205" s="2"/>
      <c r="N205" s="2"/>
      <c r="O205" s="2"/>
      <c r="P205" s="2"/>
      <c r="Q205" s="2"/>
      <c r="R205" s="2"/>
      <c r="S205" s="11"/>
      <c r="T205" s="8"/>
      <c r="U205" s="2"/>
      <c r="V205" s="2"/>
      <c r="W205" s="2"/>
      <c r="X205" s="2"/>
      <c r="Y205" s="2"/>
      <c r="Z205" s="2"/>
    </row>
    <row r="206" spans="1:26" ht="13" x14ac:dyDescent="0.6">
      <c r="A206" s="2"/>
      <c r="B206" s="2"/>
      <c r="C206" s="2"/>
      <c r="D206" s="9">
        <v>201906</v>
      </c>
      <c r="E206" s="39">
        <v>3693</v>
      </c>
      <c r="F206" s="27">
        <v>405613</v>
      </c>
      <c r="G206" s="27">
        <v>569895.35</v>
      </c>
      <c r="H206" s="27">
        <v>164282.34999999998</v>
      </c>
      <c r="I206" s="2"/>
      <c r="J206" s="37">
        <v>7</v>
      </c>
      <c r="K206" s="27">
        <v>152812.69999999995</v>
      </c>
      <c r="L206" s="27">
        <v>401760.99999999977</v>
      </c>
      <c r="M206" s="2"/>
      <c r="N206" s="2"/>
      <c r="O206" s="2"/>
      <c r="P206" s="2"/>
      <c r="Q206" s="2"/>
      <c r="R206" s="2"/>
      <c r="S206" s="11"/>
      <c r="T206" s="8" t="s">
        <v>25</v>
      </c>
      <c r="U206" s="7">
        <f>SUM(U192:U203)</f>
        <v>41639915.34320201</v>
      </c>
      <c r="V206" s="7">
        <f t="shared" ref="V206:W206" si="22">SUM(V192:V203)</f>
        <v>30954917.199999999</v>
      </c>
      <c r="W206" s="7">
        <f t="shared" si="22"/>
        <v>22955044.599999994</v>
      </c>
      <c r="X206" s="2"/>
      <c r="Y206" s="2"/>
      <c r="Z206" s="2"/>
    </row>
    <row r="207" spans="1:26" ht="13" x14ac:dyDescent="0.6">
      <c r="A207" s="2"/>
      <c r="B207" s="2"/>
      <c r="C207" s="2"/>
      <c r="D207" s="9">
        <v>201907</v>
      </c>
      <c r="E207" s="39">
        <v>3426</v>
      </c>
      <c r="F207" s="27">
        <v>377266</v>
      </c>
      <c r="G207" s="27">
        <v>530078.69999999995</v>
      </c>
      <c r="H207" s="27">
        <v>152812.69999999995</v>
      </c>
      <c r="I207" s="2"/>
      <c r="J207" s="37">
        <v>8</v>
      </c>
      <c r="K207" s="27">
        <v>153144.94999999995</v>
      </c>
      <c r="L207" s="27">
        <v>366894.70000000019</v>
      </c>
      <c r="M207" s="2"/>
      <c r="N207" s="2"/>
      <c r="O207" s="2"/>
      <c r="P207" s="2"/>
      <c r="Q207" s="2"/>
      <c r="R207" s="2"/>
      <c r="S207" s="11"/>
      <c r="T207" s="8" t="s">
        <v>27</v>
      </c>
      <c r="U207" s="7">
        <f t="shared" ref="U207:W207" si="23">AVERAGE(U192:U203)</f>
        <v>3469992.945266834</v>
      </c>
      <c r="V207" s="7">
        <f t="shared" si="23"/>
        <v>2579576.4333333331</v>
      </c>
      <c r="W207" s="7">
        <f t="shared" si="23"/>
        <v>1912920.3833333328</v>
      </c>
      <c r="X207" s="2"/>
      <c r="Y207" s="2"/>
      <c r="Z207" s="2"/>
    </row>
    <row r="208" spans="1:26" ht="13" x14ac:dyDescent="0.6">
      <c r="A208" s="2"/>
      <c r="B208" s="2"/>
      <c r="C208" s="2"/>
      <c r="D208" s="9">
        <v>201908</v>
      </c>
      <c r="E208" s="39">
        <v>3421</v>
      </c>
      <c r="F208" s="27">
        <v>378194</v>
      </c>
      <c r="G208" s="27">
        <v>531338.94999999995</v>
      </c>
      <c r="H208" s="27">
        <v>153144.94999999995</v>
      </c>
      <c r="I208" s="2"/>
      <c r="J208" s="37">
        <v>9</v>
      </c>
      <c r="K208" s="27">
        <v>196817.39999999991</v>
      </c>
      <c r="L208" s="27">
        <v>380375.94999999995</v>
      </c>
      <c r="M208" s="2"/>
      <c r="N208" s="2"/>
      <c r="O208" s="2"/>
      <c r="P208" s="2"/>
      <c r="Q208" s="2"/>
      <c r="R208" s="2"/>
      <c r="S208" s="11"/>
      <c r="T208" s="8"/>
      <c r="U208" s="2"/>
      <c r="V208" s="2"/>
      <c r="W208" s="2"/>
      <c r="X208" s="2"/>
      <c r="Y208" s="2"/>
      <c r="Z208" s="2"/>
    </row>
    <row r="209" spans="1:26" ht="13" x14ac:dyDescent="0.6">
      <c r="A209" s="2"/>
      <c r="B209" s="2"/>
      <c r="C209" s="2"/>
      <c r="D209" s="9">
        <v>201909</v>
      </c>
      <c r="E209" s="39">
        <v>4372</v>
      </c>
      <c r="F209" s="27">
        <v>485844</v>
      </c>
      <c r="G209" s="27">
        <v>682661.39999999991</v>
      </c>
      <c r="H209" s="27">
        <v>196817.39999999991</v>
      </c>
      <c r="I209" s="2"/>
      <c r="J209" s="37">
        <v>10</v>
      </c>
      <c r="K209" s="27">
        <v>182357.90000000002</v>
      </c>
      <c r="L209" s="27">
        <v>381691.59999999986</v>
      </c>
      <c r="M209" s="2"/>
      <c r="N209" s="2"/>
      <c r="O209" s="2"/>
      <c r="P209" s="2"/>
      <c r="Q209" s="2"/>
      <c r="R209" s="2"/>
      <c r="S209" s="11"/>
      <c r="T209" s="8"/>
      <c r="U209" s="2"/>
      <c r="V209" s="2"/>
      <c r="W209" s="2"/>
      <c r="X209" s="2"/>
      <c r="Y209" s="2"/>
      <c r="Z209" s="2"/>
    </row>
    <row r="210" spans="1:26" ht="13" x14ac:dyDescent="0.6">
      <c r="A210" s="2"/>
      <c r="B210" s="2"/>
      <c r="C210" s="2"/>
      <c r="D210" s="9">
        <v>201910</v>
      </c>
      <c r="E210" s="39">
        <v>3762</v>
      </c>
      <c r="F210" s="27">
        <v>450504</v>
      </c>
      <c r="G210" s="27">
        <v>632861.9</v>
      </c>
      <c r="H210" s="27">
        <v>182357.90000000002</v>
      </c>
      <c r="I210" s="2"/>
      <c r="J210" s="37">
        <v>11</v>
      </c>
      <c r="K210" s="27">
        <v>525559.5</v>
      </c>
      <c r="L210" s="27">
        <v>461454.19999999995</v>
      </c>
      <c r="M210" s="2"/>
      <c r="N210" s="2"/>
      <c r="O210" s="2"/>
      <c r="P210" s="2"/>
      <c r="Q210" s="2"/>
      <c r="R210" s="2"/>
      <c r="S210" s="11"/>
      <c r="T210" s="8"/>
      <c r="U210" s="2"/>
      <c r="V210" s="2"/>
      <c r="W210" s="2"/>
      <c r="X210" s="2"/>
      <c r="Y210" s="2"/>
      <c r="Z210" s="2"/>
    </row>
    <row r="211" spans="1:26" ht="13" x14ac:dyDescent="0.6">
      <c r="A211" s="2"/>
      <c r="B211" s="2"/>
      <c r="C211" s="2"/>
      <c r="D211" s="9">
        <v>201911</v>
      </c>
      <c r="E211" s="39">
        <v>9090</v>
      </c>
      <c r="F211" s="27">
        <v>1295886</v>
      </c>
      <c r="G211" s="27">
        <v>1821445.5</v>
      </c>
      <c r="H211" s="27">
        <v>525559.5</v>
      </c>
      <c r="I211" s="2"/>
      <c r="J211" s="37">
        <v>12</v>
      </c>
      <c r="K211" s="27">
        <v>549785.54999999981</v>
      </c>
      <c r="L211" s="27">
        <v>586197.49999999977</v>
      </c>
      <c r="M211" s="2"/>
      <c r="N211" s="2"/>
      <c r="O211" s="2"/>
      <c r="P211" s="2"/>
      <c r="Q211" s="2"/>
      <c r="R211" s="2"/>
      <c r="S211" s="11"/>
      <c r="T211" s="8"/>
      <c r="U211" s="2"/>
      <c r="V211" s="2"/>
      <c r="W211" s="2"/>
      <c r="X211" s="2"/>
      <c r="Y211" s="2"/>
      <c r="Z211" s="2"/>
    </row>
    <row r="212" spans="1:26" ht="13" x14ac:dyDescent="0.6">
      <c r="A212" s="2"/>
      <c r="B212" s="2"/>
      <c r="C212" s="2"/>
      <c r="D212" s="9">
        <v>201912</v>
      </c>
      <c r="E212" s="39">
        <v>9769</v>
      </c>
      <c r="F212" s="27">
        <v>1355806</v>
      </c>
      <c r="G212" s="27">
        <v>1905591.5499999998</v>
      </c>
      <c r="H212" s="27">
        <v>549785.54999999981</v>
      </c>
      <c r="I212" s="2"/>
      <c r="J212" s="37">
        <v>13</v>
      </c>
      <c r="K212" s="27">
        <v>426573.05000000005</v>
      </c>
      <c r="L212" s="27">
        <v>393753.35000000009</v>
      </c>
      <c r="M212" s="2"/>
      <c r="N212" s="2"/>
      <c r="O212" s="2"/>
      <c r="P212" s="2"/>
      <c r="Q212" s="2"/>
      <c r="R212" s="2"/>
      <c r="S212" s="11"/>
      <c r="T212" s="8"/>
      <c r="U212" s="2"/>
      <c r="V212" s="2"/>
      <c r="W212" s="2"/>
      <c r="X212" s="2"/>
      <c r="Y212" s="2"/>
      <c r="Z212" s="2"/>
    </row>
    <row r="213" spans="1:26" ht="13" x14ac:dyDescent="0.6">
      <c r="A213" s="2"/>
      <c r="B213" s="2"/>
      <c r="C213" s="2"/>
      <c r="D213" s="9">
        <v>201913</v>
      </c>
      <c r="E213" s="39">
        <v>7239</v>
      </c>
      <c r="F213" s="27">
        <v>1052205</v>
      </c>
      <c r="G213" s="27">
        <v>1478778.05</v>
      </c>
      <c r="H213" s="27">
        <v>426573.05000000005</v>
      </c>
      <c r="I213" s="2"/>
      <c r="J213" s="37">
        <v>14</v>
      </c>
      <c r="K213" s="27">
        <v>403740.14999999991</v>
      </c>
      <c r="L213" s="27">
        <v>371123.19999999995</v>
      </c>
      <c r="M213" s="2"/>
      <c r="N213" s="2"/>
      <c r="O213" s="2"/>
      <c r="P213" s="2"/>
      <c r="Q213" s="2"/>
      <c r="R213" s="2"/>
      <c r="S213" s="11"/>
      <c r="T213" s="8"/>
      <c r="U213" s="2"/>
      <c r="V213" s="2"/>
      <c r="W213" s="2"/>
      <c r="X213" s="2"/>
      <c r="Y213" s="2"/>
      <c r="Z213" s="2"/>
    </row>
    <row r="214" spans="1:26" ht="13" x14ac:dyDescent="0.6">
      <c r="A214" s="2"/>
      <c r="B214" s="2"/>
      <c r="C214" s="2"/>
      <c r="D214" s="9">
        <v>201914</v>
      </c>
      <c r="E214" s="39">
        <v>6917</v>
      </c>
      <c r="F214" s="27">
        <v>995744</v>
      </c>
      <c r="G214" s="27">
        <v>1399484.15</v>
      </c>
      <c r="H214" s="27">
        <v>403740.14999999991</v>
      </c>
      <c r="I214" s="2"/>
      <c r="J214" s="37">
        <v>15</v>
      </c>
      <c r="K214" s="27">
        <v>206329.30000000005</v>
      </c>
      <c r="L214" s="27">
        <v>345409.69999999995</v>
      </c>
      <c r="M214" s="2"/>
      <c r="N214" s="2"/>
      <c r="O214" s="2"/>
      <c r="P214" s="2"/>
      <c r="Q214" s="2"/>
      <c r="R214" s="2"/>
      <c r="S214" s="11"/>
      <c r="T214" s="8"/>
      <c r="U214" s="2"/>
      <c r="V214" s="2"/>
      <c r="W214" s="2"/>
      <c r="X214" s="2"/>
      <c r="Y214" s="2"/>
      <c r="Z214" s="2"/>
    </row>
    <row r="215" spans="1:26" ht="13" x14ac:dyDescent="0.6">
      <c r="A215" s="2"/>
      <c r="B215" s="2"/>
      <c r="C215" s="2"/>
      <c r="D215" s="9">
        <v>201915</v>
      </c>
      <c r="E215" s="39">
        <v>3794</v>
      </c>
      <c r="F215" s="27">
        <v>509201</v>
      </c>
      <c r="G215" s="27">
        <v>715530.3</v>
      </c>
      <c r="H215" s="27">
        <v>206329.30000000005</v>
      </c>
      <c r="I215" s="2"/>
      <c r="J215" s="37">
        <v>16</v>
      </c>
      <c r="K215" s="27">
        <v>369968.39999999991</v>
      </c>
      <c r="L215" s="27">
        <v>2997270.1999999993</v>
      </c>
      <c r="M215" s="2"/>
      <c r="N215" s="2"/>
      <c r="O215" s="2"/>
      <c r="P215" s="2"/>
      <c r="Q215" s="2"/>
      <c r="R215" s="2"/>
      <c r="S215" s="11"/>
      <c r="T215" s="8"/>
      <c r="U215" s="2"/>
      <c r="V215" s="2"/>
      <c r="W215" s="2"/>
      <c r="X215" s="2"/>
      <c r="Y215" s="2"/>
      <c r="Z215" s="2"/>
    </row>
    <row r="216" spans="1:26" ht="13" x14ac:dyDescent="0.6">
      <c r="A216" s="2"/>
      <c r="B216" s="2"/>
      <c r="C216" s="2"/>
      <c r="D216" s="9">
        <v>201916</v>
      </c>
      <c r="E216" s="39">
        <v>5732</v>
      </c>
      <c r="F216" s="27">
        <v>914395</v>
      </c>
      <c r="G216" s="27">
        <v>1284363.3999999999</v>
      </c>
      <c r="H216" s="27">
        <v>369968.39999999991</v>
      </c>
      <c r="I216" s="2"/>
      <c r="J216" s="37">
        <v>17</v>
      </c>
      <c r="K216" s="27">
        <v>321887.19999999995</v>
      </c>
      <c r="L216" s="27">
        <v>-10375.25</v>
      </c>
      <c r="M216" s="2"/>
      <c r="N216" s="2"/>
      <c r="O216" s="2"/>
      <c r="P216" s="2"/>
      <c r="Q216" s="2"/>
      <c r="R216" s="2"/>
      <c r="S216" s="8"/>
      <c r="T216" s="8"/>
      <c r="U216" s="2"/>
      <c r="V216" s="2"/>
      <c r="W216" s="2"/>
      <c r="X216" s="2"/>
      <c r="Y216" s="2"/>
      <c r="Z216" s="2"/>
    </row>
    <row r="217" spans="1:26" ht="13" x14ac:dyDescent="0.6">
      <c r="A217" s="2"/>
      <c r="B217" s="2"/>
      <c r="C217" s="2"/>
      <c r="D217" s="9">
        <v>201917</v>
      </c>
      <c r="E217" s="39">
        <v>4956</v>
      </c>
      <c r="F217" s="27">
        <v>795475</v>
      </c>
      <c r="G217" s="27">
        <v>1117362.2</v>
      </c>
      <c r="H217" s="27">
        <v>321887.19999999995</v>
      </c>
      <c r="I217" s="2"/>
      <c r="J217" s="37">
        <v>18</v>
      </c>
      <c r="K217" s="27">
        <v>295413.34999999998</v>
      </c>
      <c r="L217" s="27">
        <v>325403.69999999995</v>
      </c>
      <c r="M217" s="2"/>
      <c r="N217" s="2"/>
      <c r="O217" s="2"/>
      <c r="P217" s="2"/>
      <c r="Q217" s="2"/>
      <c r="R217" s="2"/>
      <c r="S217" s="11"/>
      <c r="T217" s="8"/>
      <c r="U217" s="2"/>
      <c r="V217" s="2"/>
      <c r="W217" s="2"/>
      <c r="X217" s="2"/>
      <c r="Y217" s="2"/>
      <c r="Z217" s="2"/>
    </row>
    <row r="218" spans="1:26" ht="13" x14ac:dyDescent="0.6">
      <c r="A218" s="2"/>
      <c r="B218" s="2"/>
      <c r="C218" s="2"/>
      <c r="D218" s="9">
        <v>201918</v>
      </c>
      <c r="E218" s="39">
        <v>4653</v>
      </c>
      <c r="F218" s="27">
        <v>729934</v>
      </c>
      <c r="G218" s="27">
        <v>1025347.35</v>
      </c>
      <c r="H218" s="27">
        <v>295413.34999999998</v>
      </c>
      <c r="I218" s="2"/>
      <c r="J218" s="37">
        <v>19</v>
      </c>
      <c r="K218" s="27">
        <v>284078.95000000007</v>
      </c>
      <c r="L218" s="27">
        <v>368462.75</v>
      </c>
      <c r="M218" s="2"/>
      <c r="N218" s="2"/>
      <c r="O218" s="2"/>
      <c r="P218" s="2"/>
      <c r="Q218" s="2"/>
      <c r="R218" s="2"/>
      <c r="S218" s="11"/>
      <c r="T218" s="8"/>
      <c r="U218" s="2"/>
      <c r="V218" s="2"/>
      <c r="W218" s="2"/>
      <c r="X218" s="2"/>
      <c r="Y218" s="2"/>
      <c r="Z218" s="2"/>
    </row>
    <row r="219" spans="1:26" ht="13" x14ac:dyDescent="0.6">
      <c r="A219" s="2"/>
      <c r="B219" s="2"/>
      <c r="C219" s="2"/>
      <c r="D219" s="9">
        <v>201919</v>
      </c>
      <c r="E219" s="39">
        <v>4581</v>
      </c>
      <c r="F219" s="27">
        <v>701862</v>
      </c>
      <c r="G219" s="27">
        <v>985940.95000000007</v>
      </c>
      <c r="H219" s="27">
        <v>284078.95000000007</v>
      </c>
      <c r="I219" s="2"/>
      <c r="J219" s="37">
        <v>20</v>
      </c>
      <c r="K219" s="27">
        <v>298769.69999999995</v>
      </c>
      <c r="L219" s="27">
        <v>358755.64999999991</v>
      </c>
      <c r="M219" s="2"/>
      <c r="N219" s="2"/>
      <c r="O219" s="2"/>
      <c r="P219" s="2"/>
      <c r="Q219" s="2"/>
      <c r="R219" s="2"/>
      <c r="S219" s="11"/>
      <c r="T219" s="8"/>
      <c r="U219" s="2"/>
      <c r="V219" s="2"/>
      <c r="W219" s="2"/>
      <c r="X219" s="2"/>
      <c r="Y219" s="2"/>
      <c r="Z219" s="2"/>
    </row>
    <row r="220" spans="1:26" ht="13" x14ac:dyDescent="0.6">
      <c r="A220" s="2"/>
      <c r="B220" s="2"/>
      <c r="C220" s="2"/>
      <c r="D220" s="9">
        <v>201920</v>
      </c>
      <c r="E220" s="39">
        <v>4826</v>
      </c>
      <c r="F220" s="27">
        <v>738119</v>
      </c>
      <c r="G220" s="27">
        <v>1036888.7</v>
      </c>
      <c r="H220" s="27">
        <v>298769.69999999995</v>
      </c>
      <c r="I220" s="2"/>
      <c r="J220" s="37">
        <v>21</v>
      </c>
      <c r="K220" s="27">
        <v>295401.55000000005</v>
      </c>
      <c r="L220" s="27">
        <v>359005.29999999981</v>
      </c>
      <c r="M220" s="2"/>
      <c r="N220" s="2"/>
      <c r="O220" s="2"/>
      <c r="P220" s="2"/>
      <c r="Q220" s="2"/>
      <c r="R220" s="2"/>
      <c r="S220" s="11"/>
      <c r="T220" s="8"/>
      <c r="U220" s="2"/>
      <c r="V220" s="2"/>
      <c r="W220" s="2"/>
      <c r="X220" s="2"/>
      <c r="Y220" s="2"/>
      <c r="Z220" s="2"/>
    </row>
    <row r="221" spans="1:26" ht="13" x14ac:dyDescent="0.6">
      <c r="A221" s="2"/>
      <c r="B221" s="2"/>
      <c r="C221" s="2"/>
      <c r="D221" s="9">
        <v>201921</v>
      </c>
      <c r="E221" s="39">
        <v>4889</v>
      </c>
      <c r="F221" s="27">
        <v>729684</v>
      </c>
      <c r="G221" s="27">
        <v>1025085.55</v>
      </c>
      <c r="H221" s="27">
        <v>295401.55000000005</v>
      </c>
      <c r="I221" s="2"/>
      <c r="J221" s="37">
        <v>22</v>
      </c>
      <c r="K221" s="27">
        <v>309139.30000000005</v>
      </c>
      <c r="L221" s="27">
        <v>333665.44999999995</v>
      </c>
      <c r="M221" s="2"/>
      <c r="N221" s="2"/>
      <c r="O221" s="2"/>
      <c r="P221" s="2"/>
      <c r="Q221" s="2"/>
      <c r="R221" s="2"/>
      <c r="S221" s="11"/>
      <c r="T221" s="8"/>
      <c r="U221" s="2"/>
      <c r="V221" s="2"/>
      <c r="W221" s="2"/>
      <c r="X221" s="2"/>
      <c r="Y221" s="2"/>
      <c r="Z221" s="2"/>
    </row>
    <row r="222" spans="1:26" ht="13" x14ac:dyDescent="0.6">
      <c r="A222" s="2"/>
      <c r="B222" s="2"/>
      <c r="C222" s="2"/>
      <c r="D222" s="9">
        <v>201922</v>
      </c>
      <c r="E222" s="39">
        <v>4994</v>
      </c>
      <c r="F222" s="27">
        <v>763761</v>
      </c>
      <c r="G222" s="27">
        <v>1072900.3</v>
      </c>
      <c r="H222" s="27">
        <v>309139.30000000005</v>
      </c>
      <c r="I222" s="2"/>
      <c r="J222" s="37">
        <v>23</v>
      </c>
      <c r="K222" s="27">
        <v>293710.94999999995</v>
      </c>
      <c r="L222" s="27">
        <v>338685.60000000009</v>
      </c>
      <c r="M222" s="2"/>
      <c r="N222" s="2"/>
      <c r="O222" s="2"/>
      <c r="P222" s="2"/>
      <c r="Q222" s="2"/>
      <c r="R222" s="2"/>
      <c r="S222" s="11"/>
      <c r="T222" s="8"/>
      <c r="U222" s="2"/>
      <c r="V222" s="2"/>
      <c r="W222" s="2"/>
      <c r="X222" s="2"/>
      <c r="Y222" s="2"/>
      <c r="Z222" s="2"/>
    </row>
    <row r="223" spans="1:26" ht="13" x14ac:dyDescent="0.6">
      <c r="A223" s="2"/>
      <c r="B223" s="2"/>
      <c r="C223" s="2"/>
      <c r="D223" s="9">
        <v>201923</v>
      </c>
      <c r="E223" s="39">
        <v>4621</v>
      </c>
      <c r="F223" s="27">
        <v>725728</v>
      </c>
      <c r="G223" s="27">
        <v>1019438.95</v>
      </c>
      <c r="H223" s="27">
        <v>293710.94999999995</v>
      </c>
      <c r="I223" s="2"/>
      <c r="J223" s="37">
        <v>24</v>
      </c>
      <c r="K223" s="27">
        <v>261416.94999999995</v>
      </c>
      <c r="L223" s="27">
        <v>380009</v>
      </c>
      <c r="M223" s="2"/>
      <c r="N223" s="2"/>
      <c r="O223" s="2"/>
      <c r="P223" s="2"/>
      <c r="Q223" s="2"/>
      <c r="R223" s="2"/>
      <c r="S223" s="11"/>
      <c r="T223" s="8"/>
      <c r="U223" s="2"/>
      <c r="V223" s="2"/>
      <c r="W223" s="2"/>
      <c r="X223" s="2"/>
      <c r="Y223" s="2"/>
      <c r="Z223" s="2"/>
    </row>
    <row r="224" spans="1:26" ht="13" x14ac:dyDescent="0.6">
      <c r="A224" s="2"/>
      <c r="B224" s="2"/>
      <c r="C224" s="2"/>
      <c r="D224" s="9">
        <v>201924</v>
      </c>
      <c r="E224" s="39">
        <v>3781</v>
      </c>
      <c r="F224" s="27">
        <v>645854</v>
      </c>
      <c r="G224" s="27">
        <v>907270.95</v>
      </c>
      <c r="H224" s="27">
        <v>261416.94999999995</v>
      </c>
      <c r="I224" s="2"/>
      <c r="J224" s="37">
        <v>25</v>
      </c>
      <c r="K224" s="27">
        <v>318457.54999999981</v>
      </c>
      <c r="L224" s="27">
        <v>387163.34999999986</v>
      </c>
      <c r="M224" s="2"/>
      <c r="N224" s="2"/>
      <c r="O224" s="2"/>
      <c r="P224" s="2"/>
      <c r="Q224" s="2"/>
      <c r="R224" s="2"/>
      <c r="S224" s="11"/>
      <c r="T224" s="8"/>
      <c r="U224" s="2"/>
      <c r="V224" s="2"/>
      <c r="W224" s="2"/>
      <c r="X224" s="2"/>
      <c r="Y224" s="2"/>
      <c r="Z224" s="2"/>
    </row>
    <row r="225" spans="1:26" ht="13" x14ac:dyDescent="0.6">
      <c r="A225" s="2"/>
      <c r="B225" s="2"/>
      <c r="C225" s="2"/>
      <c r="D225" s="9">
        <v>201925</v>
      </c>
      <c r="E225" s="39">
        <v>5029</v>
      </c>
      <c r="F225" s="27">
        <v>786121</v>
      </c>
      <c r="G225" s="27">
        <v>1104578.5499999998</v>
      </c>
      <c r="H225" s="27">
        <v>318457.54999999981</v>
      </c>
      <c r="I225" s="2"/>
      <c r="J225" s="37">
        <v>26</v>
      </c>
      <c r="K225" s="27">
        <v>350341.5</v>
      </c>
      <c r="L225" s="27">
        <v>386218.34999999963</v>
      </c>
      <c r="M225" s="2"/>
      <c r="N225" s="2"/>
      <c r="O225" s="2"/>
      <c r="P225" s="2"/>
      <c r="Q225" s="2"/>
      <c r="R225" s="2"/>
      <c r="S225" s="11"/>
      <c r="T225" s="8"/>
      <c r="U225" s="2"/>
      <c r="V225" s="2"/>
      <c r="W225" s="2"/>
      <c r="X225" s="2"/>
      <c r="Y225" s="2"/>
      <c r="Z225" s="2"/>
    </row>
    <row r="226" spans="1:26" ht="13" x14ac:dyDescent="0.6">
      <c r="A226" s="2"/>
      <c r="B226" s="2"/>
      <c r="C226" s="2"/>
      <c r="D226" s="9">
        <v>201926</v>
      </c>
      <c r="E226" s="39">
        <v>5950</v>
      </c>
      <c r="F226" s="27">
        <v>863491</v>
      </c>
      <c r="G226" s="27">
        <v>1213832.5</v>
      </c>
      <c r="H226" s="27">
        <v>350341.5</v>
      </c>
      <c r="I226" s="2"/>
      <c r="J226" s="37">
        <v>27</v>
      </c>
      <c r="K226" s="27">
        <v>314198.14999999991</v>
      </c>
      <c r="L226" s="27">
        <v>374761.80000000005</v>
      </c>
      <c r="M226" s="2"/>
      <c r="N226" s="2"/>
      <c r="O226" s="2"/>
      <c r="P226" s="2"/>
      <c r="Q226" s="2"/>
      <c r="R226" s="2"/>
      <c r="S226" s="11"/>
      <c r="T226" s="8"/>
      <c r="U226" s="2"/>
      <c r="V226" s="2"/>
      <c r="W226" s="2"/>
      <c r="X226" s="2"/>
      <c r="Y226" s="2"/>
      <c r="Z226" s="2"/>
    </row>
    <row r="227" spans="1:26" ht="13" x14ac:dyDescent="0.6">
      <c r="A227" s="2"/>
      <c r="B227" s="2"/>
      <c r="C227" s="2"/>
      <c r="D227" s="9">
        <v>201927</v>
      </c>
      <c r="E227" s="39">
        <v>5137</v>
      </c>
      <c r="F227" s="27">
        <v>774985</v>
      </c>
      <c r="G227" s="27">
        <v>1089183.1499999999</v>
      </c>
      <c r="H227" s="27">
        <v>314198.14999999991</v>
      </c>
      <c r="I227" s="2"/>
      <c r="J227" s="37">
        <v>28</v>
      </c>
      <c r="K227" s="27">
        <v>293788</v>
      </c>
      <c r="L227" s="27">
        <v>380804.09999999986</v>
      </c>
      <c r="M227" s="2"/>
      <c r="N227" s="2"/>
      <c r="O227" s="2"/>
      <c r="P227" s="2"/>
      <c r="Q227" s="2"/>
      <c r="R227" s="2"/>
      <c r="S227" s="11"/>
      <c r="T227" s="8"/>
      <c r="U227" s="2"/>
      <c r="V227" s="2"/>
      <c r="W227" s="2"/>
      <c r="X227" s="2"/>
      <c r="Y227" s="2"/>
      <c r="Z227" s="2"/>
    </row>
    <row r="228" spans="1:26" ht="13" x14ac:dyDescent="0.6">
      <c r="A228" s="2"/>
      <c r="B228" s="2"/>
      <c r="C228" s="2"/>
      <c r="D228" s="9">
        <v>201928</v>
      </c>
      <c r="E228" s="39">
        <v>4220</v>
      </c>
      <c r="F228" s="27">
        <v>726361</v>
      </c>
      <c r="G228" s="27">
        <v>1020149</v>
      </c>
      <c r="H228" s="27">
        <v>293788</v>
      </c>
      <c r="I228" s="2"/>
      <c r="J228" s="37">
        <v>29</v>
      </c>
      <c r="K228" s="27">
        <v>375378.64999999991</v>
      </c>
      <c r="L228" s="27">
        <v>367057.89999999991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6">
      <c r="A229" s="2"/>
      <c r="B229" s="2"/>
      <c r="C229" s="2"/>
      <c r="D229" s="9">
        <v>201929</v>
      </c>
      <c r="E229" s="39">
        <v>6927</v>
      </c>
      <c r="F229" s="27">
        <v>924435</v>
      </c>
      <c r="G229" s="27">
        <v>1299813.6499999999</v>
      </c>
      <c r="H229" s="27">
        <v>375378.64999999991</v>
      </c>
      <c r="I229" s="2"/>
      <c r="J229" s="37">
        <v>30</v>
      </c>
      <c r="K229" s="27">
        <v>369027.30000000005</v>
      </c>
      <c r="L229" s="27">
        <v>398093.55000000005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6">
      <c r="A230" s="2"/>
      <c r="B230" s="2"/>
      <c r="C230" s="2"/>
      <c r="D230" s="9">
        <v>201930</v>
      </c>
      <c r="E230" s="39">
        <v>6834</v>
      </c>
      <c r="F230" s="27">
        <v>909131</v>
      </c>
      <c r="G230" s="27">
        <v>1278158.3</v>
      </c>
      <c r="H230" s="27">
        <v>369027.30000000005</v>
      </c>
      <c r="I230" s="2"/>
      <c r="J230" s="37">
        <v>31</v>
      </c>
      <c r="K230" s="27">
        <v>376216.39999999991</v>
      </c>
      <c r="L230" s="27">
        <v>261024.65000000002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6">
      <c r="A231" s="2"/>
      <c r="B231" s="2"/>
      <c r="C231" s="2"/>
      <c r="D231" s="9">
        <v>201931</v>
      </c>
      <c r="E231" s="39">
        <v>6552</v>
      </c>
      <c r="F231" s="27">
        <v>927796</v>
      </c>
      <c r="G231" s="27">
        <v>1304012.3999999999</v>
      </c>
      <c r="H231" s="27">
        <v>376216.39999999991</v>
      </c>
      <c r="I231" s="2"/>
      <c r="J231" s="37">
        <v>32</v>
      </c>
      <c r="K231" s="27">
        <v>367964.09999999986</v>
      </c>
      <c r="L231" s="27">
        <v>322793.64999999991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6">
      <c r="A232" s="2"/>
      <c r="B232" s="2"/>
      <c r="C232" s="2"/>
      <c r="D232" s="9">
        <v>201932</v>
      </c>
      <c r="E232" s="39">
        <v>6358</v>
      </c>
      <c r="F232" s="27">
        <v>907318</v>
      </c>
      <c r="G232" s="27">
        <v>1275282.0999999999</v>
      </c>
      <c r="H232" s="27">
        <v>367964.09999999986</v>
      </c>
      <c r="I232" s="2"/>
      <c r="J232" s="37">
        <v>33</v>
      </c>
      <c r="K232" s="27">
        <v>442550.60000000009</v>
      </c>
      <c r="L232" s="27">
        <v>572160.25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6">
      <c r="A233" s="2"/>
      <c r="B233" s="2"/>
      <c r="C233" s="2"/>
      <c r="D233" s="9">
        <v>201933</v>
      </c>
      <c r="E233" s="39">
        <v>8168</v>
      </c>
      <c r="F233" s="27">
        <v>1089541</v>
      </c>
      <c r="G233" s="27">
        <v>1532091.6</v>
      </c>
      <c r="H233" s="27">
        <v>442550.60000000009</v>
      </c>
      <c r="I233" s="2"/>
      <c r="J233" s="37">
        <v>34</v>
      </c>
      <c r="K233" s="27">
        <v>473751.80000000005</v>
      </c>
      <c r="L233" s="27">
        <v>608577.44999999972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6">
      <c r="A234" s="2"/>
      <c r="B234" s="2"/>
      <c r="C234" s="2"/>
      <c r="D234" s="9">
        <v>201934</v>
      </c>
      <c r="E234" s="39">
        <v>8524</v>
      </c>
      <c r="F234" s="27">
        <v>1166962</v>
      </c>
      <c r="G234" s="27">
        <v>1640713.8</v>
      </c>
      <c r="H234" s="27">
        <v>473751.80000000005</v>
      </c>
      <c r="I234" s="2"/>
      <c r="J234" s="37">
        <v>35</v>
      </c>
      <c r="K234" s="27">
        <v>788406.50000000047</v>
      </c>
      <c r="L234" s="27">
        <v>1247826.6500000004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6">
      <c r="A235" s="2"/>
      <c r="B235" s="2"/>
      <c r="C235" s="2"/>
      <c r="D235" s="9">
        <v>201935</v>
      </c>
      <c r="E235" s="39">
        <v>13810</v>
      </c>
      <c r="F235" s="27">
        <v>1943823</v>
      </c>
      <c r="G235" s="27">
        <v>2732229.5000000005</v>
      </c>
      <c r="H235" s="27">
        <v>788406.50000000047</v>
      </c>
      <c r="I235" s="2"/>
      <c r="J235" s="37">
        <v>36</v>
      </c>
      <c r="K235" s="27">
        <v>1469811.5999999996</v>
      </c>
      <c r="L235" s="27">
        <v>3601040.0999999996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6">
      <c r="A236" s="2"/>
      <c r="B236" s="2"/>
      <c r="C236" s="2"/>
      <c r="D236" s="9">
        <v>201936</v>
      </c>
      <c r="E236" s="39">
        <v>25748</v>
      </c>
      <c r="F236" s="27">
        <v>3622211</v>
      </c>
      <c r="G236" s="27">
        <v>5092022.5999999996</v>
      </c>
      <c r="H236" s="27">
        <v>1469811.5999999996</v>
      </c>
      <c r="I236" s="2"/>
      <c r="J236" s="37">
        <v>37</v>
      </c>
      <c r="K236" s="27">
        <v>1637549.75</v>
      </c>
      <c r="L236" s="27">
        <v>1471299.5999999996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6">
      <c r="A237" s="2"/>
      <c r="B237" s="2"/>
      <c r="C237" s="2"/>
      <c r="D237" s="9">
        <v>201937</v>
      </c>
      <c r="E237" s="39">
        <v>29545</v>
      </c>
      <c r="F237" s="27">
        <v>4031723</v>
      </c>
      <c r="G237" s="27">
        <v>5669272.75</v>
      </c>
      <c r="H237" s="27">
        <v>1637549.75</v>
      </c>
      <c r="I237" s="2"/>
      <c r="J237" s="37">
        <v>38</v>
      </c>
      <c r="K237" s="27">
        <v>2143030.5999999996</v>
      </c>
      <c r="L237" s="27">
        <v>1997788.5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6">
      <c r="A238" s="2"/>
      <c r="B238" s="2"/>
      <c r="C238" s="2"/>
      <c r="D238" s="9">
        <v>201938</v>
      </c>
      <c r="E238" s="39">
        <v>38368</v>
      </c>
      <c r="F238" s="27">
        <v>5273951</v>
      </c>
      <c r="G238" s="27">
        <v>7416981.5999999996</v>
      </c>
      <c r="H238" s="27">
        <v>2143030.5999999996</v>
      </c>
      <c r="I238" s="2"/>
      <c r="J238" s="37">
        <v>39</v>
      </c>
      <c r="K238" s="27">
        <v>1742605.0999999996</v>
      </c>
      <c r="L238" s="27">
        <v>2141245.6500000004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6">
      <c r="A239" s="2"/>
      <c r="B239" s="2"/>
      <c r="C239" s="2"/>
      <c r="D239" s="9">
        <v>201939</v>
      </c>
      <c r="E239" s="39">
        <v>32138</v>
      </c>
      <c r="F239" s="27">
        <v>4286208</v>
      </c>
      <c r="G239" s="27">
        <v>6028813.0999999996</v>
      </c>
      <c r="H239" s="27">
        <v>1742605.0999999996</v>
      </c>
      <c r="I239" s="2"/>
      <c r="J239" s="37">
        <v>40</v>
      </c>
      <c r="K239" s="27">
        <v>620614.69999999972</v>
      </c>
      <c r="L239" s="27">
        <v>467379.89999999991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6">
      <c r="A240" s="2"/>
      <c r="B240" s="2"/>
      <c r="C240" s="2"/>
      <c r="D240" s="9">
        <v>201940</v>
      </c>
      <c r="E240" s="39">
        <v>11246</v>
      </c>
      <c r="F240" s="27">
        <v>1527933</v>
      </c>
      <c r="G240" s="27">
        <v>2148547.6999999997</v>
      </c>
      <c r="H240" s="27">
        <v>620614.69999999972</v>
      </c>
      <c r="I240" s="2"/>
      <c r="J240" s="37">
        <v>41</v>
      </c>
      <c r="K240" s="27">
        <v>386366.40000000014</v>
      </c>
      <c r="L240" s="27">
        <v>338084.60000000009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6">
      <c r="A241" s="2"/>
      <c r="B241" s="2"/>
      <c r="C241" s="2"/>
      <c r="D241" s="9">
        <v>201941</v>
      </c>
      <c r="E241" s="39">
        <v>7092</v>
      </c>
      <c r="F241" s="27">
        <v>950519</v>
      </c>
      <c r="G241" s="27">
        <v>1336885.4000000001</v>
      </c>
      <c r="H241" s="27">
        <v>386366.40000000014</v>
      </c>
      <c r="I241" s="2"/>
      <c r="J241" s="37">
        <v>42</v>
      </c>
      <c r="K241" s="27">
        <v>350583.84999999986</v>
      </c>
      <c r="L241" s="27">
        <v>316103.29999999981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6">
      <c r="A242" s="2"/>
      <c r="B242" s="2"/>
      <c r="C242" s="2"/>
      <c r="D242" s="9">
        <v>201942</v>
      </c>
      <c r="E242" s="39">
        <v>6563</v>
      </c>
      <c r="F242" s="27">
        <v>862678</v>
      </c>
      <c r="G242" s="27">
        <v>1213261.8499999999</v>
      </c>
      <c r="H242" s="27">
        <v>350583.84999999986</v>
      </c>
      <c r="I242" s="2"/>
      <c r="J242" s="37">
        <v>43</v>
      </c>
      <c r="K242" s="27">
        <v>349892.25</v>
      </c>
      <c r="L242" s="27">
        <v>276456.65000000002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6">
      <c r="A243" s="2"/>
      <c r="B243" s="2"/>
      <c r="C243" s="2"/>
      <c r="D243" s="9">
        <v>201943</v>
      </c>
      <c r="E243" s="39">
        <v>6475</v>
      </c>
      <c r="F243" s="27">
        <v>861334</v>
      </c>
      <c r="G243" s="27">
        <v>1211226.25</v>
      </c>
      <c r="H243" s="27">
        <v>349892.25</v>
      </c>
      <c r="I243" s="2"/>
      <c r="J243" s="37">
        <v>44</v>
      </c>
      <c r="K243" s="27">
        <v>358197.94999999995</v>
      </c>
      <c r="L243" s="27">
        <v>266791.75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6">
      <c r="A244" s="2"/>
      <c r="B244" s="2"/>
      <c r="C244" s="2"/>
      <c r="D244" s="9">
        <v>201944</v>
      </c>
      <c r="E244" s="39">
        <v>6601</v>
      </c>
      <c r="F244" s="27">
        <v>881852</v>
      </c>
      <c r="G244" s="27">
        <v>1240049.95</v>
      </c>
      <c r="H244" s="27">
        <v>358197.94999999995</v>
      </c>
      <c r="I244" s="2"/>
      <c r="J244" s="37">
        <v>45</v>
      </c>
      <c r="K244" s="27">
        <v>372611.85000000009</v>
      </c>
      <c r="L244" s="27">
        <v>343591.59999999986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6">
      <c r="A245" s="2"/>
      <c r="B245" s="2"/>
      <c r="C245" s="2"/>
      <c r="D245" s="9">
        <v>201945</v>
      </c>
      <c r="E245" s="39">
        <v>6863</v>
      </c>
      <c r="F245" s="27">
        <v>917385</v>
      </c>
      <c r="G245" s="27">
        <v>1289996.8500000001</v>
      </c>
      <c r="H245" s="27">
        <v>372611.85000000009</v>
      </c>
      <c r="I245" s="2"/>
      <c r="J245" s="37">
        <v>46</v>
      </c>
      <c r="K245" s="27">
        <v>418608.05000000005</v>
      </c>
      <c r="L245" s="27">
        <v>423132.55000000005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6">
      <c r="A246" s="2"/>
      <c r="B246" s="2"/>
      <c r="C246" s="2"/>
      <c r="D246" s="9">
        <v>201946</v>
      </c>
      <c r="E246" s="39">
        <v>7799</v>
      </c>
      <c r="F246" s="27">
        <v>1030452</v>
      </c>
      <c r="G246" s="27">
        <v>1449060.05</v>
      </c>
      <c r="H246" s="27">
        <v>418608.05000000005</v>
      </c>
      <c r="I246" s="2"/>
      <c r="J246" s="37">
        <v>47</v>
      </c>
      <c r="K246" s="27">
        <v>401121.80000000005</v>
      </c>
      <c r="L246" s="27">
        <v>468450.44999999972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6">
      <c r="A247" s="2"/>
      <c r="B247" s="2"/>
      <c r="C247" s="2"/>
      <c r="D247" s="9">
        <v>201947</v>
      </c>
      <c r="E247" s="39">
        <v>7544</v>
      </c>
      <c r="F247" s="27">
        <v>987381</v>
      </c>
      <c r="G247" s="27">
        <v>1388502.8</v>
      </c>
      <c r="H247" s="27">
        <v>401121.80000000005</v>
      </c>
      <c r="I247" s="2"/>
      <c r="J247" s="37">
        <v>48</v>
      </c>
      <c r="K247" s="27">
        <v>346844.09999999986</v>
      </c>
      <c r="L247" s="27">
        <v>396841.54999999981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6">
      <c r="A248" s="2"/>
      <c r="B248" s="2"/>
      <c r="C248" s="2"/>
      <c r="D248" s="9">
        <v>201948</v>
      </c>
      <c r="E248" s="39">
        <v>6658</v>
      </c>
      <c r="F248" s="27">
        <v>853683</v>
      </c>
      <c r="G248" s="27">
        <v>1200527.0999999999</v>
      </c>
      <c r="H248" s="27">
        <v>346844.09999999986</v>
      </c>
      <c r="I248" s="2"/>
      <c r="J248" s="37">
        <v>49</v>
      </c>
      <c r="K248" s="27">
        <v>368946.54999999981</v>
      </c>
      <c r="L248" s="27">
        <v>435675.04999999981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6">
      <c r="A249" s="2"/>
      <c r="B249" s="2"/>
      <c r="C249" s="2"/>
      <c r="D249" s="9">
        <v>201949</v>
      </c>
      <c r="E249" s="39">
        <v>6969</v>
      </c>
      <c r="F249" s="27">
        <v>908225</v>
      </c>
      <c r="G249" s="27">
        <v>1277171.5499999998</v>
      </c>
      <c r="H249" s="27">
        <v>368946.54999999981</v>
      </c>
      <c r="I249" s="2"/>
      <c r="J249" s="37">
        <v>50</v>
      </c>
      <c r="K249" s="27">
        <v>386494.19999999972</v>
      </c>
      <c r="L249" s="27">
        <v>437341.44999999972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6">
      <c r="A250" s="2"/>
      <c r="B250" s="2"/>
      <c r="C250" s="2"/>
      <c r="D250" s="9">
        <v>201950</v>
      </c>
      <c r="E250" s="39">
        <v>7276</v>
      </c>
      <c r="F250" s="27">
        <v>951342</v>
      </c>
      <c r="G250" s="27">
        <v>1337836.1999999997</v>
      </c>
      <c r="H250" s="27">
        <v>386494.19999999972</v>
      </c>
      <c r="I250" s="2"/>
      <c r="J250" s="37">
        <v>51</v>
      </c>
      <c r="K250" s="27">
        <v>375523</v>
      </c>
      <c r="L250" s="27">
        <v>386022.54999999981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6">
      <c r="A251" s="2"/>
      <c r="B251" s="2"/>
      <c r="C251" s="2"/>
      <c r="D251" s="9">
        <v>201951</v>
      </c>
      <c r="E251" s="39">
        <v>6900</v>
      </c>
      <c r="F251" s="27">
        <v>924762</v>
      </c>
      <c r="G251" s="27">
        <v>1300285</v>
      </c>
      <c r="H251" s="27">
        <v>375523</v>
      </c>
      <c r="I251" s="2"/>
      <c r="J251" s="37">
        <v>52</v>
      </c>
      <c r="K251" s="27">
        <v>354533.64999999991</v>
      </c>
      <c r="L251" s="27">
        <v>370821.60000000009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6">
      <c r="A252" s="2"/>
      <c r="B252" s="2"/>
      <c r="C252" s="2"/>
      <c r="D252" s="9">
        <v>201952</v>
      </c>
      <c r="E252" s="39">
        <v>6747</v>
      </c>
      <c r="F252" s="27">
        <v>872619</v>
      </c>
      <c r="G252" s="27">
        <v>1227152.6499999999</v>
      </c>
      <c r="H252" s="27">
        <v>354533.64999999991</v>
      </c>
      <c r="I252" s="2"/>
      <c r="J252" s="37">
        <v>53</v>
      </c>
      <c r="K252" s="38">
        <v>0</v>
      </c>
      <c r="L252" s="17">
        <v>354882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6">
      <c r="A253" s="2"/>
      <c r="B253" s="2"/>
      <c r="C253" s="2"/>
      <c r="D253" s="9">
        <v>202001</v>
      </c>
      <c r="E253" s="39">
        <v>6752</v>
      </c>
      <c r="F253" s="27">
        <v>871339</v>
      </c>
      <c r="G253" s="27">
        <v>1225342.3999999999</v>
      </c>
      <c r="H253" s="27">
        <v>354003.39999999991</v>
      </c>
      <c r="I253" s="2"/>
      <c r="J253" s="9"/>
      <c r="K253" s="27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6">
      <c r="A254" s="2"/>
      <c r="B254" s="2"/>
      <c r="C254" s="2"/>
      <c r="D254" s="9">
        <v>202002</v>
      </c>
      <c r="E254" s="39">
        <v>6617</v>
      </c>
      <c r="F254" s="27">
        <v>874112</v>
      </c>
      <c r="G254" s="27">
        <v>1229219.1499999999</v>
      </c>
      <c r="H254" s="27">
        <v>355107.14999999991</v>
      </c>
      <c r="I254" s="2"/>
      <c r="J254" s="9"/>
      <c r="K254" s="27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6">
      <c r="A255" s="2"/>
      <c r="B255" s="2"/>
      <c r="C255" s="2"/>
      <c r="D255" s="9">
        <v>202003</v>
      </c>
      <c r="E255" s="39">
        <v>5595</v>
      </c>
      <c r="F255" s="27">
        <v>715203</v>
      </c>
      <c r="G255" s="27">
        <v>1005890.25</v>
      </c>
      <c r="H255" s="27">
        <v>290687.25</v>
      </c>
      <c r="I255" s="2"/>
      <c r="J255" s="9"/>
      <c r="K255" s="27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6">
      <c r="A256" s="2"/>
      <c r="B256" s="2"/>
      <c r="C256" s="2"/>
      <c r="D256" s="9">
        <v>202004</v>
      </c>
      <c r="E256" s="39">
        <v>5941</v>
      </c>
      <c r="F256" s="27">
        <v>769047</v>
      </c>
      <c r="G256" s="27">
        <v>1081582.95</v>
      </c>
      <c r="H256" s="27">
        <v>312535.94999999995</v>
      </c>
      <c r="I256" s="2"/>
      <c r="J256" s="9"/>
      <c r="K256" s="27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6">
      <c r="A257" s="2"/>
      <c r="B257" s="2"/>
      <c r="C257" s="2"/>
      <c r="D257" s="9">
        <v>202005</v>
      </c>
      <c r="E257" s="39">
        <v>6300</v>
      </c>
      <c r="F257" s="27">
        <v>833001</v>
      </c>
      <c r="G257" s="27">
        <v>1171425</v>
      </c>
      <c r="H257" s="27">
        <v>338424</v>
      </c>
      <c r="I257" s="2"/>
      <c r="J257" s="9"/>
      <c r="K257" s="27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6">
      <c r="A258" s="2"/>
      <c r="B258" s="2"/>
      <c r="C258" s="2"/>
      <c r="D258" s="9">
        <v>202006</v>
      </c>
      <c r="E258" s="39">
        <v>6781</v>
      </c>
      <c r="F258" s="27">
        <v>898966</v>
      </c>
      <c r="G258" s="27">
        <v>1264150.95</v>
      </c>
      <c r="H258" s="27">
        <v>365184.94999999995</v>
      </c>
      <c r="I258" s="2"/>
      <c r="J258" s="9"/>
      <c r="K258" s="27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6">
      <c r="A259" s="2"/>
      <c r="B259" s="2"/>
      <c r="C259" s="2"/>
      <c r="D259" s="9">
        <v>202007</v>
      </c>
      <c r="E259" s="39">
        <v>7340</v>
      </c>
      <c r="F259" s="27">
        <v>989392</v>
      </c>
      <c r="G259" s="27">
        <v>1391152.9999999998</v>
      </c>
      <c r="H259" s="27">
        <v>401760.99999999977</v>
      </c>
      <c r="I259" s="2"/>
      <c r="J259" s="9"/>
      <c r="K259" s="27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6">
      <c r="A260" s="2"/>
      <c r="B260" s="2"/>
      <c r="C260" s="2"/>
      <c r="D260" s="9">
        <v>202008</v>
      </c>
      <c r="E260" s="39">
        <v>6866</v>
      </c>
      <c r="F260" s="27">
        <v>903252</v>
      </c>
      <c r="G260" s="27">
        <v>1270146.7000000002</v>
      </c>
      <c r="H260" s="27">
        <v>366894.70000000019</v>
      </c>
      <c r="I260" s="2"/>
      <c r="J260" s="9"/>
      <c r="K260" s="27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6">
      <c r="A261" s="2"/>
      <c r="B261" s="2"/>
      <c r="C261" s="2"/>
      <c r="D261" s="9">
        <v>202009</v>
      </c>
      <c r="E261" s="39">
        <v>7041</v>
      </c>
      <c r="F261" s="27">
        <v>936502</v>
      </c>
      <c r="G261" s="27">
        <v>1316877.95</v>
      </c>
      <c r="H261" s="27">
        <v>380375.94999999995</v>
      </c>
      <c r="I261" s="2"/>
      <c r="J261" s="9"/>
      <c r="K261" s="27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6">
      <c r="A262" s="2"/>
      <c r="B262" s="2"/>
      <c r="C262" s="2"/>
      <c r="D262" s="9">
        <v>202010</v>
      </c>
      <c r="E262" s="39">
        <v>7008</v>
      </c>
      <c r="F262" s="27">
        <v>939728</v>
      </c>
      <c r="G262" s="27">
        <v>1321419.5999999999</v>
      </c>
      <c r="H262" s="27">
        <v>381691.59999999986</v>
      </c>
      <c r="I262" s="2"/>
      <c r="J262" s="9"/>
      <c r="K262" s="27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6">
      <c r="A263" s="2"/>
      <c r="B263" s="2"/>
      <c r="C263" s="2"/>
      <c r="D263" s="9">
        <v>202011</v>
      </c>
      <c r="E263" s="39">
        <v>8456</v>
      </c>
      <c r="F263" s="27">
        <v>1135933</v>
      </c>
      <c r="G263" s="27">
        <v>1597387.2</v>
      </c>
      <c r="H263" s="27">
        <v>461454.19999999995</v>
      </c>
      <c r="I263" s="2"/>
      <c r="J263" s="9"/>
      <c r="K263" s="27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6">
      <c r="A264" s="2"/>
      <c r="B264" s="2"/>
      <c r="C264" s="2"/>
      <c r="D264" s="9">
        <v>202012</v>
      </c>
      <c r="E264" s="39">
        <v>10950</v>
      </c>
      <c r="F264" s="27">
        <v>1441825</v>
      </c>
      <c r="G264" s="27">
        <v>2028022.4999999998</v>
      </c>
      <c r="H264" s="27">
        <v>586197.49999999977</v>
      </c>
      <c r="I264" s="2"/>
      <c r="J264" s="9"/>
      <c r="K264" s="27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6">
      <c r="A265" s="2"/>
      <c r="B265" s="2"/>
      <c r="C265" s="2"/>
      <c r="D265" s="9">
        <v>202013</v>
      </c>
      <c r="E265" s="39">
        <v>7393</v>
      </c>
      <c r="F265" s="27">
        <v>968767</v>
      </c>
      <c r="G265" s="27">
        <v>1362520.35</v>
      </c>
      <c r="H265" s="27">
        <v>393753.35000000009</v>
      </c>
      <c r="I265" s="2"/>
      <c r="J265" s="9"/>
      <c r="K265" s="27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6">
      <c r="A266" s="2"/>
      <c r="B266" s="2"/>
      <c r="C266" s="2"/>
      <c r="D266" s="9">
        <v>202014</v>
      </c>
      <c r="E266" s="39">
        <v>7136</v>
      </c>
      <c r="F266" s="27">
        <v>912810</v>
      </c>
      <c r="G266" s="27">
        <v>1283933.2</v>
      </c>
      <c r="H266" s="27">
        <v>371123.19999999995</v>
      </c>
      <c r="I266" s="2"/>
      <c r="J266" s="9"/>
      <c r="K266" s="27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6">
      <c r="A267" s="2"/>
      <c r="B267" s="2"/>
      <c r="C267" s="2"/>
      <c r="D267" s="9">
        <v>202015</v>
      </c>
      <c r="E267" s="39">
        <v>6726</v>
      </c>
      <c r="F267" s="27">
        <v>849344</v>
      </c>
      <c r="G267" s="27">
        <v>1194753.7</v>
      </c>
      <c r="H267" s="27">
        <v>345409.69999999995</v>
      </c>
      <c r="I267" s="2"/>
      <c r="J267" s="9"/>
      <c r="K267" s="27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6">
      <c r="A268" s="2"/>
      <c r="B268" s="2"/>
      <c r="C268" s="2"/>
      <c r="D268" s="9">
        <v>202016</v>
      </c>
      <c r="E268" s="39">
        <v>57836</v>
      </c>
      <c r="F268" s="27">
        <v>7382448</v>
      </c>
      <c r="G268" s="27">
        <v>10379718.199999999</v>
      </c>
      <c r="H268" s="27">
        <v>2997270.1999999993</v>
      </c>
      <c r="I268" s="2"/>
      <c r="J268" s="9"/>
      <c r="K268" s="27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6">
      <c r="A269" s="2"/>
      <c r="B269" s="2"/>
      <c r="C269" s="2"/>
      <c r="D269" s="9">
        <v>202019</v>
      </c>
      <c r="E269" s="39">
        <v>9978</v>
      </c>
      <c r="F269" s="27">
        <v>1286052</v>
      </c>
      <c r="G269" s="27">
        <v>1275676.75</v>
      </c>
      <c r="H269" s="27">
        <v>-10375.25</v>
      </c>
      <c r="I269" s="2"/>
      <c r="J269" s="9"/>
      <c r="K269" s="27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6">
      <c r="A270" s="2"/>
      <c r="B270" s="2"/>
      <c r="C270" s="2"/>
      <c r="D270" s="9">
        <v>202018</v>
      </c>
      <c r="E270" s="39">
        <v>6206</v>
      </c>
      <c r="F270" s="27">
        <v>800636</v>
      </c>
      <c r="G270" s="27">
        <v>1126039.7</v>
      </c>
      <c r="H270" s="27">
        <v>325403.69999999995</v>
      </c>
      <c r="I270" s="2"/>
      <c r="J270" s="9"/>
      <c r="K270" s="27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6">
      <c r="A271" s="2"/>
      <c r="B271" s="2"/>
      <c r="C271" s="2"/>
      <c r="D271" s="9">
        <v>202019</v>
      </c>
      <c r="E271" s="39">
        <v>6865</v>
      </c>
      <c r="F271" s="27">
        <v>907214</v>
      </c>
      <c r="G271" s="27">
        <v>1275676.75</v>
      </c>
      <c r="H271" s="27">
        <v>368462.75</v>
      </c>
      <c r="I271" s="2"/>
      <c r="J271" s="9"/>
      <c r="K271" s="27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6">
      <c r="A272" s="2"/>
      <c r="B272" s="2"/>
      <c r="C272" s="2"/>
      <c r="D272" s="9">
        <v>202020</v>
      </c>
      <c r="E272" s="39">
        <v>6687</v>
      </c>
      <c r="F272" s="27">
        <v>883180</v>
      </c>
      <c r="G272" s="27">
        <v>1241935.6499999999</v>
      </c>
      <c r="H272" s="27">
        <v>358755.64999999991</v>
      </c>
      <c r="I272" s="2"/>
      <c r="J272" s="9"/>
      <c r="K272" s="27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6">
      <c r="A273" s="2"/>
      <c r="B273" s="2"/>
      <c r="C273" s="2"/>
      <c r="D273" s="9">
        <v>202021</v>
      </c>
      <c r="E273" s="39">
        <v>6814</v>
      </c>
      <c r="F273" s="27">
        <v>883594</v>
      </c>
      <c r="G273" s="27">
        <v>1242599.2999999998</v>
      </c>
      <c r="H273" s="27">
        <v>359005.29999999981</v>
      </c>
      <c r="I273" s="2"/>
      <c r="J273" s="9"/>
      <c r="K273" s="27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6">
      <c r="A274" s="2"/>
      <c r="B274" s="2"/>
      <c r="C274" s="2"/>
      <c r="D274" s="9">
        <v>202022</v>
      </c>
      <c r="E274" s="39">
        <v>6191</v>
      </c>
      <c r="F274" s="27">
        <v>821295</v>
      </c>
      <c r="G274" s="27">
        <v>1154960.45</v>
      </c>
      <c r="H274" s="27">
        <v>333665.44999999995</v>
      </c>
      <c r="I274" s="2"/>
      <c r="J274" s="9"/>
      <c r="K274" s="27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6">
      <c r="A275" s="2"/>
      <c r="B275" s="2"/>
      <c r="C275" s="2"/>
      <c r="D275" s="9">
        <v>202023</v>
      </c>
      <c r="E275" s="39">
        <v>6408</v>
      </c>
      <c r="F275" s="27">
        <v>833224</v>
      </c>
      <c r="G275" s="27">
        <v>1171909.6000000001</v>
      </c>
      <c r="H275" s="27">
        <v>338685.60000000009</v>
      </c>
      <c r="I275" s="2"/>
      <c r="J275" s="9"/>
      <c r="K275" s="27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6">
      <c r="A276" s="2"/>
      <c r="B276" s="2"/>
      <c r="C276" s="2"/>
      <c r="D276" s="9">
        <v>202024</v>
      </c>
      <c r="E276" s="39">
        <v>6800</v>
      </c>
      <c r="F276" s="27">
        <v>936151</v>
      </c>
      <c r="G276" s="27">
        <v>1316160</v>
      </c>
      <c r="H276" s="27">
        <v>380009</v>
      </c>
      <c r="I276" s="2"/>
      <c r="J276" s="9"/>
      <c r="K276" s="27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6">
      <c r="A277" s="2"/>
      <c r="B277" s="2"/>
      <c r="C277" s="2"/>
      <c r="D277" s="9">
        <v>202025</v>
      </c>
      <c r="E277" s="39">
        <v>6853</v>
      </c>
      <c r="F277" s="27">
        <v>954074</v>
      </c>
      <c r="G277" s="27">
        <v>1341237.3499999999</v>
      </c>
      <c r="H277" s="27">
        <v>387163.34999999986</v>
      </c>
      <c r="I277" s="2"/>
      <c r="J277" s="9"/>
      <c r="K277" s="27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6">
      <c r="A278" s="2"/>
      <c r="B278" s="2"/>
      <c r="C278" s="2"/>
      <c r="D278" s="9">
        <v>202026</v>
      </c>
      <c r="E278" s="39">
        <v>6933</v>
      </c>
      <c r="F278" s="27">
        <v>951465</v>
      </c>
      <c r="G278" s="27">
        <v>1337683.3499999996</v>
      </c>
      <c r="H278" s="27">
        <v>386218.34999999963</v>
      </c>
      <c r="I278" s="2"/>
      <c r="J278" s="9"/>
      <c r="K278" s="27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6">
      <c r="A279" s="2"/>
      <c r="B279" s="2"/>
      <c r="C279" s="2"/>
      <c r="D279" s="9">
        <v>202027</v>
      </c>
      <c r="E279" s="39">
        <v>6924</v>
      </c>
      <c r="F279" s="27">
        <v>922942</v>
      </c>
      <c r="G279" s="27">
        <v>1297703.8</v>
      </c>
      <c r="H279" s="27">
        <v>374761.80000000005</v>
      </c>
      <c r="I279" s="2"/>
      <c r="J279" s="9"/>
      <c r="K279" s="27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6">
      <c r="A280" s="2"/>
      <c r="B280" s="2"/>
      <c r="C280" s="2"/>
      <c r="D280" s="9">
        <v>202028</v>
      </c>
      <c r="E280" s="39">
        <v>6958</v>
      </c>
      <c r="F280" s="27">
        <v>937848</v>
      </c>
      <c r="G280" s="27">
        <v>1318652.0999999999</v>
      </c>
      <c r="H280" s="27">
        <v>380804.09999999986</v>
      </c>
      <c r="I280" s="2"/>
      <c r="J280" s="9"/>
      <c r="K280" s="27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6">
      <c r="A281" s="2"/>
      <c r="B281" s="2"/>
      <c r="C281" s="2"/>
      <c r="D281" s="9">
        <v>202029</v>
      </c>
      <c r="E281" s="39">
        <v>6762</v>
      </c>
      <c r="F281" s="27">
        <v>904014</v>
      </c>
      <c r="G281" s="27">
        <v>1271071.8999999999</v>
      </c>
      <c r="H281" s="27">
        <v>367057.89999999991</v>
      </c>
      <c r="I281" s="2"/>
      <c r="J281" s="9"/>
      <c r="K281" s="27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6">
      <c r="A282" s="2"/>
      <c r="B282" s="2"/>
      <c r="C282" s="2"/>
      <c r="D282" s="9">
        <v>202030</v>
      </c>
      <c r="E282" s="39">
        <v>7089</v>
      </c>
      <c r="F282" s="27">
        <v>982862</v>
      </c>
      <c r="G282" s="27">
        <v>1380955.55</v>
      </c>
      <c r="H282" s="27">
        <v>398093.55000000005</v>
      </c>
      <c r="I282" s="2"/>
      <c r="J282" s="9"/>
      <c r="K282" s="27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6">
      <c r="A283" s="2"/>
      <c r="B283" s="2"/>
      <c r="C283" s="2"/>
      <c r="D283" s="9">
        <v>202031</v>
      </c>
      <c r="E283" s="39">
        <v>5727</v>
      </c>
      <c r="F283" s="27">
        <v>641389</v>
      </c>
      <c r="G283" s="27">
        <v>902413.65</v>
      </c>
      <c r="H283" s="27">
        <v>261024.65000000002</v>
      </c>
      <c r="I283" s="2"/>
      <c r="J283" s="9"/>
      <c r="K283" s="27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6">
      <c r="A284" s="2"/>
      <c r="B284" s="2"/>
      <c r="C284" s="2"/>
      <c r="D284" s="9">
        <v>202032</v>
      </c>
      <c r="E284" s="39">
        <v>5307</v>
      </c>
      <c r="F284" s="27">
        <v>797571</v>
      </c>
      <c r="G284" s="27">
        <v>1120364.6499999999</v>
      </c>
      <c r="H284" s="27">
        <v>322793.64999999991</v>
      </c>
      <c r="I284" s="2"/>
      <c r="J284" s="9"/>
      <c r="K284" s="27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6">
      <c r="A285" s="2"/>
      <c r="B285" s="2"/>
      <c r="C285" s="2"/>
      <c r="D285" s="9">
        <v>202033</v>
      </c>
      <c r="E285" s="39">
        <v>10815</v>
      </c>
      <c r="F285" s="27">
        <v>1414179</v>
      </c>
      <c r="G285" s="27">
        <v>1986339.25</v>
      </c>
      <c r="H285" s="27">
        <v>572160.25</v>
      </c>
      <c r="I285" s="2"/>
      <c r="J285" s="9"/>
      <c r="K285" s="27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6">
      <c r="A286" s="2"/>
      <c r="B286" s="2"/>
      <c r="C286" s="2"/>
      <c r="D286" s="9">
        <v>202034</v>
      </c>
      <c r="E286" s="39">
        <v>11691</v>
      </c>
      <c r="F286" s="27">
        <v>1502908</v>
      </c>
      <c r="G286" s="27">
        <v>2111485.4499999997</v>
      </c>
      <c r="H286" s="27">
        <v>608577.44999999972</v>
      </c>
      <c r="I286" s="2"/>
      <c r="J286" s="9"/>
      <c r="K286" s="27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6">
      <c r="A287" s="2"/>
      <c r="B287" s="2"/>
      <c r="C287" s="2"/>
      <c r="D287" s="9">
        <v>202035</v>
      </c>
      <c r="E287" s="39">
        <v>25147</v>
      </c>
      <c r="F287" s="27">
        <v>3081866</v>
      </c>
      <c r="G287" s="27">
        <v>4329692.6500000004</v>
      </c>
      <c r="H287" s="27">
        <v>1247826.6500000004</v>
      </c>
      <c r="I287" s="2"/>
      <c r="J287" s="9"/>
      <c r="K287" s="27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6">
      <c r="A288" s="2"/>
      <c r="B288" s="2"/>
      <c r="C288" s="2"/>
      <c r="D288" s="9">
        <v>202036</v>
      </c>
      <c r="E288" s="39">
        <v>84898</v>
      </c>
      <c r="F288" s="27">
        <v>8835765</v>
      </c>
      <c r="G288" s="27">
        <v>12436805.1</v>
      </c>
      <c r="H288" s="27">
        <v>3601040.0999999996</v>
      </c>
      <c r="I288" s="2"/>
      <c r="J288" s="9"/>
      <c r="K288" s="27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6">
      <c r="A289" s="2"/>
      <c r="B289" s="2"/>
      <c r="C289" s="2"/>
      <c r="D289" s="9">
        <v>202037</v>
      </c>
      <c r="E289" s="39">
        <v>28968</v>
      </c>
      <c r="F289" s="27">
        <v>3628412</v>
      </c>
      <c r="G289" s="27">
        <v>5099711.5999999996</v>
      </c>
      <c r="H289" s="27">
        <v>1471299.5999999996</v>
      </c>
      <c r="I289" s="2"/>
      <c r="J289" s="9"/>
      <c r="K289" s="27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6">
      <c r="A290" s="2"/>
      <c r="B290" s="2"/>
      <c r="C290" s="2"/>
      <c r="D290" s="9">
        <v>202038</v>
      </c>
      <c r="E290" s="39">
        <v>39210</v>
      </c>
      <c r="F290" s="27">
        <v>4927651</v>
      </c>
      <c r="G290" s="27">
        <v>6925439.5</v>
      </c>
      <c r="H290" s="27">
        <v>1997788.5</v>
      </c>
      <c r="I290" s="2"/>
      <c r="J290" s="9"/>
      <c r="K290" s="27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6">
      <c r="A291" s="2"/>
      <c r="B291" s="2"/>
      <c r="C291" s="2"/>
      <c r="D291" s="9">
        <v>202039</v>
      </c>
      <c r="E291" s="39">
        <v>43107</v>
      </c>
      <c r="F291" s="27">
        <v>5280419</v>
      </c>
      <c r="G291" s="27">
        <v>7421664.6500000004</v>
      </c>
      <c r="H291" s="27">
        <v>2141245.6500000004</v>
      </c>
      <c r="I291" s="2"/>
      <c r="J291" s="9"/>
      <c r="K291" s="27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6">
      <c r="A292" s="2"/>
      <c r="B292" s="2"/>
      <c r="C292" s="2"/>
      <c r="D292" s="9">
        <v>202040</v>
      </c>
      <c r="E292" s="39">
        <v>8982</v>
      </c>
      <c r="F292" s="27">
        <v>1152871</v>
      </c>
      <c r="G292" s="27">
        <v>1620250.9</v>
      </c>
      <c r="H292" s="27">
        <v>467379.89999999991</v>
      </c>
      <c r="I292" s="2"/>
      <c r="J292" s="9"/>
      <c r="K292" s="27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6">
      <c r="A293" s="2"/>
      <c r="B293" s="2"/>
      <c r="C293" s="2"/>
      <c r="D293" s="9">
        <v>202041</v>
      </c>
      <c r="E293" s="39">
        <v>6428</v>
      </c>
      <c r="F293" s="27">
        <v>834164</v>
      </c>
      <c r="G293" s="27">
        <v>1172248.6000000001</v>
      </c>
      <c r="H293" s="27">
        <v>338084.60000000009</v>
      </c>
      <c r="I293" s="2"/>
      <c r="J293" s="9"/>
      <c r="K293" s="27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6">
      <c r="A294" s="2"/>
      <c r="B294" s="2"/>
      <c r="C294" s="2"/>
      <c r="D294" s="9">
        <v>202042</v>
      </c>
      <c r="E294" s="39">
        <v>5974</v>
      </c>
      <c r="F294" s="27">
        <v>780288</v>
      </c>
      <c r="G294" s="27">
        <v>1096391.2999999998</v>
      </c>
      <c r="H294" s="27">
        <v>316103.29999999981</v>
      </c>
      <c r="I294" s="2"/>
      <c r="J294" s="9"/>
      <c r="K294" s="27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6">
      <c r="A295" s="2"/>
      <c r="B295" s="2"/>
      <c r="C295" s="2"/>
      <c r="D295" s="9">
        <v>202043</v>
      </c>
      <c r="E295" s="39">
        <v>5107</v>
      </c>
      <c r="F295" s="27">
        <v>682778</v>
      </c>
      <c r="G295" s="27">
        <v>959234.65</v>
      </c>
      <c r="H295" s="27">
        <v>276456.65000000002</v>
      </c>
      <c r="I295" s="2"/>
      <c r="J295" s="9"/>
      <c r="K295" s="27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6">
      <c r="A296" s="2"/>
      <c r="B296" s="2"/>
      <c r="C296" s="2"/>
      <c r="D296" s="9">
        <v>202044</v>
      </c>
      <c r="E296" s="39">
        <v>4805</v>
      </c>
      <c r="F296" s="27">
        <v>659458</v>
      </c>
      <c r="G296" s="27">
        <v>926249.75</v>
      </c>
      <c r="H296" s="27">
        <v>266791.75</v>
      </c>
      <c r="I296" s="2"/>
      <c r="J296" s="9"/>
      <c r="K296" s="27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6">
      <c r="A297" s="2"/>
      <c r="B297" s="2"/>
      <c r="C297" s="2"/>
      <c r="D297" s="9">
        <v>202045</v>
      </c>
      <c r="E297" s="39">
        <v>6348</v>
      </c>
      <c r="F297" s="27">
        <v>849361</v>
      </c>
      <c r="G297" s="27">
        <v>1192952.5999999999</v>
      </c>
      <c r="H297" s="27">
        <v>343591.59999999986</v>
      </c>
      <c r="I297" s="2"/>
      <c r="J297" s="9"/>
      <c r="K297" s="27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6">
      <c r="A298" s="2"/>
      <c r="B298" s="2"/>
      <c r="C298" s="2"/>
      <c r="D298" s="9">
        <v>202046</v>
      </c>
      <c r="E298" s="39">
        <v>7869</v>
      </c>
      <c r="F298" s="27">
        <v>1046424</v>
      </c>
      <c r="G298" s="27">
        <v>1469556.55</v>
      </c>
      <c r="H298" s="27">
        <v>423132.55000000005</v>
      </c>
      <c r="I298" s="2"/>
      <c r="J298" s="9"/>
      <c r="K298" s="27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6">
      <c r="A299" s="2"/>
      <c r="B299" s="2"/>
      <c r="C299" s="2"/>
      <c r="D299" s="9">
        <v>202047</v>
      </c>
      <c r="E299" s="39">
        <v>8831</v>
      </c>
      <c r="F299" s="27">
        <v>1158998</v>
      </c>
      <c r="G299" s="27">
        <v>1627448.4499999997</v>
      </c>
      <c r="H299" s="27">
        <v>468450.44999999972</v>
      </c>
      <c r="I299" s="2"/>
      <c r="J299" s="9"/>
      <c r="K299" s="27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6">
      <c r="A300" s="2"/>
      <c r="B300" s="2"/>
      <c r="C300" s="2"/>
      <c r="D300" s="9">
        <v>202048</v>
      </c>
      <c r="E300" s="39">
        <v>7529</v>
      </c>
      <c r="F300" s="27">
        <v>981132</v>
      </c>
      <c r="G300" s="27">
        <v>1377973.5499999998</v>
      </c>
      <c r="H300" s="27">
        <v>396841.54999999981</v>
      </c>
      <c r="I300" s="2"/>
      <c r="J300" s="9"/>
      <c r="K300" s="27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6">
      <c r="A301" s="2"/>
      <c r="B301" s="2"/>
      <c r="C301" s="2"/>
      <c r="D301" s="9">
        <v>202049</v>
      </c>
      <c r="E301" s="39">
        <v>8239</v>
      </c>
      <c r="F301" s="27">
        <v>1077283</v>
      </c>
      <c r="G301" s="27">
        <v>1512958.0499999998</v>
      </c>
      <c r="H301" s="27">
        <v>435675.04999999981</v>
      </c>
      <c r="I301" s="2"/>
      <c r="J301" s="9"/>
      <c r="K301" s="27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6">
      <c r="A302" s="2"/>
      <c r="B302" s="2"/>
      <c r="C302" s="2"/>
      <c r="D302" s="9">
        <v>202050</v>
      </c>
      <c r="E302" s="39">
        <v>8351</v>
      </c>
      <c r="F302" s="27">
        <v>1081491</v>
      </c>
      <c r="G302" s="27">
        <v>1518832.4499999997</v>
      </c>
      <c r="H302" s="27">
        <v>437341.44999999972</v>
      </c>
      <c r="I302" s="2"/>
      <c r="J302" s="9"/>
      <c r="K302" s="27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6">
      <c r="A303" s="2"/>
      <c r="B303" s="2"/>
      <c r="C303" s="2"/>
      <c r="D303" s="9">
        <v>202051</v>
      </c>
      <c r="E303" s="39">
        <v>7289</v>
      </c>
      <c r="F303" s="27">
        <v>954363</v>
      </c>
      <c r="G303" s="27">
        <v>1340385.5499999998</v>
      </c>
      <c r="H303" s="27">
        <v>386022.54999999981</v>
      </c>
      <c r="I303" s="2"/>
      <c r="J303" s="9"/>
      <c r="K303" s="27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6">
      <c r="A304" s="2"/>
      <c r="B304" s="2"/>
      <c r="C304" s="2"/>
      <c r="D304" s="9">
        <v>202052</v>
      </c>
      <c r="E304" s="39">
        <v>6708</v>
      </c>
      <c r="F304" s="27">
        <v>916713</v>
      </c>
      <c r="G304" s="27">
        <v>1287534.6000000001</v>
      </c>
      <c r="H304" s="27">
        <v>370821.60000000009</v>
      </c>
      <c r="I304" s="2"/>
      <c r="J304" s="8"/>
      <c r="K304" s="17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6">
      <c r="A305" s="2"/>
      <c r="B305" s="2"/>
      <c r="C305" s="4"/>
      <c r="D305" s="8">
        <v>202053</v>
      </c>
      <c r="E305" s="10">
        <v>6233</v>
      </c>
      <c r="F305" s="7">
        <v>877406</v>
      </c>
      <c r="G305" s="7">
        <v>1232288.3500000001</v>
      </c>
      <c r="H305" s="17">
        <v>354882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 x14ac:dyDescent="0.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 x14ac:dyDescent="0.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 x14ac:dyDescent="0.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 x14ac:dyDescent="0.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 x14ac:dyDescent="0.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 x14ac:dyDescent="0.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 x14ac:dyDescent="0.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 x14ac:dyDescent="0.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 x14ac:dyDescent="0.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 x14ac:dyDescent="0.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 x14ac:dyDescent="0.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 x14ac:dyDescent="0.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 x14ac:dyDescent="0.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 x14ac:dyDescent="0.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9">
    <mergeCell ref="B159:D159"/>
    <mergeCell ref="B176:D176"/>
    <mergeCell ref="Y3:Z3"/>
    <mergeCell ref="T38:U38"/>
    <mergeCell ref="Q79:T79"/>
    <mergeCell ref="O121:P121"/>
    <mergeCell ref="B122:D122"/>
    <mergeCell ref="B141:D141"/>
    <mergeCell ref="H148:J148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000000"/>
          <x14:sparklines>
            <x14:sparkline>
              <xm:f>'CMA Forecast MG'!G2:G116</xm:f>
              <xm:sqref>J3</xm:sqref>
            </x14:sparkline>
          </x14:sparklines>
        </x14:sparklineGroup>
        <x14:sparklineGroup displayEmptyCellsAs="gap" xr2:uid="{00000000-0003-0000-0000-000001000000}">
          <x14:colorSeries rgb="FF000000"/>
          <x14:sparklines>
            <x14:sparkline>
              <xm:f>'CMA Forecast MG'!D2:D116</xm:f>
              <xm:sqref>K3</xm:sqref>
            </x14:sparkline>
          </x14:sparklines>
        </x14:sparklineGroup>
        <x14:sparklineGroup displayEmptyCellsAs="gap" xr2:uid="{00000000-0003-0000-0000-000002000000}">
          <x14:colorSeries rgb="FF000000"/>
          <x14:sparklines>
            <x14:sparkline>
              <xm:f>'CMA Forecast MG'!E2:E116</xm:f>
              <xm:sqref>L3</xm:sqref>
            </x14:sparkline>
          </x14:sparklines>
        </x14:sparklineGroup>
        <x14:sparklineGroup displayEmptyCellsAs="gap" xr2:uid="{00000000-0003-0000-0000-000003000000}">
          <x14:colorSeries rgb="FF000000"/>
          <x14:sparklines>
            <x14:sparkline>
              <xm:f>'CMA Forecast MG'!D2:D116</xm:f>
              <xm:sqref>M3</xm:sqref>
            </x14:sparkline>
          </x14:sparklines>
        </x14:sparklineGroup>
        <x14:sparklineGroup displayEmptyCellsAs="gap" xr2:uid="{00000000-0003-0000-0000-000004000000}">
          <x14:colorSeries rgb="FF000000"/>
          <x14:sparklines>
            <x14:sparkline>
              <xm:f>'CMA Forecast MG'!H54:H105</xm:f>
              <xm:sqref>N3</xm:sqref>
            </x14:sparkline>
          </x14:sparklines>
        </x14:sparklineGroup>
        <x14:sparklineGroup displayEmptyCellsAs="gap" xr2:uid="{00000000-0003-0000-0000-000005000000}">
          <x14:colorSeries rgb="FF000000"/>
          <x14:sparklines>
            <x14:sparkline>
              <xm:f>'CMA Forecast MG'!H107:H116</xm:f>
              <xm:sqref>O3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E34:R241"/>
  <sheetViews>
    <sheetView showGridLines="0" tabSelected="1" topLeftCell="A202" zoomScale="85" zoomScaleNormal="85" workbookViewId="0">
      <selection activeCell="S203" sqref="S203"/>
    </sheetView>
  </sheetViews>
  <sheetFormatPr defaultColWidth="12.6328125" defaultRowHeight="15.75" customHeight="1" x14ac:dyDescent="0.6"/>
  <cols>
    <col min="13" max="13" width="16.6328125" customWidth="1"/>
  </cols>
  <sheetData>
    <row r="34" spans="5:18" ht="15.75" customHeight="1" x14ac:dyDescent="0.6">
      <c r="Q34" s="55" t="s">
        <v>46</v>
      </c>
      <c r="R34" s="51"/>
    </row>
    <row r="35" spans="5:18" ht="15.75" customHeight="1" x14ac:dyDescent="0.6">
      <c r="Q35" s="40" t="s">
        <v>37</v>
      </c>
      <c r="R35" s="40" t="s">
        <v>38</v>
      </c>
    </row>
    <row r="36" spans="5:18" ht="15.75" customHeight="1" x14ac:dyDescent="0.6">
      <c r="P36" s="41">
        <v>2021</v>
      </c>
      <c r="Q36" s="42">
        <v>4353744</v>
      </c>
      <c r="R36" s="42">
        <f t="shared" ref="R36:R38" si="0">Q36/10</f>
        <v>435374.4</v>
      </c>
    </row>
    <row r="37" spans="5:18" ht="15.75" customHeight="1" x14ac:dyDescent="0.6">
      <c r="P37" s="41">
        <v>2020</v>
      </c>
      <c r="Q37" s="42">
        <v>3546666</v>
      </c>
      <c r="R37" s="43">
        <f t="shared" si="0"/>
        <v>354666.6</v>
      </c>
    </row>
    <row r="38" spans="5:18" ht="15.75" customHeight="1" x14ac:dyDescent="0.6">
      <c r="F38" s="55" t="s">
        <v>6</v>
      </c>
      <c r="G38" s="51"/>
      <c r="P38" s="41">
        <v>2019</v>
      </c>
      <c r="Q38" s="42">
        <v>1559855</v>
      </c>
      <c r="R38" s="43">
        <f t="shared" si="0"/>
        <v>155985.5</v>
      </c>
    </row>
    <row r="39" spans="5:18" ht="15.75" customHeight="1" x14ac:dyDescent="0.6">
      <c r="F39" s="40" t="s">
        <v>37</v>
      </c>
      <c r="G39" s="40" t="s">
        <v>38</v>
      </c>
      <c r="H39" s="44"/>
    </row>
    <row r="40" spans="5:18" ht="15.75" customHeight="1" x14ac:dyDescent="0.6">
      <c r="E40" s="45">
        <v>2019</v>
      </c>
      <c r="F40" s="42">
        <v>22955045</v>
      </c>
      <c r="G40" s="42">
        <v>441443</v>
      </c>
    </row>
    <row r="41" spans="5:18" ht="13" x14ac:dyDescent="0.6">
      <c r="E41" s="45">
        <v>2020</v>
      </c>
      <c r="F41" s="42">
        <v>30954917</v>
      </c>
      <c r="G41" s="42">
        <v>584055</v>
      </c>
      <c r="R41" s="42"/>
    </row>
    <row r="42" spans="5:18" ht="13" x14ac:dyDescent="0.6">
      <c r="G42" s="42"/>
      <c r="R42" s="42"/>
    </row>
    <row r="43" spans="5:18" ht="13" x14ac:dyDescent="0.6">
      <c r="G43" s="42"/>
      <c r="R43" s="42"/>
    </row>
    <row r="69" spans="12:13" ht="13" x14ac:dyDescent="0.6">
      <c r="M69" s="46" t="s">
        <v>47</v>
      </c>
    </row>
    <row r="70" spans="12:13" ht="13" x14ac:dyDescent="0.6">
      <c r="L70" s="45">
        <v>2021</v>
      </c>
      <c r="M70" s="42">
        <v>132</v>
      </c>
    </row>
    <row r="71" spans="12:13" ht="13" x14ac:dyDescent="0.6">
      <c r="L71" s="45">
        <v>2020</v>
      </c>
      <c r="M71" s="42">
        <v>132</v>
      </c>
    </row>
    <row r="72" spans="12:13" ht="13" x14ac:dyDescent="0.6">
      <c r="L72" s="45">
        <v>2019</v>
      </c>
      <c r="M72" s="42">
        <v>111</v>
      </c>
    </row>
    <row r="108" spans="6:17" ht="13" x14ac:dyDescent="0.6">
      <c r="P108" s="55" t="s">
        <v>7</v>
      </c>
      <c r="Q108" s="51"/>
    </row>
    <row r="109" spans="6:17" ht="13" x14ac:dyDescent="0.6">
      <c r="P109" s="40" t="s">
        <v>37</v>
      </c>
      <c r="Q109" s="40" t="s">
        <v>38</v>
      </c>
    </row>
    <row r="110" spans="6:17" ht="13" x14ac:dyDescent="0.6">
      <c r="O110" s="45">
        <v>2021</v>
      </c>
      <c r="P110" s="47">
        <v>2.4060000000000001</v>
      </c>
      <c r="Q110" s="48">
        <v>0.246</v>
      </c>
    </row>
    <row r="111" spans="6:17" ht="13" x14ac:dyDescent="0.6">
      <c r="F111" s="55" t="s">
        <v>7</v>
      </c>
      <c r="G111" s="51"/>
      <c r="O111" s="45">
        <v>2020</v>
      </c>
      <c r="P111" s="47">
        <v>12.89</v>
      </c>
      <c r="Q111" s="48">
        <v>1.2894000000000001</v>
      </c>
    </row>
    <row r="112" spans="6:17" ht="13" x14ac:dyDescent="0.6">
      <c r="F112" s="40" t="s">
        <v>37</v>
      </c>
      <c r="G112" s="40" t="s">
        <v>38</v>
      </c>
    </row>
    <row r="113" spans="5:7" ht="13" x14ac:dyDescent="0.6">
      <c r="E113" s="45">
        <v>2020</v>
      </c>
      <c r="F113" s="48">
        <v>6.7991999999999999</v>
      </c>
      <c r="G113" s="48">
        <v>0.56659999999999999</v>
      </c>
    </row>
    <row r="230" spans="7:17" ht="13" x14ac:dyDescent="0.6">
      <c r="H230" s="55" t="s">
        <v>6</v>
      </c>
      <c r="I230" s="51"/>
      <c r="P230" s="55" t="s">
        <v>7</v>
      </c>
      <c r="Q230" s="51"/>
    </row>
    <row r="231" spans="7:17" ht="13" x14ac:dyDescent="0.6">
      <c r="H231" s="40" t="s">
        <v>37</v>
      </c>
      <c r="I231" s="40" t="s">
        <v>38</v>
      </c>
      <c r="P231" s="40" t="s">
        <v>37</v>
      </c>
      <c r="Q231" s="40" t="s">
        <v>38</v>
      </c>
    </row>
    <row r="232" spans="7:17" ht="13" x14ac:dyDescent="0.6">
      <c r="G232" s="45">
        <v>2021</v>
      </c>
      <c r="H232" s="42">
        <v>41639915</v>
      </c>
      <c r="I232" s="42">
        <v>3469993</v>
      </c>
      <c r="O232" s="45">
        <v>2021</v>
      </c>
      <c r="P232" s="48">
        <v>4.1455000000000002</v>
      </c>
      <c r="Q232" s="48">
        <v>0.34549999999999997</v>
      </c>
    </row>
    <row r="233" spans="7:17" ht="13" x14ac:dyDescent="0.6">
      <c r="G233" s="45">
        <v>2020</v>
      </c>
      <c r="H233" s="42">
        <v>30954917</v>
      </c>
      <c r="I233" s="42">
        <v>441443</v>
      </c>
      <c r="O233" s="45">
        <v>2020</v>
      </c>
      <c r="P233" s="48">
        <v>6.7991999999999999</v>
      </c>
      <c r="Q233" s="48">
        <v>0.56659999999999999</v>
      </c>
    </row>
    <row r="234" spans="7:17" ht="13" x14ac:dyDescent="0.6">
      <c r="G234" s="45">
        <v>2019</v>
      </c>
      <c r="H234" s="42">
        <v>22955045</v>
      </c>
      <c r="I234" s="42">
        <v>441443</v>
      </c>
    </row>
    <row r="238" spans="7:17" ht="13" x14ac:dyDescent="0.6">
      <c r="I238" s="49"/>
      <c r="P238" s="49"/>
    </row>
    <row r="239" spans="7:17" ht="13" x14ac:dyDescent="0.6">
      <c r="I239" s="42"/>
      <c r="P239" s="48"/>
    </row>
    <row r="240" spans="7:17" ht="13" x14ac:dyDescent="0.6">
      <c r="I240" s="42"/>
      <c r="P240" s="48"/>
    </row>
    <row r="241" spans="9:9" ht="13" x14ac:dyDescent="0.6">
      <c r="I241" s="42"/>
    </row>
  </sheetData>
  <mergeCells count="6">
    <mergeCell ref="Q34:R34"/>
    <mergeCell ref="F38:G38"/>
    <mergeCell ref="P108:Q108"/>
    <mergeCell ref="F111:G111"/>
    <mergeCell ref="H230:I230"/>
    <mergeCell ref="P230:Q230"/>
  </mergeCell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CMA Forecast MG</vt:lpstr>
      <vt:lpstr>Dashboard 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Mathew Golf</cp:lastModifiedBy>
  <dcterms:modified xsi:type="dcterms:W3CDTF">2022-05-15T22:40:23Z</dcterms:modified>
</cp:coreProperties>
</file>