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filterPrivacy="1" defaultThemeVersion="124226"/>
  <xr:revisionPtr revIDLastSave="0" documentId="8_{E10E0405-85E0-4F41-B22A-9F9AC934314A}" xr6:coauthVersionLast="47" xr6:coauthVersionMax="47" xr10:uidLastSave="{00000000-0000-0000-0000-000000000000}"/>
  <bookViews>
    <workbookView xWindow="-120" yWindow="-120" windowWidth="29040" windowHeight="15840"/>
  </bookViews>
  <sheets>
    <sheet name="www.ch-forrer.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  <c r="C77" i="1"/>
  <c r="C75" i="1"/>
  <c r="C71" i="1"/>
  <c r="C68" i="1"/>
  <c r="C83" i="1" s="1"/>
  <c r="C69" i="1"/>
  <c r="C67" i="1"/>
  <c r="C96" i="1"/>
  <c r="C52" i="1"/>
  <c r="C53" i="1" s="1"/>
  <c r="C79" i="1" s="1"/>
  <c r="D8" i="1"/>
  <c r="E8" i="1" s="1"/>
  <c r="D9" i="1"/>
  <c r="E9" i="1" s="1"/>
  <c r="D7" i="1"/>
  <c r="C10" i="1"/>
  <c r="D10" i="1" s="1"/>
  <c r="E10" i="1" s="1"/>
  <c r="C84" i="1" l="1"/>
  <c r="C78" i="1"/>
  <c r="C80" i="1"/>
  <c r="C11" i="1"/>
  <c r="D12" i="1"/>
  <c r="E12" i="1" s="1"/>
  <c r="C45" i="1" s="1"/>
  <c r="C12" i="1"/>
  <c r="E7" i="1"/>
  <c r="D37" i="1"/>
  <c r="C37" i="1" s="1"/>
  <c r="C86" i="1" l="1"/>
  <c r="C15" i="1"/>
  <c r="C72" i="1" s="1"/>
  <c r="C70" i="1"/>
  <c r="D45" i="1"/>
  <c r="D46" i="1" s="1"/>
  <c r="E45" i="1"/>
  <c r="E46" i="1" s="1"/>
  <c r="G45" i="1"/>
  <c r="G47" i="1" s="1"/>
  <c r="F45" i="1"/>
  <c r="F46" i="1" s="1"/>
  <c r="C60" i="1"/>
  <c r="C89" i="1" s="1"/>
  <c r="C92" i="1" s="1"/>
  <c r="C93" i="1" s="1"/>
  <c r="C47" i="1"/>
  <c r="C46" i="1"/>
  <c r="D47" i="1" l="1"/>
  <c r="G46" i="1"/>
  <c r="E47" i="1"/>
  <c r="F47" i="1"/>
</calcChain>
</file>

<file path=xl/comments1.xml><?xml version="1.0" encoding="utf-8"?>
<comments xmlns="http://schemas.openxmlformats.org/spreadsheetml/2006/main">
  <authors>
    <author>Autor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Spannweite in [mm] eingeben.
Empfohlen; mehr als 1000mm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Flügelbreite in Rumpfmitte, in [mm] eingeben.
Empfohlen; mehr als 150mm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Flügelbreite des Flügelende, in [mm] eingeben. Bei einem Rechteckflügel den gleichen Wert wie bei Fbi.
Empfohlen; mehr als 150mm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Das geplante Abfluggewicht in [g] eingeben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Gewählte aus "3 Vorschlagstabelle" in [dm²]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Höhenleitwerksbreite in Rumpfmitte in [mm].
Empfohlen möglichst mehr als 100mm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Höhenleitwerksbreite Aussen in [mm].
Empfohlen möglichst nicht viel weniger als  100mm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Seitenleitwerkshöhe in [mm], abgestimmt auf die Seitenleitwerksbreite oben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</rPr>
          <t>Seitenleitwerksbreite oben in [mm].
Empfehlung nicht zu schmal, besser mehr als 70-80mm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V-Form- Winkel in Grad [°] eingeben</t>
        </r>
      </text>
    </comment>
  </commentList>
</comments>
</file>

<file path=xl/sharedStrings.xml><?xml version="1.0" encoding="utf-8"?>
<sst xmlns="http://schemas.openxmlformats.org/spreadsheetml/2006/main" count="119" uniqueCount="92">
  <si>
    <t>Spannweite</t>
  </si>
  <si>
    <t>Flügelbreite innen</t>
  </si>
  <si>
    <t>Flügelbreite Aussen</t>
  </si>
  <si>
    <t>Flügelstreckung</t>
  </si>
  <si>
    <t>Flügelfläche</t>
  </si>
  <si>
    <t>Flügelbreite gemittelt</t>
  </si>
  <si>
    <t>1/6</t>
  </si>
  <si>
    <t>1/7</t>
  </si>
  <si>
    <t>1/8</t>
  </si>
  <si>
    <t>1/9</t>
  </si>
  <si>
    <t>1/10</t>
  </si>
  <si>
    <t>Leitwerkshebelarm gerechnet:</t>
  </si>
  <si>
    <t>Höhenleitwerks- Flächen</t>
  </si>
  <si>
    <t>Gewählte HL-Fläche</t>
  </si>
  <si>
    <t>Gewählte HL- Breite innen</t>
  </si>
  <si>
    <t>Gewählte HL- Breite aussen</t>
  </si>
  <si>
    <t>Höhenleitwerk Spannweite</t>
  </si>
  <si>
    <t>Seitenleitwerksfläche gerechnet</t>
  </si>
  <si>
    <t>1. Eingabe der Grunddaten</t>
  </si>
  <si>
    <t>Grau sind Eingabefelder</t>
  </si>
  <si>
    <t>Geplantes Abfluggewicht</t>
  </si>
  <si>
    <t>m</t>
  </si>
  <si>
    <t>Voraussichtliche Flächenbelastung (Info)</t>
  </si>
  <si>
    <t>4. Seitenleitwerksfläche</t>
  </si>
  <si>
    <t>SW</t>
  </si>
  <si>
    <t>Fbi</t>
  </si>
  <si>
    <t>Fba</t>
  </si>
  <si>
    <t>Ftm</t>
  </si>
  <si>
    <t>Fs</t>
  </si>
  <si>
    <t>FA</t>
  </si>
  <si>
    <t>Fbl</t>
  </si>
  <si>
    <t>RH</t>
  </si>
  <si>
    <t>(Faustformel: "4 - 6" mal "Ftm")</t>
  </si>
  <si>
    <t>HA-Fläche, Bruchteil von Flügelfläche</t>
  </si>
  <si>
    <t>3. Höhenleitwerksfläche "HA": 1/6 - 1/10 des Flächeninhaltes</t>
  </si>
  <si>
    <t>Htm</t>
  </si>
  <si>
    <t>Mittlere Höhenleitwerksbreite:</t>
  </si>
  <si>
    <t>Höhenleitwerk Spannweite bei "Htm" 100mm</t>
  </si>
  <si>
    <t>Höhenleitwerk Spannweite bei "Htm" 80mm</t>
  </si>
  <si>
    <t>HW</t>
  </si>
  <si>
    <t>HA</t>
  </si>
  <si>
    <t>Hbi</t>
  </si>
  <si>
    <t>Hba</t>
  </si>
  <si>
    <t>2. Leitwerkshebelarm (Höhe) "RH"</t>
  </si>
  <si>
    <t>Gelb sind Ergebnissfelder</t>
  </si>
  <si>
    <t>5. Ermittelte Grundabmessungen, zusammentragen aller Daten</t>
  </si>
  <si>
    <t>Mittlere Höhenleitwerkstiefe</t>
  </si>
  <si>
    <t>sph</t>
  </si>
  <si>
    <t>Ungefährer Schwerpunktsabstand Höhenruder</t>
  </si>
  <si>
    <t>Schwerpunkt 30% von Flächentiefe</t>
  </si>
  <si>
    <t>SPf</t>
  </si>
  <si>
    <t>Ungefährer Schwerpunktbereich für Rechteck- Flügel und einfache Trapezflächen wie in Skizze links</t>
  </si>
  <si>
    <t>Höhenleitwerk</t>
  </si>
  <si>
    <t>Hauptdaten des Modell</t>
  </si>
  <si>
    <t>Lwa</t>
  </si>
  <si>
    <t>Min. Leitwerksabstand (Höhenruder) zum Flügel</t>
  </si>
  <si>
    <t>Mögliche Seitenruderabmessungen</t>
  </si>
  <si>
    <t>SH</t>
  </si>
  <si>
    <t>Seitenleitwerks- Fläche</t>
  </si>
  <si>
    <t>SA</t>
  </si>
  <si>
    <t>Seitenleitwerkshöhe</t>
  </si>
  <si>
    <t>Seitenleitwerkslänge oben</t>
  </si>
  <si>
    <t>Sba</t>
  </si>
  <si>
    <t>Seitenleitwerkslänge unten</t>
  </si>
  <si>
    <t>Sbu</t>
  </si>
  <si>
    <t>V-Form (einseitig)</t>
  </si>
  <si>
    <t>V</t>
  </si>
  <si>
    <t>Av</t>
  </si>
  <si>
    <t>Sw</t>
  </si>
  <si>
    <t>Neigungswinkel vorn am Seitenruder</t>
  </si>
  <si>
    <t>Für Modelle mit Rechteck- oder einfachem Trapezflügel</t>
  </si>
  <si>
    <t>Anhaltspunkte für die Flächenbelastung:</t>
  </si>
  <si>
    <t xml:space="preserve">  2400 mm Spannweite langsam grenzwertig…</t>
  </si>
  <si>
    <t>- Weniger als 40 g/dm² gutmütig zu fliegen</t>
  </si>
  <si>
    <t>- Modelle mit mehr als 90 g/dm² sollten eher mehr als 1700 mm Spannweite haben</t>
  </si>
  <si>
    <t xml:space="preserve">- Flächenbelastungen von mehr als 140 g/dm² sind auch bei Modelle mit mehr als </t>
  </si>
  <si>
    <t>- Modelle um 1300 mm Spannweite werden ab 60 g/dm² anspruchsvoll zu fliegen</t>
  </si>
  <si>
    <t>Mittelwert</t>
  </si>
  <si>
    <t>Welche Höhenleitwerksfläche man wählt ist auch eine Erfahrungssache</t>
  </si>
  <si>
    <t xml:space="preserve">Je kleiner die Fläche wird um so instabiler wird ein Modell. Bei einem </t>
  </si>
  <si>
    <t>(1/6 - 1/7). Wenn es schnell wird, darf es auch etwas kleiner werden.</t>
  </si>
  <si>
    <t>Die Spalte 1/8 stellt so etwas wie ein Mittelwert dar (Kompromiss)…</t>
  </si>
  <si>
    <t>1 Eingabetabelle</t>
  </si>
  <si>
    <t>2 Resultats- Tabelle</t>
  </si>
  <si>
    <t>3 Vorschlagstabelle</t>
  </si>
  <si>
    <t>Modellberechnung basierend auf Formeln von Franz Perseke</t>
  </si>
  <si>
    <t>Schwerpunkt 33.3% von Flächentiefe</t>
  </si>
  <si>
    <t>Einseitige Unterlegedistanz Flügel beim Bauen</t>
  </si>
  <si>
    <t>Ein Hochdeckermodell kommt grundsätzlich mit weniger V-Form aus</t>
  </si>
  <si>
    <t>Als ein Tiefdeckermodell mit gleicher Längsstabilität.</t>
  </si>
  <si>
    <t>langsam fliegenden Modell darf man aber ruhig etwas grösser wählen</t>
  </si>
  <si>
    <r>
      <rPr>
        <b/>
        <sz val="11"/>
        <color indexed="8"/>
        <rFont val="Calibri"/>
        <family val="2"/>
      </rPr>
      <t>Annahme</t>
    </r>
    <r>
      <rPr>
        <sz val="11"/>
        <color theme="1"/>
        <rFont val="Calibri"/>
        <family val="2"/>
        <scheme val="minor"/>
      </rPr>
      <t>: Seitenleitwerks- Hebelarm ist gleich Höhenleitwerks- Hebelarm r</t>
    </r>
    <r>
      <rPr>
        <vertAlign val="subscript"/>
        <sz val="11"/>
        <color indexed="8"/>
        <rFont val="Calibri"/>
        <family val="2"/>
      </rPr>
      <t>Hl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</si>
</sst>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2" formatCode="General&quot; m&quot;"/>
    <numFmt numFmtId="173" formatCode="General&quot; mm&quot;"/>
    <numFmt numFmtId="174" formatCode="General&quot; mm²&quot;"/>
    <numFmt numFmtId="175" formatCode="General&quot; m²&quot;"/>
    <numFmt numFmtId="176" formatCode="General&quot; dm&quot;"/>
    <numFmt numFmtId="177" formatCode="General&quot; dm²&quot;"/>
    <numFmt numFmtId="178" formatCode="0.00&quot; dm²&quot;"/>
    <numFmt numFmtId="179" formatCode="0.0&quot; mm&quot;"/>
    <numFmt numFmtId="180" formatCode="General&quot; g&quot;"/>
    <numFmt numFmtId="181" formatCode="0.00&quot; g/dm²&quot;"/>
    <numFmt numFmtId="182" formatCode="0.0&quot; °&quot;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C7C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77" fontId="0" fillId="2" borderId="1" xfId="0" applyNumberFormat="1" applyFill="1" applyBorder="1" applyProtection="1">
      <protection locked="0"/>
    </xf>
    <xf numFmtId="173" fontId="0" fillId="2" borderId="1" xfId="0" applyNumberFormat="1" applyFill="1" applyBorder="1" applyProtection="1">
      <protection locked="0"/>
    </xf>
    <xf numFmtId="180" fontId="0" fillId="2" borderId="1" xfId="0" applyNumberFormat="1" applyFill="1" applyBorder="1" applyProtection="1">
      <protection locked="0"/>
    </xf>
    <xf numFmtId="182" fontId="0" fillId="2" borderId="1" xfId="0" applyNumberFormat="1" applyFill="1" applyBorder="1" applyProtection="1">
      <protection locked="0"/>
    </xf>
    <xf numFmtId="0" fontId="5" fillId="0" borderId="0" xfId="0" applyFont="1" applyProtection="1"/>
    <xf numFmtId="0" fontId="0" fillId="0" borderId="0" xfId="0" applyProtection="1"/>
    <xf numFmtId="173" fontId="0" fillId="2" borderId="1" xfId="0" applyNumberFormat="1" applyFill="1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3" borderId="1" xfId="0" applyFill="1" applyBorder="1" applyProtection="1"/>
    <xf numFmtId="0" fontId="0" fillId="0" borderId="5" xfId="0" applyFont="1" applyBorder="1" applyProtection="1"/>
    <xf numFmtId="0" fontId="0" fillId="0" borderId="5" xfId="0" applyBorder="1" applyProtection="1"/>
    <xf numFmtId="0" fontId="0" fillId="0" borderId="6" xfId="0" applyBorder="1" applyProtection="1"/>
    <xf numFmtId="0" fontId="6" fillId="0" borderId="0" xfId="0" applyFont="1" applyProtection="1"/>
    <xf numFmtId="0" fontId="7" fillId="0" borderId="0" xfId="0" applyFont="1" applyProtection="1"/>
    <xf numFmtId="0" fontId="0" fillId="0" borderId="1" xfId="0" applyBorder="1" applyProtection="1"/>
    <xf numFmtId="172" fontId="0" fillId="0" borderId="1" xfId="0" applyNumberFormat="1" applyBorder="1" applyProtection="1"/>
    <xf numFmtId="176" fontId="0" fillId="0" borderId="1" xfId="0" applyNumberFormat="1" applyBorder="1" applyProtection="1"/>
    <xf numFmtId="173" fontId="0" fillId="0" borderId="1" xfId="0" applyNumberFormat="1" applyBorder="1" applyProtection="1"/>
    <xf numFmtId="2" fontId="0" fillId="0" borderId="1" xfId="0" applyNumberFormat="1" applyBorder="1" applyProtection="1"/>
    <xf numFmtId="174" fontId="0" fillId="0" borderId="1" xfId="0" applyNumberFormat="1" applyBorder="1" applyProtection="1"/>
    <xf numFmtId="175" fontId="0" fillId="0" borderId="1" xfId="0" applyNumberFormat="1" applyBorder="1" applyProtection="1"/>
    <xf numFmtId="177" fontId="0" fillId="0" borderId="1" xfId="0" applyNumberFormat="1" applyBorder="1" applyProtection="1"/>
    <xf numFmtId="174" fontId="0" fillId="0" borderId="0" xfId="0" applyNumberFormat="1" applyProtection="1"/>
    <xf numFmtId="175" fontId="0" fillId="0" borderId="0" xfId="0" applyNumberFormat="1" applyProtection="1"/>
    <xf numFmtId="177" fontId="0" fillId="0" borderId="0" xfId="0" applyNumberFormat="1" applyProtection="1"/>
    <xf numFmtId="181" fontId="4" fillId="3" borderId="1" xfId="0" applyNumberFormat="1" applyFont="1" applyFill="1" applyBorder="1" applyProtection="1"/>
    <xf numFmtId="0" fontId="4" fillId="0" borderId="0" xfId="0" applyFont="1" applyProtection="1"/>
    <xf numFmtId="0" fontId="0" fillId="0" borderId="0" xfId="0" quotePrefix="1" applyProtection="1"/>
    <xf numFmtId="0" fontId="8" fillId="0" borderId="0" xfId="0" applyFont="1" applyProtection="1"/>
    <xf numFmtId="0" fontId="9" fillId="0" borderId="1" xfId="0" applyFont="1" applyBorder="1" applyProtection="1"/>
    <xf numFmtId="0" fontId="10" fillId="0" borderId="1" xfId="0" applyFont="1" applyBorder="1" applyProtection="1"/>
    <xf numFmtId="173" fontId="9" fillId="3" borderId="1" xfId="0" applyNumberFormat="1" applyFont="1" applyFill="1" applyBorder="1" applyProtection="1"/>
    <xf numFmtId="172" fontId="9" fillId="3" borderId="1" xfId="0" applyNumberFormat="1" applyFont="1" applyFill="1" applyBorder="1" applyProtection="1"/>
    <xf numFmtId="0" fontId="9" fillId="0" borderId="5" xfId="0" applyFont="1" applyBorder="1" applyProtection="1"/>
    <xf numFmtId="0" fontId="10" fillId="0" borderId="5" xfId="0" applyFont="1" applyBorder="1" applyProtection="1"/>
    <xf numFmtId="173" fontId="11" fillId="0" borderId="5" xfId="0" applyNumberFormat="1" applyFont="1" applyBorder="1" applyProtection="1"/>
    <xf numFmtId="172" fontId="11" fillId="0" borderId="5" xfId="0" applyNumberFormat="1" applyFont="1" applyBorder="1" applyProtection="1"/>
    <xf numFmtId="0" fontId="12" fillId="0" borderId="0" xfId="0" applyFont="1" applyProtection="1"/>
    <xf numFmtId="0" fontId="0" fillId="0" borderId="0" xfId="0" applyAlignment="1" applyProtection="1">
      <alignment horizontal="right"/>
    </xf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16" fontId="0" fillId="0" borderId="11" xfId="0" quotePrefix="1" applyNumberFormat="1" applyBorder="1" applyAlignment="1" applyProtection="1">
      <alignment horizontal="center"/>
    </xf>
    <xf numFmtId="0" fontId="0" fillId="0" borderId="12" xfId="0" quotePrefix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178" fontId="0" fillId="3" borderId="15" xfId="0" applyNumberFormat="1" applyFont="1" applyFill="1" applyBorder="1" applyAlignment="1" applyProtection="1">
      <alignment horizontal="center"/>
    </xf>
    <xf numFmtId="178" fontId="0" fillId="3" borderId="13" xfId="0" applyNumberFormat="1" applyFont="1" applyFill="1" applyBorder="1" applyAlignment="1" applyProtection="1">
      <alignment horizontal="center"/>
    </xf>
    <xf numFmtId="179" fontId="0" fillId="3" borderId="16" xfId="0" applyNumberFormat="1" applyFont="1" applyFill="1" applyBorder="1" applyAlignment="1" applyProtection="1">
      <alignment horizontal="center"/>
    </xf>
    <xf numFmtId="179" fontId="0" fillId="3" borderId="1" xfId="0" applyNumberFormat="1" applyFont="1" applyFill="1" applyBorder="1" applyAlignment="1" applyProtection="1">
      <alignment horizontal="center"/>
    </xf>
    <xf numFmtId="179" fontId="0" fillId="3" borderId="1" xfId="0" applyNumberFormat="1" applyFont="1" applyFill="1" applyBorder="1" applyProtection="1"/>
    <xf numFmtId="179" fontId="4" fillId="3" borderId="1" xfId="0" applyNumberFormat="1" applyFont="1" applyFill="1" applyBorder="1" applyProtection="1"/>
    <xf numFmtId="0" fontId="4" fillId="0" borderId="1" xfId="0" applyFont="1" applyBorder="1" applyProtection="1"/>
    <xf numFmtId="178" fontId="4" fillId="3" borderId="1" xfId="0" applyNumberFormat="1" applyFont="1" applyFill="1" applyBorder="1" applyProtection="1"/>
    <xf numFmtId="173" fontId="4" fillId="0" borderId="1" xfId="0" applyNumberFormat="1" applyFont="1" applyFill="1" applyBorder="1" applyProtection="1"/>
    <xf numFmtId="180" fontId="0" fillId="0" borderId="1" xfId="0" applyNumberFormat="1" applyBorder="1" applyProtection="1"/>
    <xf numFmtId="181" fontId="0" fillId="0" borderId="1" xfId="0" applyNumberFormat="1" applyBorder="1" applyProtection="1"/>
    <xf numFmtId="177" fontId="0" fillId="0" borderId="1" xfId="0" applyNumberFormat="1" applyFill="1" applyBorder="1" applyProtection="1"/>
    <xf numFmtId="179" fontId="0" fillId="0" borderId="1" xfId="0" applyNumberFormat="1" applyFill="1" applyBorder="1" applyProtection="1"/>
    <xf numFmtId="0" fontId="0" fillId="0" borderId="1" xfId="0" applyFill="1" applyBorder="1" applyProtection="1"/>
    <xf numFmtId="179" fontId="0" fillId="0" borderId="1" xfId="0" applyNumberFormat="1" applyBorder="1" applyProtection="1"/>
    <xf numFmtId="179" fontId="4" fillId="0" borderId="1" xfId="0" applyNumberFormat="1" applyFont="1" applyBorder="1" applyProtection="1"/>
    <xf numFmtId="178" fontId="0" fillId="0" borderId="1" xfId="0" applyNumberFormat="1" applyBorder="1" applyProtection="1"/>
    <xf numFmtId="179" fontId="0" fillId="3" borderId="1" xfId="0" applyNumberFormat="1" applyFont="1" applyFill="1" applyBorder="1" applyAlignment="1" applyProtection="1">
      <alignment horizontal="right"/>
    </xf>
    <xf numFmtId="182" fontId="0" fillId="3" borderId="1" xfId="0" applyNumberFormat="1" applyFont="1" applyFill="1" applyBorder="1" applyAlignment="1" applyProtection="1">
      <alignment horizontal="right"/>
    </xf>
    <xf numFmtId="179" fontId="4" fillId="3" borderId="1" xfId="0" applyNumberFormat="1" applyFont="1" applyFill="1" applyBorder="1" applyAlignment="1" applyProtection="1">
      <alignment horizontal="right"/>
    </xf>
    <xf numFmtId="0" fontId="0" fillId="0" borderId="17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47625</xdr:rowOff>
    </xdr:from>
    <xdr:to>
      <xdr:col>8</xdr:col>
      <xdr:colOff>1276350</xdr:colOff>
      <xdr:row>27</xdr:row>
      <xdr:rowOff>133350</xdr:rowOff>
    </xdr:to>
    <xdr:pic>
      <xdr:nvPicPr>
        <xdr:cNvPr id="1055" name="Grafik 5">
          <a:extLst>
            <a:ext uri="{FF2B5EF4-FFF2-40B4-BE49-F238E27FC236}">
              <a16:creationId xmlns:a16="http://schemas.microsoft.com/office/drawing/2014/main" id="{AA4A9E5B-4FC1-44C1-B03F-F27F8B8C7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314325"/>
          <a:ext cx="3390900" cy="514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542925</xdr:colOff>
      <xdr:row>65</xdr:row>
      <xdr:rowOff>0</xdr:rowOff>
    </xdr:from>
    <xdr:to>
      <xdr:col>8</xdr:col>
      <xdr:colOff>1114425</xdr:colOff>
      <xdr:row>88</xdr:row>
      <xdr:rowOff>123825</xdr:rowOff>
    </xdr:to>
    <xdr:pic>
      <xdr:nvPicPr>
        <xdr:cNvPr id="1056" name="Grafik 7">
          <a:extLst>
            <a:ext uri="{FF2B5EF4-FFF2-40B4-BE49-F238E27FC236}">
              <a16:creationId xmlns:a16="http://schemas.microsoft.com/office/drawing/2014/main" id="{5F27E9AA-127B-4CAB-A3D1-A9BCF0868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2973050"/>
          <a:ext cx="2857500" cy="450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</xdr:colOff>
      <xdr:row>88</xdr:row>
      <xdr:rowOff>76200</xdr:rowOff>
    </xdr:from>
    <xdr:to>
      <xdr:col>8</xdr:col>
      <xdr:colOff>1333500</xdr:colOff>
      <xdr:row>92</xdr:row>
      <xdr:rowOff>28575</xdr:rowOff>
    </xdr:to>
    <xdr:pic>
      <xdr:nvPicPr>
        <xdr:cNvPr id="1057" name="Grafik 9">
          <a:extLst>
            <a:ext uri="{FF2B5EF4-FFF2-40B4-BE49-F238E27FC236}">
              <a16:creationId xmlns:a16="http://schemas.microsoft.com/office/drawing/2014/main" id="{BBD7FF97-2957-43C1-98F8-3C543FD73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7430750"/>
          <a:ext cx="49434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26</xdr:row>
      <xdr:rowOff>133350</xdr:rowOff>
    </xdr:from>
    <xdr:to>
      <xdr:col>6</xdr:col>
      <xdr:colOff>257175</xdr:colOff>
      <xdr:row>31</xdr:row>
      <xdr:rowOff>123825</xdr:rowOff>
    </xdr:to>
    <xdr:pic>
      <xdr:nvPicPr>
        <xdr:cNvPr id="1058" name="Grafik 10">
          <a:extLst>
            <a:ext uri="{FF2B5EF4-FFF2-40B4-BE49-F238E27FC236}">
              <a16:creationId xmlns:a16="http://schemas.microsoft.com/office/drawing/2014/main" id="{B9CDEF1E-44CC-4F90-A77C-20058D9EF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267325"/>
          <a:ext cx="65151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615462</xdr:colOff>
      <xdr:row>39</xdr:row>
      <xdr:rowOff>161192</xdr:rowOff>
    </xdr:from>
    <xdr:to>
      <xdr:col>4</xdr:col>
      <xdr:colOff>696058</xdr:colOff>
      <xdr:row>41</xdr:row>
      <xdr:rowOff>43961</xdr:rowOff>
    </xdr:to>
    <xdr:sp macro="" textlink="">
      <xdr:nvSpPr>
        <xdr:cNvPr id="2" name="Pfeil nach unten 1">
          <a:extLst>
            <a:ext uri="{FF2B5EF4-FFF2-40B4-BE49-F238E27FC236}">
              <a16:creationId xmlns:a16="http://schemas.microsoft.com/office/drawing/2014/main" id="{1BE62D45-D724-4B82-8FA7-29B05946FF75}"/>
            </a:ext>
          </a:extLst>
        </xdr:cNvPr>
        <xdr:cNvSpPr/>
      </xdr:nvSpPr>
      <xdr:spPr>
        <a:xfrm>
          <a:off x="4784481" y="8088923"/>
          <a:ext cx="740019" cy="2637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"/>
  <sheetViews>
    <sheetView tabSelected="1" topLeftCell="A73" zoomScale="130" zoomScaleNormal="130" workbookViewId="0">
      <selection activeCell="C96" sqref="C96"/>
    </sheetView>
  </sheetViews>
  <sheetFormatPr baseColWidth="10" defaultRowHeight="15" x14ac:dyDescent="0.25"/>
  <cols>
    <col min="1" max="1" width="43.85546875" style="6" customWidth="1"/>
    <col min="2" max="2" width="4.28515625" style="6" customWidth="1"/>
    <col min="3" max="3" width="14.42578125" style="6" customWidth="1"/>
    <col min="4" max="4" width="9.85546875" style="6" customWidth="1"/>
    <col min="5" max="5" width="10.7109375" style="6" customWidth="1"/>
    <col min="6" max="8" width="11.42578125" style="6"/>
    <col min="9" max="9" width="20.5703125" style="6" customWidth="1"/>
    <col min="10" max="16384" width="11.42578125" style="6"/>
  </cols>
  <sheetData>
    <row r="1" spans="1:6" ht="21" x14ac:dyDescent="0.35">
      <c r="A1" s="5" t="s">
        <v>85</v>
      </c>
      <c r="B1" s="5"/>
    </row>
    <row r="2" spans="1:6" x14ac:dyDescent="0.25">
      <c r="A2" s="6" t="s">
        <v>70</v>
      </c>
    </row>
    <row r="3" spans="1:6" x14ac:dyDescent="0.25">
      <c r="A3" s="7"/>
      <c r="B3" s="8" t="s">
        <v>19</v>
      </c>
      <c r="C3" s="9"/>
      <c r="D3" s="10"/>
      <c r="E3" s="11"/>
      <c r="F3" s="11"/>
    </row>
    <row r="4" spans="1:6" x14ac:dyDescent="0.25">
      <c r="A4" s="12"/>
      <c r="B4" s="13" t="s">
        <v>44</v>
      </c>
      <c r="C4" s="14"/>
      <c r="D4" s="15"/>
      <c r="E4" s="11"/>
      <c r="F4" s="11"/>
    </row>
    <row r="5" spans="1:6" ht="23.25" x14ac:dyDescent="0.35">
      <c r="A5" s="16" t="s">
        <v>18</v>
      </c>
    </row>
    <row r="6" spans="1:6" x14ac:dyDescent="0.25">
      <c r="A6" s="17" t="s">
        <v>82</v>
      </c>
    </row>
    <row r="7" spans="1:6" x14ac:dyDescent="0.25">
      <c r="A7" s="18" t="s">
        <v>0</v>
      </c>
      <c r="B7" s="18" t="s">
        <v>24</v>
      </c>
      <c r="C7" s="2">
        <v>800</v>
      </c>
      <c r="D7" s="19">
        <f>C7/1000</f>
        <v>0.8</v>
      </c>
      <c r="E7" s="20">
        <f>D7*10</f>
        <v>8</v>
      </c>
    </row>
    <row r="8" spans="1:6" x14ac:dyDescent="0.25">
      <c r="A8" s="18" t="s">
        <v>1</v>
      </c>
      <c r="B8" s="18" t="s">
        <v>25</v>
      </c>
      <c r="C8" s="2">
        <v>80</v>
      </c>
      <c r="D8" s="19">
        <f>C8/1000</f>
        <v>0.08</v>
      </c>
      <c r="E8" s="20">
        <f>D8*10</f>
        <v>0.8</v>
      </c>
    </row>
    <row r="9" spans="1:6" x14ac:dyDescent="0.25">
      <c r="A9" s="18" t="s">
        <v>2</v>
      </c>
      <c r="B9" s="18" t="s">
        <v>26</v>
      </c>
      <c r="C9" s="2">
        <v>80</v>
      </c>
      <c r="D9" s="19">
        <f>C9/1000</f>
        <v>0.08</v>
      </c>
      <c r="E9" s="20">
        <f>D9*10</f>
        <v>0.8</v>
      </c>
    </row>
    <row r="10" spans="1:6" x14ac:dyDescent="0.25">
      <c r="A10" s="18" t="s">
        <v>5</v>
      </c>
      <c r="B10" s="18" t="s">
        <v>27</v>
      </c>
      <c r="C10" s="21">
        <f>(C8+C9)/2</f>
        <v>80</v>
      </c>
      <c r="D10" s="19">
        <f>C10/1000</f>
        <v>0.08</v>
      </c>
      <c r="E10" s="20">
        <f>D10*10</f>
        <v>0.8</v>
      </c>
    </row>
    <row r="11" spans="1:6" x14ac:dyDescent="0.25">
      <c r="A11" s="18" t="s">
        <v>3</v>
      </c>
      <c r="B11" s="18" t="s">
        <v>28</v>
      </c>
      <c r="C11" s="22">
        <f>C7/C10</f>
        <v>10</v>
      </c>
      <c r="D11" s="19"/>
      <c r="E11" s="18"/>
    </row>
    <row r="12" spans="1:6" x14ac:dyDescent="0.25">
      <c r="A12" s="18" t="s">
        <v>4</v>
      </c>
      <c r="B12" s="18" t="s">
        <v>29</v>
      </c>
      <c r="C12" s="23">
        <f>C7*C10</f>
        <v>64000</v>
      </c>
      <c r="D12" s="24">
        <f>D7*D10</f>
        <v>6.4000000000000001E-2</v>
      </c>
      <c r="E12" s="25">
        <f>D12*100</f>
        <v>6.4</v>
      </c>
    </row>
    <row r="13" spans="1:6" x14ac:dyDescent="0.25">
      <c r="C13" s="26"/>
      <c r="D13" s="27"/>
      <c r="E13" s="28"/>
    </row>
    <row r="14" spans="1:6" x14ac:dyDescent="0.25">
      <c r="A14" s="18" t="s">
        <v>20</v>
      </c>
      <c r="B14" s="18" t="s">
        <v>21</v>
      </c>
      <c r="C14" s="3">
        <v>350</v>
      </c>
      <c r="D14" s="27"/>
      <c r="E14" s="28"/>
    </row>
    <row r="15" spans="1:6" x14ac:dyDescent="0.25">
      <c r="A15" s="18" t="s">
        <v>22</v>
      </c>
      <c r="B15" s="18" t="s">
        <v>30</v>
      </c>
      <c r="C15" s="29">
        <f>C14/E12</f>
        <v>54.6875</v>
      </c>
      <c r="D15" s="27"/>
    </row>
    <row r="17" spans="1:1" x14ac:dyDescent="0.25">
      <c r="A17" s="30" t="s">
        <v>71</v>
      </c>
    </row>
    <row r="18" spans="1:1" x14ac:dyDescent="0.25">
      <c r="A18" s="31" t="s">
        <v>73</v>
      </c>
    </row>
    <row r="19" spans="1:1" x14ac:dyDescent="0.25">
      <c r="A19" s="31" t="s">
        <v>76</v>
      </c>
    </row>
    <row r="20" spans="1:1" x14ac:dyDescent="0.25">
      <c r="A20" s="31" t="s">
        <v>74</v>
      </c>
    </row>
    <row r="21" spans="1:1" x14ac:dyDescent="0.25">
      <c r="A21" s="31" t="s">
        <v>75</v>
      </c>
    </row>
    <row r="22" spans="1:1" x14ac:dyDescent="0.25">
      <c r="A22" s="6" t="s">
        <v>72</v>
      </c>
    </row>
    <row r="33" spans="1:9" ht="23.25" x14ac:dyDescent="0.35">
      <c r="A33" s="16" t="s">
        <v>43</v>
      </c>
      <c r="B33" s="32"/>
    </row>
    <row r="34" spans="1:9" ht="18.75" x14ac:dyDescent="0.3">
      <c r="B34" s="32"/>
    </row>
    <row r="35" spans="1:9" ht="18.75" x14ac:dyDescent="0.3">
      <c r="A35" s="6" t="s">
        <v>32</v>
      </c>
      <c r="B35" s="32"/>
    </row>
    <row r="36" spans="1:9" x14ac:dyDescent="0.25">
      <c r="A36" s="17" t="s">
        <v>83</v>
      </c>
    </row>
    <row r="37" spans="1:9" ht="15.75" x14ac:dyDescent="0.25">
      <c r="A37" s="33" t="s">
        <v>11</v>
      </c>
      <c r="B37" s="34" t="s">
        <v>31</v>
      </c>
      <c r="C37" s="35">
        <f>D37*1000</f>
        <v>220.09183906944563</v>
      </c>
      <c r="D37" s="36">
        <f>((0.0476*(D7-1.8))+0.7)*(C11^(1/8))*SQRT(D12)</f>
        <v>0.22009183906944563</v>
      </c>
    </row>
    <row r="38" spans="1:9" ht="15.75" x14ac:dyDescent="0.25">
      <c r="A38" s="37"/>
      <c r="B38" s="38"/>
      <c r="C38" s="39"/>
      <c r="D38" s="40"/>
      <c r="E38" s="14"/>
      <c r="F38" s="14"/>
      <c r="G38" s="14"/>
      <c r="H38" s="14"/>
      <c r="I38" s="14"/>
    </row>
    <row r="39" spans="1:9" ht="23.25" x14ac:dyDescent="0.35">
      <c r="A39" s="16" t="s">
        <v>34</v>
      </c>
      <c r="B39" s="41"/>
    </row>
    <row r="41" spans="1:9" x14ac:dyDescent="0.25">
      <c r="A41" s="6" t="s">
        <v>36</v>
      </c>
      <c r="B41" s="6" t="s">
        <v>35</v>
      </c>
      <c r="F41" s="42" t="s">
        <v>77</v>
      </c>
    </row>
    <row r="42" spans="1:9" x14ac:dyDescent="0.25">
      <c r="A42" s="17" t="s">
        <v>84</v>
      </c>
    </row>
    <row r="43" spans="1:9" x14ac:dyDescent="0.25">
      <c r="A43" s="43"/>
      <c r="B43" s="44"/>
      <c r="C43" s="71" t="s">
        <v>33</v>
      </c>
      <c r="D43" s="72"/>
      <c r="E43" s="72"/>
      <c r="F43" s="72"/>
      <c r="G43" s="73"/>
    </row>
    <row r="44" spans="1:9" ht="15.75" thickBot="1" x14ac:dyDescent="0.3">
      <c r="A44" s="45"/>
      <c r="B44" s="46"/>
      <c r="C44" s="47" t="s">
        <v>6</v>
      </c>
      <c r="D44" s="48" t="s">
        <v>7</v>
      </c>
      <c r="E44" s="48" t="s">
        <v>8</v>
      </c>
      <c r="F44" s="48" t="s">
        <v>9</v>
      </c>
      <c r="G44" s="48" t="s">
        <v>10</v>
      </c>
    </row>
    <row r="45" spans="1:9" x14ac:dyDescent="0.25">
      <c r="A45" s="49" t="s">
        <v>12</v>
      </c>
      <c r="B45" s="50"/>
      <c r="C45" s="51">
        <f>E12/6</f>
        <v>1.0666666666666667</v>
      </c>
      <c r="D45" s="52">
        <f>E12/7</f>
        <v>0.91428571428571437</v>
      </c>
      <c r="E45" s="52">
        <f>E12/8</f>
        <v>0.8</v>
      </c>
      <c r="F45" s="52">
        <f>E12/9</f>
        <v>0.71111111111111114</v>
      </c>
      <c r="G45" s="52">
        <f>E12/10</f>
        <v>0.64</v>
      </c>
    </row>
    <row r="46" spans="1:9" x14ac:dyDescent="0.25">
      <c r="A46" s="18" t="s">
        <v>38</v>
      </c>
      <c r="B46" s="8" t="s">
        <v>39</v>
      </c>
      <c r="C46" s="53">
        <f>C45/(80/100)*100</f>
        <v>133.33333333333331</v>
      </c>
      <c r="D46" s="54">
        <f>D45/(80/100)*100</f>
        <v>114.28571428571428</v>
      </c>
      <c r="E46" s="54">
        <f>E45/(80/100)*100</f>
        <v>100</v>
      </c>
      <c r="F46" s="54">
        <f>F45/(80/100)*100</f>
        <v>88.888888888888886</v>
      </c>
      <c r="G46" s="54">
        <f>G45/(80/100)*100</f>
        <v>80</v>
      </c>
    </row>
    <row r="47" spans="1:9" x14ac:dyDescent="0.25">
      <c r="A47" s="18" t="s">
        <v>37</v>
      </c>
      <c r="B47" s="8" t="s">
        <v>39</v>
      </c>
      <c r="C47" s="53">
        <f>C45/(100/100)*100</f>
        <v>106.66666666666667</v>
      </c>
      <c r="D47" s="54">
        <f>D45/(100/100)*100</f>
        <v>91.428571428571431</v>
      </c>
      <c r="E47" s="54">
        <f>E45/(100/100)*100</f>
        <v>80</v>
      </c>
      <c r="F47" s="54">
        <f>F45/(100/100)*100</f>
        <v>71.111111111111114</v>
      </c>
      <c r="G47" s="54">
        <f>G45/(100/100)*100</f>
        <v>64</v>
      </c>
    </row>
    <row r="49" spans="1:9" x14ac:dyDescent="0.25">
      <c r="A49" s="18" t="s">
        <v>13</v>
      </c>
      <c r="B49" s="18" t="s">
        <v>40</v>
      </c>
      <c r="C49" s="1">
        <v>0.78</v>
      </c>
      <c r="E49" s="6" t="s">
        <v>78</v>
      </c>
    </row>
    <row r="50" spans="1:9" x14ac:dyDescent="0.25">
      <c r="A50" s="18" t="s">
        <v>14</v>
      </c>
      <c r="B50" s="18" t="s">
        <v>41</v>
      </c>
      <c r="C50" s="2">
        <v>60</v>
      </c>
      <c r="E50" s="6" t="s">
        <v>79</v>
      </c>
    </row>
    <row r="51" spans="1:9" x14ac:dyDescent="0.25">
      <c r="A51" s="18" t="s">
        <v>15</v>
      </c>
      <c r="B51" s="18" t="s">
        <v>42</v>
      </c>
      <c r="C51" s="2">
        <v>40</v>
      </c>
      <c r="E51" s="6" t="s">
        <v>90</v>
      </c>
    </row>
    <row r="52" spans="1:9" x14ac:dyDescent="0.25">
      <c r="A52" s="18" t="s">
        <v>46</v>
      </c>
      <c r="B52" s="18" t="s">
        <v>35</v>
      </c>
      <c r="C52" s="55">
        <f>(C51+C50)/2</f>
        <v>50</v>
      </c>
      <c r="E52" s="6" t="s">
        <v>80</v>
      </c>
    </row>
    <row r="53" spans="1:9" x14ac:dyDescent="0.25">
      <c r="A53" s="18" t="s">
        <v>16</v>
      </c>
      <c r="B53" s="18" t="s">
        <v>39</v>
      </c>
      <c r="C53" s="56">
        <f>(C49*10000)/C52</f>
        <v>156</v>
      </c>
      <c r="E53" s="6" t="s">
        <v>81</v>
      </c>
    </row>
    <row r="54" spans="1:9" x14ac:dyDescent="0.25">
      <c r="A54" s="14"/>
      <c r="B54" s="14"/>
      <c r="C54" s="14"/>
      <c r="D54" s="14"/>
      <c r="E54" s="14"/>
      <c r="F54" s="14"/>
      <c r="G54" s="14"/>
      <c r="H54" s="14"/>
      <c r="I54" s="14"/>
    </row>
    <row r="55" spans="1:9" ht="23.25" x14ac:dyDescent="0.35">
      <c r="A55" s="16" t="s">
        <v>23</v>
      </c>
      <c r="B55" s="41"/>
    </row>
    <row r="56" spans="1:9" ht="18.75" x14ac:dyDescent="0.3">
      <c r="B56" s="41"/>
    </row>
    <row r="57" spans="1:9" ht="6.75" customHeight="1" x14ac:dyDescent="0.25"/>
    <row r="58" spans="1:9" ht="18" x14ac:dyDescent="0.35">
      <c r="A58" s="6" t="s">
        <v>91</v>
      </c>
    </row>
    <row r="59" spans="1:9" ht="6" customHeight="1" x14ac:dyDescent="0.25"/>
    <row r="60" spans="1:9" x14ac:dyDescent="0.25">
      <c r="A60" s="57" t="s">
        <v>17</v>
      </c>
      <c r="B60" s="18" t="s">
        <v>59</v>
      </c>
      <c r="C60" s="58">
        <f>(E12*E7)/(35.5*((2.57/E7)^(1/3))*2*(C37/100))</f>
        <v>0.4784023387609006</v>
      </c>
    </row>
    <row r="64" spans="1:9" ht="23.25" x14ac:dyDescent="0.35">
      <c r="A64" s="16" t="s">
        <v>45</v>
      </c>
    </row>
    <row r="66" spans="1:3" x14ac:dyDescent="0.25">
      <c r="A66" s="30" t="s">
        <v>53</v>
      </c>
    </row>
    <row r="67" spans="1:3" x14ac:dyDescent="0.25">
      <c r="A67" s="18" t="s">
        <v>0</v>
      </c>
      <c r="B67" s="18" t="s">
        <v>24</v>
      </c>
      <c r="C67" s="59">
        <f>C7</f>
        <v>800</v>
      </c>
    </row>
    <row r="68" spans="1:3" x14ac:dyDescent="0.25">
      <c r="A68" s="18" t="s">
        <v>1</v>
      </c>
      <c r="B68" s="18" t="s">
        <v>25</v>
      </c>
      <c r="C68" s="59">
        <f>C8</f>
        <v>80</v>
      </c>
    </row>
    <row r="69" spans="1:3" x14ac:dyDescent="0.25">
      <c r="A69" s="18" t="s">
        <v>2</v>
      </c>
      <c r="B69" s="18" t="s">
        <v>26</v>
      </c>
      <c r="C69" s="59">
        <f>C9</f>
        <v>80</v>
      </c>
    </row>
    <row r="70" spans="1:3" x14ac:dyDescent="0.25">
      <c r="A70" s="18" t="s">
        <v>4</v>
      </c>
      <c r="B70" s="18" t="s">
        <v>29</v>
      </c>
      <c r="C70" s="25">
        <f>E12</f>
        <v>6.4</v>
      </c>
    </row>
    <row r="71" spans="1:3" x14ac:dyDescent="0.25">
      <c r="A71" s="18" t="s">
        <v>20</v>
      </c>
      <c r="B71" s="18" t="s">
        <v>21</v>
      </c>
      <c r="C71" s="60">
        <f>C14</f>
        <v>350</v>
      </c>
    </row>
    <row r="72" spans="1:3" x14ac:dyDescent="0.25">
      <c r="A72" s="18" t="s">
        <v>22</v>
      </c>
      <c r="B72" s="18" t="s">
        <v>30</v>
      </c>
      <c r="C72" s="61">
        <f>C15</f>
        <v>54.6875</v>
      </c>
    </row>
    <row r="74" spans="1:3" x14ac:dyDescent="0.25">
      <c r="A74" s="30" t="s">
        <v>52</v>
      </c>
    </row>
    <row r="75" spans="1:3" x14ac:dyDescent="0.25">
      <c r="A75" s="18" t="s">
        <v>13</v>
      </c>
      <c r="B75" s="18" t="s">
        <v>40</v>
      </c>
      <c r="C75" s="62">
        <f>C49</f>
        <v>0.78</v>
      </c>
    </row>
    <row r="76" spans="1:3" x14ac:dyDescent="0.25">
      <c r="A76" s="18" t="s">
        <v>14</v>
      </c>
      <c r="B76" s="18" t="s">
        <v>41</v>
      </c>
      <c r="C76" s="63">
        <f>C50</f>
        <v>60</v>
      </c>
    </row>
    <row r="77" spans="1:3" x14ac:dyDescent="0.25">
      <c r="A77" s="18" t="s">
        <v>15</v>
      </c>
      <c r="B77" s="18" t="s">
        <v>42</v>
      </c>
      <c r="C77" s="63">
        <f>C51</f>
        <v>40</v>
      </c>
    </row>
    <row r="78" spans="1:3" x14ac:dyDescent="0.25">
      <c r="A78" s="18" t="s">
        <v>46</v>
      </c>
      <c r="B78" s="18" t="s">
        <v>35</v>
      </c>
      <c r="C78" s="63">
        <f>C52</f>
        <v>50</v>
      </c>
    </row>
    <row r="79" spans="1:3" x14ac:dyDescent="0.25">
      <c r="A79" s="18" t="s">
        <v>16</v>
      </c>
      <c r="B79" s="18" t="s">
        <v>39</v>
      </c>
      <c r="C79" s="63">
        <f>C53</f>
        <v>156</v>
      </c>
    </row>
    <row r="80" spans="1:3" x14ac:dyDescent="0.25">
      <c r="A80" s="64" t="s">
        <v>48</v>
      </c>
      <c r="B80" s="64" t="s">
        <v>47</v>
      </c>
      <c r="C80" s="63">
        <f>C76-(0.6*C78)</f>
        <v>30</v>
      </c>
    </row>
    <row r="82" spans="1:5" x14ac:dyDescent="0.25">
      <c r="A82" s="30" t="s">
        <v>51</v>
      </c>
    </row>
    <row r="83" spans="1:5" x14ac:dyDescent="0.25">
      <c r="A83" s="18" t="s">
        <v>49</v>
      </c>
      <c r="B83" s="18" t="s">
        <v>50</v>
      </c>
      <c r="C83" s="65">
        <f>C68/100*30</f>
        <v>24</v>
      </c>
    </row>
    <row r="84" spans="1:5" x14ac:dyDescent="0.25">
      <c r="A84" s="18" t="s">
        <v>86</v>
      </c>
      <c r="B84" s="18" t="s">
        <v>50</v>
      </c>
      <c r="C84" s="65">
        <f>C68/3</f>
        <v>26.666666666666668</v>
      </c>
    </row>
    <row r="86" spans="1:5" x14ac:dyDescent="0.25">
      <c r="A86" s="18" t="s">
        <v>55</v>
      </c>
      <c r="B86" s="18" t="s">
        <v>54</v>
      </c>
      <c r="C86" s="66">
        <f>C37-C80-(C68-((C84+C83)/2))</f>
        <v>135.42517240277897</v>
      </c>
    </row>
    <row r="88" spans="1:5" x14ac:dyDescent="0.25">
      <c r="A88" s="30" t="s">
        <v>56</v>
      </c>
    </row>
    <row r="89" spans="1:5" x14ac:dyDescent="0.25">
      <c r="A89" s="18" t="s">
        <v>58</v>
      </c>
      <c r="B89" s="18" t="s">
        <v>59</v>
      </c>
      <c r="C89" s="67">
        <f>C60</f>
        <v>0.4784023387609006</v>
      </c>
    </row>
    <row r="90" spans="1:5" x14ac:dyDescent="0.25">
      <c r="A90" s="18" t="s">
        <v>60</v>
      </c>
      <c r="B90" s="18" t="s">
        <v>57</v>
      </c>
      <c r="C90" s="2">
        <v>60</v>
      </c>
    </row>
    <row r="91" spans="1:5" x14ac:dyDescent="0.25">
      <c r="A91" s="18" t="s">
        <v>61</v>
      </c>
      <c r="B91" s="18" t="s">
        <v>62</v>
      </c>
      <c r="C91" s="2">
        <v>40</v>
      </c>
    </row>
    <row r="92" spans="1:5" x14ac:dyDescent="0.25">
      <c r="A92" s="18" t="s">
        <v>63</v>
      </c>
      <c r="B92" s="18" t="s">
        <v>64</v>
      </c>
      <c r="C92" s="68">
        <f>((C89*10000)/C90*2)-C91</f>
        <v>119.46744625363354</v>
      </c>
    </row>
    <row r="93" spans="1:5" x14ac:dyDescent="0.25">
      <c r="A93" s="64" t="s">
        <v>69</v>
      </c>
      <c r="B93" s="64" t="s">
        <v>68</v>
      </c>
      <c r="C93" s="69">
        <f>DEGREES(ATAN(C90/(C92-C91)))</f>
        <v>37.053758837337014</v>
      </c>
    </row>
    <row r="95" spans="1:5" x14ac:dyDescent="0.25">
      <c r="A95" s="18" t="s">
        <v>65</v>
      </c>
      <c r="B95" s="18" t="s">
        <v>66</v>
      </c>
      <c r="C95" s="4">
        <v>2</v>
      </c>
      <c r="E95" s="6" t="s">
        <v>88</v>
      </c>
    </row>
    <row r="96" spans="1:5" x14ac:dyDescent="0.25">
      <c r="A96" s="18" t="s">
        <v>87</v>
      </c>
      <c r="B96" s="18" t="s">
        <v>67</v>
      </c>
      <c r="C96" s="70">
        <f>(TAN(RADIANS(2*C95)))*(C67/2)</f>
        <v>27.970724777404165</v>
      </c>
      <c r="E96" s="6" t="s">
        <v>89</v>
      </c>
    </row>
  </sheetData>
  <sheetProtection password="DF7C" sheet="1" objects="1" scenarios="1"/>
  <mergeCells count="1">
    <mergeCell ref="C43:G43"/>
  </mergeCells>
  <pageMargins left="0.39370078740157483" right="0.39370078740157483" top="0.78740157480314965" bottom="0.39370078740157483" header="0.31496062992125984" footer="0.31496062992125984"/>
  <pageSetup paperSize="9" orientation="landscape" r:id="rId1"/>
  <headerFooter>
    <oddHeader>&amp;LModellberechnung&amp;RSeite &amp;P von &amp;N</oddHeader>
    <oddFooter>&amp;RChristian Forrer
www.ch-forrer.ch</oddFooter>
  </headerFooter>
  <rowBreaks count="2" manualBreakCount="2">
    <brk id="32" max="16383" man="1"/>
    <brk id="6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www.ch-forrer.ch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2014-12-06T10:07:12Z</dcterms:created>
  <dcterms:modified xsi:type="dcterms:W3CDTF">2022-01-01T21:26:17Z</dcterms:modified>
</cp:coreProperties>
</file>