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cha\Investing\models\Neuroscience\"/>
    </mc:Choice>
  </mc:AlternateContent>
  <xr:revisionPtr revIDLastSave="0" documentId="13_ncr:1_{7CD1E1F6-61DC-43E2-9FBC-263318C2EE3B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4" i="2" l="1"/>
  <c r="J117" i="2"/>
  <c r="J116" i="2"/>
  <c r="I116" i="2"/>
  <c r="L115" i="2"/>
  <c r="J113" i="2"/>
  <c r="J108" i="2"/>
  <c r="J106" i="2"/>
  <c r="J105" i="2"/>
  <c r="J104" i="2"/>
  <c r="J103" i="2"/>
  <c r="J101" i="2"/>
  <c r="I101" i="2"/>
  <c r="J100" i="2"/>
  <c r="J98" i="2"/>
  <c r="J99" i="2"/>
  <c r="J97" i="2"/>
  <c r="J96" i="2"/>
  <c r="J95" i="2"/>
  <c r="J92" i="2"/>
  <c r="J91" i="2"/>
  <c r="J90" i="2"/>
  <c r="J89" i="2"/>
  <c r="J88" i="2"/>
  <c r="J87" i="2"/>
  <c r="J86" i="2"/>
  <c r="J84" i="2"/>
  <c r="J83" i="2"/>
  <c r="J81" i="2"/>
  <c r="J80" i="2"/>
  <c r="J79" i="2"/>
  <c r="J78" i="2"/>
  <c r="I71" i="2"/>
  <c r="I54" i="2" s="1"/>
  <c r="I60" i="2"/>
  <c r="I55" i="2"/>
  <c r="I66" i="2"/>
  <c r="S54" i="2"/>
  <c r="AB15" i="2"/>
  <c r="AA15" i="2"/>
  <c r="Z15" i="2"/>
  <c r="Y15" i="2"/>
  <c r="X15" i="2"/>
  <c r="W15" i="2"/>
  <c r="V15" i="2"/>
  <c r="U15" i="2"/>
  <c r="T15" i="2"/>
  <c r="S15" i="2"/>
  <c r="R15" i="2"/>
  <c r="R17" i="2"/>
  <c r="AB44" i="2"/>
  <c r="AA44" i="2"/>
  <c r="Z44" i="2"/>
  <c r="Y44" i="2"/>
  <c r="X44" i="2"/>
  <c r="W44" i="2"/>
  <c r="V44" i="2"/>
  <c r="U44" i="2"/>
  <c r="W13" i="2"/>
  <c r="X13" i="2" s="1"/>
  <c r="Y13" i="2" s="1"/>
  <c r="Z13" i="2" s="1"/>
  <c r="AA13" i="2" s="1"/>
  <c r="AB13" i="2" s="1"/>
  <c r="V13" i="2"/>
  <c r="U13" i="2"/>
  <c r="T44" i="2"/>
  <c r="T13" i="2"/>
  <c r="S44" i="2"/>
  <c r="S13" i="2"/>
  <c r="AB43" i="2"/>
  <c r="AA43" i="2"/>
  <c r="Z43" i="2"/>
  <c r="Y43" i="2"/>
  <c r="X43" i="2"/>
  <c r="W43" i="2"/>
  <c r="V43" i="2"/>
  <c r="U43" i="2"/>
  <c r="T43" i="2"/>
  <c r="S43" i="2"/>
  <c r="U12" i="2"/>
  <c r="V12" i="2" s="1"/>
  <c r="W12" i="2" s="1"/>
  <c r="X12" i="2" s="1"/>
  <c r="Y12" i="2" s="1"/>
  <c r="Z12" i="2" s="1"/>
  <c r="AA12" i="2" s="1"/>
  <c r="AB12" i="2" s="1"/>
  <c r="T12" i="2"/>
  <c r="S12" i="2"/>
  <c r="AB42" i="2"/>
  <c r="AA42" i="2"/>
  <c r="Z42" i="2"/>
  <c r="Y42" i="2"/>
  <c r="X42" i="2"/>
  <c r="W42" i="2"/>
  <c r="V42" i="2"/>
  <c r="U42" i="2"/>
  <c r="T42" i="2"/>
  <c r="S42" i="2"/>
  <c r="T11" i="2"/>
  <c r="U11" i="2" s="1"/>
  <c r="V11" i="2" s="1"/>
  <c r="W11" i="2" s="1"/>
  <c r="X11" i="2" s="1"/>
  <c r="Y11" i="2" s="1"/>
  <c r="Z11" i="2" s="1"/>
  <c r="AA11" i="2" s="1"/>
  <c r="AB11" i="2" s="1"/>
  <c r="S11" i="2"/>
  <c r="AB41" i="2"/>
  <c r="AA41" i="2"/>
  <c r="Z41" i="2"/>
  <c r="Y41" i="2"/>
  <c r="X41" i="2"/>
  <c r="W41" i="2"/>
  <c r="V41" i="2"/>
  <c r="U41" i="2"/>
  <c r="T41" i="2"/>
  <c r="S41" i="2"/>
  <c r="T10" i="2"/>
  <c r="U10" i="2" s="1"/>
  <c r="V10" i="2" s="1"/>
  <c r="W10" i="2" s="1"/>
  <c r="X10" i="2" s="1"/>
  <c r="Y10" i="2" s="1"/>
  <c r="Z10" i="2" s="1"/>
  <c r="AA10" i="2" s="1"/>
  <c r="AB10" i="2" s="1"/>
  <c r="S10" i="2"/>
  <c r="T9" i="2"/>
  <c r="T40" i="2" s="1"/>
  <c r="S9" i="2"/>
  <c r="S40" i="2" s="1"/>
  <c r="AB39" i="2"/>
  <c r="AA39" i="2"/>
  <c r="Z39" i="2"/>
  <c r="Y39" i="2"/>
  <c r="X39" i="2"/>
  <c r="W39" i="2"/>
  <c r="V39" i="2"/>
  <c r="U39" i="2"/>
  <c r="T39" i="2"/>
  <c r="S39" i="2"/>
  <c r="U8" i="2"/>
  <c r="V8" i="2" s="1"/>
  <c r="W8" i="2" s="1"/>
  <c r="X8" i="2" s="1"/>
  <c r="Y8" i="2" s="1"/>
  <c r="Z8" i="2" s="1"/>
  <c r="AA8" i="2" s="1"/>
  <c r="AB8" i="2" s="1"/>
  <c r="T8" i="2"/>
  <c r="S8" i="2"/>
  <c r="AB38" i="2"/>
  <c r="AA38" i="2"/>
  <c r="Z38" i="2"/>
  <c r="Y38" i="2"/>
  <c r="X38" i="2"/>
  <c r="W38" i="2"/>
  <c r="V38" i="2"/>
  <c r="U38" i="2"/>
  <c r="T38" i="2"/>
  <c r="S38" i="2"/>
  <c r="U7" i="2"/>
  <c r="V7" i="2" s="1"/>
  <c r="W7" i="2" s="1"/>
  <c r="X7" i="2" s="1"/>
  <c r="Y7" i="2" s="1"/>
  <c r="Z7" i="2" s="1"/>
  <c r="AA7" i="2" s="1"/>
  <c r="AB7" i="2" s="1"/>
  <c r="T7" i="2"/>
  <c r="S7" i="2"/>
  <c r="AB37" i="2"/>
  <c r="AA37" i="2"/>
  <c r="Z37" i="2"/>
  <c r="Y37" i="2"/>
  <c r="X37" i="2"/>
  <c r="W37" i="2"/>
  <c r="V37" i="2"/>
  <c r="U37" i="2"/>
  <c r="T37" i="2"/>
  <c r="S37" i="2"/>
  <c r="U6" i="2"/>
  <c r="V6" i="2" s="1"/>
  <c r="W6" i="2" s="1"/>
  <c r="X6" i="2" s="1"/>
  <c r="Y6" i="2" s="1"/>
  <c r="Z6" i="2" s="1"/>
  <c r="AA6" i="2" s="1"/>
  <c r="AB6" i="2" s="1"/>
  <c r="T6" i="2"/>
  <c r="S6" i="2"/>
  <c r="AB36" i="2"/>
  <c r="AA36" i="2"/>
  <c r="Z36" i="2"/>
  <c r="Y36" i="2"/>
  <c r="X36" i="2"/>
  <c r="W36" i="2"/>
  <c r="V36" i="2"/>
  <c r="U36" i="2"/>
  <c r="T36" i="2"/>
  <c r="S36" i="2"/>
  <c r="U5" i="2"/>
  <c r="V5" i="2" s="1"/>
  <c r="W5" i="2" s="1"/>
  <c r="X5" i="2" s="1"/>
  <c r="Y5" i="2" s="1"/>
  <c r="Z5" i="2" s="1"/>
  <c r="AA5" i="2" s="1"/>
  <c r="AB5" i="2" s="1"/>
  <c r="T5" i="2"/>
  <c r="S5" i="2"/>
  <c r="AB35" i="2"/>
  <c r="AA35" i="2"/>
  <c r="Z35" i="2"/>
  <c r="Y35" i="2"/>
  <c r="X35" i="2"/>
  <c r="W35" i="2"/>
  <c r="V35" i="2"/>
  <c r="U35" i="2"/>
  <c r="T35" i="2"/>
  <c r="S35" i="2"/>
  <c r="AB34" i="2"/>
  <c r="AA34" i="2"/>
  <c r="Z34" i="2"/>
  <c r="Y34" i="2"/>
  <c r="X34" i="2"/>
  <c r="W34" i="2"/>
  <c r="V34" i="2"/>
  <c r="U34" i="2"/>
  <c r="T34" i="2"/>
  <c r="S34" i="2"/>
  <c r="T4" i="2"/>
  <c r="U4" i="2" s="1"/>
  <c r="V4" i="2" s="1"/>
  <c r="W4" i="2" s="1"/>
  <c r="X4" i="2" s="1"/>
  <c r="Y4" i="2" s="1"/>
  <c r="Z4" i="2" s="1"/>
  <c r="AA4" i="2" s="1"/>
  <c r="AB4" i="2" s="1"/>
  <c r="S4" i="2"/>
  <c r="U3" i="2"/>
  <c r="V3" i="2" s="1"/>
  <c r="W3" i="2" s="1"/>
  <c r="X3" i="2" s="1"/>
  <c r="Y3" i="2" s="1"/>
  <c r="Z3" i="2" s="1"/>
  <c r="AA3" i="2" s="1"/>
  <c r="AB3" i="2" s="1"/>
  <c r="T3" i="2"/>
  <c r="S3" i="2"/>
  <c r="Q43" i="2"/>
  <c r="P43" i="2"/>
  <c r="Q42" i="2"/>
  <c r="P42" i="2"/>
  <c r="Q41" i="2"/>
  <c r="P41" i="2"/>
  <c r="Q40" i="2"/>
  <c r="P40" i="2"/>
  <c r="Q39" i="2"/>
  <c r="P39" i="2"/>
  <c r="Q38" i="2"/>
  <c r="P38" i="2"/>
  <c r="Q37" i="2"/>
  <c r="P37" i="2"/>
  <c r="Q36" i="2"/>
  <c r="P36" i="2"/>
  <c r="Q35" i="2"/>
  <c r="P35" i="2"/>
  <c r="R44" i="2"/>
  <c r="R43" i="2"/>
  <c r="R42" i="2"/>
  <c r="R41" i="2"/>
  <c r="R40" i="2"/>
  <c r="R39" i="2"/>
  <c r="R38" i="2"/>
  <c r="R37" i="2"/>
  <c r="R36" i="2"/>
  <c r="R35" i="2"/>
  <c r="Q34" i="2"/>
  <c r="P34" i="2"/>
  <c r="R34" i="2"/>
  <c r="O15" i="2"/>
  <c r="U14" i="2"/>
  <c r="V14" i="2" s="1"/>
  <c r="W14" i="2" s="1"/>
  <c r="X14" i="2" s="1"/>
  <c r="Y14" i="2" s="1"/>
  <c r="Z14" i="2" s="1"/>
  <c r="AA14" i="2" s="1"/>
  <c r="AB14" i="2" s="1"/>
  <c r="T14" i="2"/>
  <c r="S14" i="2"/>
  <c r="P15" i="2"/>
  <c r="P14" i="2"/>
  <c r="Q15" i="2"/>
  <c r="R46" i="2"/>
  <c r="Q46" i="2"/>
  <c r="Q14" i="2"/>
  <c r="Q13" i="2"/>
  <c r="Q12" i="2"/>
  <c r="Q11" i="2"/>
  <c r="Q10" i="2"/>
  <c r="Q9" i="2"/>
  <c r="Q8" i="2"/>
  <c r="Q7" i="2"/>
  <c r="Q6" i="2"/>
  <c r="Q5" i="2"/>
  <c r="Q4" i="2"/>
  <c r="Q3" i="2"/>
  <c r="R14" i="2"/>
  <c r="R13" i="2"/>
  <c r="R12" i="2"/>
  <c r="R11" i="2"/>
  <c r="R10" i="2"/>
  <c r="R9" i="2"/>
  <c r="R8" i="2"/>
  <c r="R7" i="2"/>
  <c r="R6" i="2"/>
  <c r="R5" i="2"/>
  <c r="R4" i="2"/>
  <c r="R3" i="2"/>
  <c r="L15" i="2"/>
  <c r="K15" i="2"/>
  <c r="L14" i="2"/>
  <c r="K14" i="2"/>
  <c r="L44" i="2"/>
  <c r="K44" i="2"/>
  <c r="K13" i="2"/>
  <c r="L13" i="2"/>
  <c r="L43" i="2"/>
  <c r="K43" i="2"/>
  <c r="L12" i="2"/>
  <c r="K12" i="2"/>
  <c r="L42" i="2"/>
  <c r="K42" i="2"/>
  <c r="L11" i="2"/>
  <c r="K11" i="2"/>
  <c r="L41" i="2"/>
  <c r="K41" i="2"/>
  <c r="L10" i="2"/>
  <c r="K10" i="2"/>
  <c r="K40" i="2"/>
  <c r="L40" i="2"/>
  <c r="L9" i="2"/>
  <c r="K9" i="2"/>
  <c r="L39" i="2"/>
  <c r="K39" i="2"/>
  <c r="L8" i="2"/>
  <c r="K8" i="2"/>
  <c r="L38" i="2"/>
  <c r="K38" i="2"/>
  <c r="L7" i="2"/>
  <c r="K7" i="2"/>
  <c r="L37" i="2"/>
  <c r="K37" i="2"/>
  <c r="L6" i="2"/>
  <c r="K6" i="2"/>
  <c r="L36" i="2"/>
  <c r="K36" i="2"/>
  <c r="L5" i="2"/>
  <c r="K5" i="2"/>
  <c r="L34" i="2"/>
  <c r="K34" i="2"/>
  <c r="L3" i="2"/>
  <c r="K3" i="2"/>
  <c r="L35" i="2"/>
  <c r="K35" i="2"/>
  <c r="L4" i="2"/>
  <c r="K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J44" i="2"/>
  <c r="J43" i="2"/>
  <c r="J42" i="2"/>
  <c r="J41" i="2"/>
  <c r="J40" i="2"/>
  <c r="J39" i="2"/>
  <c r="J38" i="2"/>
  <c r="J37" i="2"/>
  <c r="J36" i="2"/>
  <c r="J35" i="2"/>
  <c r="I34" i="2"/>
  <c r="H34" i="2"/>
  <c r="G34" i="2"/>
  <c r="J34" i="2"/>
  <c r="D14" i="2"/>
  <c r="H14" i="2"/>
  <c r="C14" i="2"/>
  <c r="C15" i="2" s="1"/>
  <c r="G14" i="2"/>
  <c r="E15" i="2"/>
  <c r="F15" i="2"/>
  <c r="F19" i="2" s="1"/>
  <c r="F21" i="2" s="1"/>
  <c r="F49" i="2" s="1"/>
  <c r="I106" i="2"/>
  <c r="I93" i="2"/>
  <c r="I113" i="2" s="1"/>
  <c r="J71" i="2"/>
  <c r="J75" i="2" s="1"/>
  <c r="R9" i="1"/>
  <c r="J60" i="2"/>
  <c r="J55" i="2"/>
  <c r="J54" i="2" s="1"/>
  <c r="S27" i="2" s="1"/>
  <c r="AE54" i="2"/>
  <c r="AE50" i="2"/>
  <c r="P48" i="2"/>
  <c r="P47" i="2"/>
  <c r="P46" i="2"/>
  <c r="O24" i="2"/>
  <c r="O25" i="2" s="1"/>
  <c r="O19" i="2"/>
  <c r="O21" i="2" s="1"/>
  <c r="P24" i="2"/>
  <c r="P25" i="2" s="1"/>
  <c r="P19" i="2"/>
  <c r="P51" i="2" s="1"/>
  <c r="R27" i="2"/>
  <c r="R32" i="2"/>
  <c r="R16" i="2"/>
  <c r="Q32" i="2"/>
  <c r="Q29" i="2"/>
  <c r="Q27" i="2"/>
  <c r="Q23" i="2"/>
  <c r="Q22" i="2"/>
  <c r="Q20" i="2"/>
  <c r="Q18" i="2"/>
  <c r="Q48" i="2" s="1"/>
  <c r="Q17" i="2"/>
  <c r="Q47" i="2" s="1"/>
  <c r="Q16" i="2"/>
  <c r="L18" i="2"/>
  <c r="L48" i="2" s="1"/>
  <c r="K18" i="2"/>
  <c r="K48" i="2" s="1"/>
  <c r="G48" i="2"/>
  <c r="I48" i="2"/>
  <c r="H48" i="2"/>
  <c r="J48" i="2"/>
  <c r="L17" i="2"/>
  <c r="L47" i="2" s="1"/>
  <c r="K17" i="2"/>
  <c r="K47" i="2" s="1"/>
  <c r="I47" i="2"/>
  <c r="H47" i="2"/>
  <c r="G47" i="2"/>
  <c r="J47" i="2"/>
  <c r="D24" i="2"/>
  <c r="D25" i="2"/>
  <c r="H24" i="2"/>
  <c r="H25" i="2" s="1"/>
  <c r="C24" i="2"/>
  <c r="C25" i="2" s="1"/>
  <c r="G24" i="2"/>
  <c r="G25" i="2" s="1"/>
  <c r="E24" i="2"/>
  <c r="E25" i="2" s="1"/>
  <c r="I24" i="2"/>
  <c r="I25" i="2" s="1"/>
  <c r="F24" i="2"/>
  <c r="F25" i="2" s="1"/>
  <c r="J24" i="2"/>
  <c r="J25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R10" i="1"/>
  <c r="R8" i="1"/>
  <c r="R7" i="1"/>
  <c r="J93" i="2" l="1"/>
  <c r="I75" i="2"/>
  <c r="U9" i="2"/>
  <c r="V9" i="2" s="1"/>
  <c r="W9" i="2" s="1"/>
  <c r="X9" i="2" s="1"/>
  <c r="Y9" i="2" s="1"/>
  <c r="Z9" i="2" s="1"/>
  <c r="AA9" i="2" s="1"/>
  <c r="AB9" i="2" s="1"/>
  <c r="J15" i="2"/>
  <c r="J19" i="2" s="1"/>
  <c r="J50" i="2" s="1"/>
  <c r="I15" i="2"/>
  <c r="I19" i="2" s="1"/>
  <c r="I21" i="2" s="1"/>
  <c r="I49" i="2" s="1"/>
  <c r="G15" i="2"/>
  <c r="G19" i="2" s="1"/>
  <c r="G21" i="2" s="1"/>
  <c r="G26" i="2" s="1"/>
  <c r="G28" i="2" s="1"/>
  <c r="H15" i="2"/>
  <c r="L46" i="2" s="1"/>
  <c r="E19" i="2"/>
  <c r="E21" i="2" s="1"/>
  <c r="E49" i="2" s="1"/>
  <c r="O26" i="2"/>
  <c r="O28" i="2" s="1"/>
  <c r="O30" i="2" s="1"/>
  <c r="O31" i="2" s="1"/>
  <c r="C19" i="2"/>
  <c r="C21" i="2" s="1"/>
  <c r="C26" i="2" s="1"/>
  <c r="C28" i="2" s="1"/>
  <c r="C30" i="2" s="1"/>
  <c r="C31" i="2" s="1"/>
  <c r="D19" i="2"/>
  <c r="D21" i="2" s="1"/>
  <c r="D26" i="2" s="1"/>
  <c r="D28" i="2" s="1"/>
  <c r="D30" i="2" s="1"/>
  <c r="D31" i="2" s="1"/>
  <c r="F50" i="2"/>
  <c r="O50" i="2"/>
  <c r="R18" i="2"/>
  <c r="S18" i="2" s="1"/>
  <c r="S48" i="2" s="1"/>
  <c r="J66" i="2"/>
  <c r="I108" i="2"/>
  <c r="O49" i="2"/>
  <c r="P21" i="2"/>
  <c r="P50" i="2"/>
  <c r="O51" i="2"/>
  <c r="R24" i="2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F51" i="2"/>
  <c r="Q24" i="2"/>
  <c r="Q25" i="2" s="1"/>
  <c r="F26" i="2"/>
  <c r="F28" i="2" s="1"/>
  <c r="U40" i="2" l="1"/>
  <c r="C52" i="2"/>
  <c r="O52" i="2"/>
  <c r="I46" i="2"/>
  <c r="J51" i="2"/>
  <c r="J21" i="2"/>
  <c r="J49" i="2" s="1"/>
  <c r="J46" i="2"/>
  <c r="I51" i="2"/>
  <c r="I50" i="2"/>
  <c r="I26" i="2"/>
  <c r="I28" i="2" s="1"/>
  <c r="I30" i="2" s="1"/>
  <c r="Q19" i="2"/>
  <c r="Q50" i="2" s="1"/>
  <c r="H46" i="2"/>
  <c r="H19" i="2"/>
  <c r="H21" i="2" s="1"/>
  <c r="H49" i="2" s="1"/>
  <c r="G46" i="2"/>
  <c r="K46" i="2"/>
  <c r="D52" i="2"/>
  <c r="D51" i="2"/>
  <c r="L19" i="2"/>
  <c r="L23" i="2" s="1"/>
  <c r="L51" i="2" s="1"/>
  <c r="C51" i="2"/>
  <c r="C50" i="2"/>
  <c r="E50" i="2"/>
  <c r="E51" i="2"/>
  <c r="E26" i="2"/>
  <c r="E28" i="2" s="1"/>
  <c r="E52" i="2" s="1"/>
  <c r="C49" i="2"/>
  <c r="R48" i="2"/>
  <c r="T18" i="2"/>
  <c r="T48" i="2" s="1"/>
  <c r="G50" i="2"/>
  <c r="G49" i="2"/>
  <c r="D49" i="2"/>
  <c r="D50" i="2"/>
  <c r="G51" i="2"/>
  <c r="R47" i="2"/>
  <c r="S17" i="2"/>
  <c r="P49" i="2"/>
  <c r="P26" i="2"/>
  <c r="P28" i="2" s="1"/>
  <c r="G30" i="2"/>
  <c r="G31" i="2" s="1"/>
  <c r="G52" i="2"/>
  <c r="F30" i="2"/>
  <c r="F31" i="2" s="1"/>
  <c r="F52" i="2"/>
  <c r="V40" i="2" l="1"/>
  <c r="J26" i="2"/>
  <c r="J28" i="2" s="1"/>
  <c r="J30" i="2" s="1"/>
  <c r="J31" i="2" s="1"/>
  <c r="I52" i="2"/>
  <c r="L20" i="2"/>
  <c r="L21" i="2" s="1"/>
  <c r="L49" i="2" s="1"/>
  <c r="K19" i="2"/>
  <c r="K23" i="2" s="1"/>
  <c r="K51" i="2" s="1"/>
  <c r="R19" i="2"/>
  <c r="H51" i="2"/>
  <c r="H26" i="2"/>
  <c r="H28" i="2" s="1"/>
  <c r="H30" i="2" s="1"/>
  <c r="H31" i="2" s="1"/>
  <c r="Q51" i="2"/>
  <c r="Q21" i="2"/>
  <c r="Q49" i="2" s="1"/>
  <c r="H50" i="2"/>
  <c r="L22" i="2"/>
  <c r="L25" i="2" s="1"/>
  <c r="U18" i="2"/>
  <c r="U48" i="2" s="1"/>
  <c r="E30" i="2"/>
  <c r="E31" i="2" s="1"/>
  <c r="I31" i="2"/>
  <c r="I77" i="2"/>
  <c r="P30" i="2"/>
  <c r="P31" i="2" s="1"/>
  <c r="P52" i="2"/>
  <c r="S47" i="2"/>
  <c r="T17" i="2"/>
  <c r="W40" i="2" l="1"/>
  <c r="R23" i="2"/>
  <c r="R51" i="2" s="1"/>
  <c r="J77" i="2"/>
  <c r="J52" i="2"/>
  <c r="L26" i="2"/>
  <c r="L28" i="2" s="1"/>
  <c r="L29" i="2" s="1"/>
  <c r="L52" i="2" s="1"/>
  <c r="K22" i="2"/>
  <c r="R22" i="2" s="1"/>
  <c r="R50" i="2" s="1"/>
  <c r="K20" i="2"/>
  <c r="R20" i="2" s="1"/>
  <c r="R21" i="2" s="1"/>
  <c r="R49" i="2" s="1"/>
  <c r="S46" i="2"/>
  <c r="H52" i="2"/>
  <c r="Q26" i="2"/>
  <c r="Q28" i="2" s="1"/>
  <c r="Q30" i="2" s="1"/>
  <c r="Q31" i="2" s="1"/>
  <c r="L50" i="2"/>
  <c r="V18" i="2"/>
  <c r="V48" i="2" s="1"/>
  <c r="T47" i="2"/>
  <c r="U17" i="2"/>
  <c r="X40" i="2" l="1"/>
  <c r="L30" i="2"/>
  <c r="L31" i="2" s="1"/>
  <c r="K25" i="2"/>
  <c r="K50" i="2"/>
  <c r="K21" i="2"/>
  <c r="K49" i="2" s="1"/>
  <c r="R25" i="2"/>
  <c r="R26" i="2" s="1"/>
  <c r="R28" i="2" s="1"/>
  <c r="S19" i="2"/>
  <c r="S23" i="2" s="1"/>
  <c r="S51" i="2" s="1"/>
  <c r="Q52" i="2"/>
  <c r="W18" i="2"/>
  <c r="X18" i="2" s="1"/>
  <c r="V17" i="2"/>
  <c r="U47" i="2"/>
  <c r="Y40" i="2" l="1"/>
  <c r="S20" i="2"/>
  <c r="S21" i="2" s="1"/>
  <c r="S49" i="2" s="1"/>
  <c r="S22" i="2"/>
  <c r="S50" i="2" s="1"/>
  <c r="K26" i="2"/>
  <c r="K28" i="2" s="1"/>
  <c r="K29" i="2" s="1"/>
  <c r="K52" i="2" s="1"/>
  <c r="U46" i="2"/>
  <c r="U19" i="2"/>
  <c r="U20" i="2" s="1"/>
  <c r="U21" i="2" s="1"/>
  <c r="T19" i="2"/>
  <c r="T23" i="2" s="1"/>
  <c r="T51" i="2" s="1"/>
  <c r="T46" i="2"/>
  <c r="W48" i="2"/>
  <c r="W17" i="2"/>
  <c r="V47" i="2"/>
  <c r="V19" i="2"/>
  <c r="V46" i="2"/>
  <c r="Y18" i="2"/>
  <c r="X48" i="2"/>
  <c r="Z40" i="2" l="1"/>
  <c r="T22" i="2"/>
  <c r="T50" i="2" s="1"/>
  <c r="K30" i="2"/>
  <c r="K31" i="2" s="1"/>
  <c r="R29" i="2"/>
  <c r="R30" i="2" s="1"/>
  <c r="R31" i="2" s="1"/>
  <c r="S25" i="2"/>
  <c r="S26" i="2" s="1"/>
  <c r="S28" i="2" s="1"/>
  <c r="S29" i="2" s="1"/>
  <c r="S52" i="2" s="1"/>
  <c r="T20" i="2"/>
  <c r="T21" i="2" s="1"/>
  <c r="T49" i="2" s="1"/>
  <c r="U22" i="2"/>
  <c r="U50" i="2" s="1"/>
  <c r="U23" i="2"/>
  <c r="U51" i="2" s="1"/>
  <c r="U49" i="2"/>
  <c r="Z18" i="2"/>
  <c r="Y48" i="2"/>
  <c r="W19" i="2"/>
  <c r="W46" i="2"/>
  <c r="X17" i="2"/>
  <c r="W47" i="2"/>
  <c r="V20" i="2"/>
  <c r="V21" i="2" s="1"/>
  <c r="V23" i="2"/>
  <c r="V51" i="2" s="1"/>
  <c r="V22" i="2"/>
  <c r="AB40" i="2" l="1"/>
  <c r="AA40" i="2"/>
  <c r="T25" i="2"/>
  <c r="T26" i="2" s="1"/>
  <c r="S30" i="2"/>
  <c r="R52" i="2"/>
  <c r="U25" i="2"/>
  <c r="U26" i="2" s="1"/>
  <c r="V50" i="2"/>
  <c r="V25" i="2"/>
  <c r="V26" i="2" s="1"/>
  <c r="X19" i="2"/>
  <c r="X46" i="2"/>
  <c r="V49" i="2"/>
  <c r="Y17" i="2"/>
  <c r="X47" i="2"/>
  <c r="W20" i="2"/>
  <c r="W21" i="2" s="1"/>
  <c r="W23" i="2"/>
  <c r="W51" i="2" s="1"/>
  <c r="W22" i="2"/>
  <c r="AA18" i="2"/>
  <c r="Z48" i="2"/>
  <c r="AB18" i="2" l="1"/>
  <c r="AB48" i="2" s="1"/>
  <c r="AA48" i="2"/>
  <c r="W50" i="2"/>
  <c r="W25" i="2"/>
  <c r="W26" i="2" s="1"/>
  <c r="W49" i="2"/>
  <c r="Z17" i="2"/>
  <c r="Y47" i="2"/>
  <c r="X23" i="2"/>
  <c r="X51" i="2" s="1"/>
  <c r="X20" i="2"/>
  <c r="X21" i="2" s="1"/>
  <c r="X22" i="2"/>
  <c r="Y19" i="2"/>
  <c r="Y46" i="2"/>
  <c r="T27" i="2" l="1"/>
  <c r="T28" i="2" s="1"/>
  <c r="T29" i="2" s="1"/>
  <c r="T52" i="2" s="1"/>
  <c r="Z19" i="2"/>
  <c r="Z46" i="2"/>
  <c r="X49" i="2"/>
  <c r="AA17" i="2"/>
  <c r="Z47" i="2"/>
  <c r="Y20" i="2"/>
  <c r="Y21" i="2" s="1"/>
  <c r="Y23" i="2"/>
  <c r="Y51" i="2" s="1"/>
  <c r="Y22" i="2"/>
  <c r="X50" i="2"/>
  <c r="X25" i="2"/>
  <c r="X26" i="2" s="1"/>
  <c r="T30" i="2" l="1"/>
  <c r="T54" i="2" s="1"/>
  <c r="U27" i="2"/>
  <c r="U28" i="2" s="1"/>
  <c r="U29" i="2" s="1"/>
  <c r="U52" i="2" s="1"/>
  <c r="Y50" i="2"/>
  <c r="Y25" i="2"/>
  <c r="Y26" i="2" s="1"/>
  <c r="Y49" i="2"/>
  <c r="AB17" i="2"/>
  <c r="AB47" i="2" s="1"/>
  <c r="AA47" i="2"/>
  <c r="Z20" i="2"/>
  <c r="Z21" i="2" s="1"/>
  <c r="Z23" i="2"/>
  <c r="Z51" i="2" s="1"/>
  <c r="Z22" i="2"/>
  <c r="AA46" i="2"/>
  <c r="AA19" i="2"/>
  <c r="U30" i="2" l="1"/>
  <c r="AA20" i="2"/>
  <c r="AA21" i="2" s="1"/>
  <c r="AA23" i="2"/>
  <c r="AA51" i="2" s="1"/>
  <c r="AA22" i="2"/>
  <c r="Z49" i="2"/>
  <c r="AB46" i="2"/>
  <c r="AB19" i="2"/>
  <c r="Z50" i="2"/>
  <c r="Z25" i="2"/>
  <c r="Z26" i="2" s="1"/>
  <c r="U54" i="2" l="1"/>
  <c r="V27" i="2" s="1"/>
  <c r="V28" i="2" s="1"/>
  <c r="AB20" i="2"/>
  <c r="AB21" i="2" s="1"/>
  <c r="AB23" i="2"/>
  <c r="AB51" i="2" s="1"/>
  <c r="AB22" i="2"/>
  <c r="AA50" i="2"/>
  <c r="AA25" i="2"/>
  <c r="AA26" i="2" s="1"/>
  <c r="AA49" i="2"/>
  <c r="V29" i="2" l="1"/>
  <c r="V52" i="2" s="1"/>
  <c r="AB50" i="2"/>
  <c r="AB25" i="2"/>
  <c r="AB26" i="2" s="1"/>
  <c r="AB49" i="2"/>
  <c r="V30" i="2" l="1"/>
  <c r="V54" i="2" s="1"/>
  <c r="W27" i="2" s="1"/>
  <c r="W28" i="2" s="1"/>
  <c r="W29" i="2" l="1"/>
  <c r="W52" i="2" s="1"/>
  <c r="W30" i="2" l="1"/>
  <c r="W54" i="2" l="1"/>
  <c r="X27" i="2" l="1"/>
  <c r="X28" i="2" s="1"/>
  <c r="X29" i="2" l="1"/>
  <c r="X52" i="2" s="1"/>
  <c r="X30" i="2" l="1"/>
  <c r="X54" i="2" s="1"/>
  <c r="Y27" i="2" l="1"/>
  <c r="Y28" i="2" s="1"/>
  <c r="Y29" i="2" l="1"/>
  <c r="Y52" i="2" s="1"/>
  <c r="Y30" i="2" l="1"/>
  <c r="Y54" i="2" s="1"/>
  <c r="Z27" i="2" l="1"/>
  <c r="Z28" i="2" s="1"/>
  <c r="Z29" i="2" l="1"/>
  <c r="Z52" i="2" s="1"/>
  <c r="Z30" i="2" l="1"/>
  <c r="Z54" i="2" s="1"/>
  <c r="AA27" i="2" l="1"/>
  <c r="AA28" i="2" s="1"/>
  <c r="AA29" i="2" l="1"/>
  <c r="AA52" i="2" s="1"/>
  <c r="AA30" i="2" l="1"/>
  <c r="AA54" i="2" s="1"/>
  <c r="AB27" i="2" l="1"/>
  <c r="AB28" i="2" s="1"/>
  <c r="AB29" i="2" l="1"/>
  <c r="AB52" i="2" s="1"/>
  <c r="AB30" i="2" l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X30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DO30" i="2" s="1"/>
  <c r="DP30" i="2" s="1"/>
  <c r="DQ30" i="2" s="1"/>
  <c r="DR30" i="2" s="1"/>
  <c r="DS30" i="2" s="1"/>
  <c r="DT30" i="2" s="1"/>
  <c r="DU30" i="2" s="1"/>
  <c r="DV30" i="2" s="1"/>
  <c r="DW30" i="2" s="1"/>
  <c r="AE49" i="2" s="1"/>
  <c r="AE51" i="2" s="1"/>
  <c r="AE53" i="2" s="1"/>
  <c r="AE55" i="2" s="1"/>
  <c r="AB54" i="2" l="1"/>
</calcChain>
</file>

<file path=xl/sharedStrings.xml><?xml version="1.0" encoding="utf-8"?>
<sst xmlns="http://schemas.openxmlformats.org/spreadsheetml/2006/main" count="148" uniqueCount="122">
  <si>
    <t xml:space="preserve">Price </t>
  </si>
  <si>
    <t>S/O</t>
  </si>
  <si>
    <t xml:space="preserve">MC </t>
  </si>
  <si>
    <t xml:space="preserve">Cash </t>
  </si>
  <si>
    <t xml:space="preserve">Debt </t>
  </si>
  <si>
    <t xml:space="preserve">EV </t>
  </si>
  <si>
    <t>Q223</t>
  </si>
  <si>
    <t>Main</t>
  </si>
  <si>
    <t>Q122</t>
  </si>
  <si>
    <t>Q222</t>
  </si>
  <si>
    <t>Q322</t>
  </si>
  <si>
    <t>Q422</t>
  </si>
  <si>
    <t>Q123</t>
  </si>
  <si>
    <t>Q323</t>
  </si>
  <si>
    <t>Q423</t>
  </si>
  <si>
    <t>Product Revenue</t>
  </si>
  <si>
    <t>LEQEMBI Collaboration</t>
  </si>
  <si>
    <t xml:space="preserve">anti-CD20 Program </t>
  </si>
  <si>
    <t>Manufacturing, royalty, and other</t>
  </si>
  <si>
    <t>Total Revenue</t>
  </si>
  <si>
    <t xml:space="preserve">COGS </t>
  </si>
  <si>
    <t xml:space="preserve">Gross Profit </t>
  </si>
  <si>
    <t xml:space="preserve">R&amp;D </t>
  </si>
  <si>
    <t xml:space="preserve">SG&amp;A </t>
  </si>
  <si>
    <t>Other</t>
  </si>
  <si>
    <t xml:space="preserve">Operating Expenses </t>
  </si>
  <si>
    <t>Operating Income</t>
  </si>
  <si>
    <t>Other Income</t>
  </si>
  <si>
    <t>Pretax Income</t>
  </si>
  <si>
    <t xml:space="preserve">Taxes </t>
  </si>
  <si>
    <t xml:space="preserve">Net Income </t>
  </si>
  <si>
    <t xml:space="preserve">EPS </t>
  </si>
  <si>
    <t xml:space="preserve">Shares </t>
  </si>
  <si>
    <t>Q421</t>
  </si>
  <si>
    <t>Q321</t>
  </si>
  <si>
    <t>Gross Margin</t>
  </si>
  <si>
    <t>Product y/y</t>
  </si>
  <si>
    <t>anti-CD20 y/y</t>
  </si>
  <si>
    <t xml:space="preserve">MR&amp;O y/y </t>
  </si>
  <si>
    <t>R&amp;D %</t>
  </si>
  <si>
    <t>SG&amp;A %</t>
  </si>
  <si>
    <t xml:space="preserve">Tax Rate </t>
  </si>
  <si>
    <t>Maturity</t>
  </si>
  <si>
    <t>Discount</t>
  </si>
  <si>
    <t>NPV</t>
  </si>
  <si>
    <t>Cash</t>
  </si>
  <si>
    <t>Share</t>
  </si>
  <si>
    <t>Current</t>
  </si>
  <si>
    <t>ROIC</t>
  </si>
  <si>
    <t>Net Cash</t>
  </si>
  <si>
    <t>A/R</t>
  </si>
  <si>
    <t>anti-CD20 Program</t>
  </si>
  <si>
    <t>Inventory</t>
  </si>
  <si>
    <t xml:space="preserve">OCA </t>
  </si>
  <si>
    <t>Investments</t>
  </si>
  <si>
    <t xml:space="preserve">PP&amp;E </t>
  </si>
  <si>
    <t xml:space="preserve">Operating Lease </t>
  </si>
  <si>
    <t xml:space="preserve">Intangibles </t>
  </si>
  <si>
    <t>Goodwill</t>
  </si>
  <si>
    <t xml:space="preserve">Deferred Taxes </t>
  </si>
  <si>
    <t>Assets</t>
  </si>
  <si>
    <t>A/P</t>
  </si>
  <si>
    <t>Accrued Expenses &amp; Other</t>
  </si>
  <si>
    <t>Debt</t>
  </si>
  <si>
    <t>Deferred Taxes</t>
  </si>
  <si>
    <t>OLTL</t>
  </si>
  <si>
    <t>S/E</t>
  </si>
  <si>
    <t xml:space="preserve">L + S/E </t>
  </si>
  <si>
    <t xml:space="preserve">Model NI </t>
  </si>
  <si>
    <t xml:space="preserve">Reported NI </t>
  </si>
  <si>
    <t>D&amp;A</t>
  </si>
  <si>
    <t>SBC</t>
  </si>
  <si>
    <t>Contingent Consideration</t>
  </si>
  <si>
    <t>Strategic Investments</t>
  </si>
  <si>
    <t xml:space="preserve">Equity Investments </t>
  </si>
  <si>
    <t>Inventory Charges</t>
  </si>
  <si>
    <t xml:space="preserve">Accrued Expenses &amp; OCL </t>
  </si>
  <si>
    <t xml:space="preserve">CFFO </t>
  </si>
  <si>
    <t xml:space="preserve">CapEx </t>
  </si>
  <si>
    <t xml:space="preserve">Proceeds Marketable Securities </t>
  </si>
  <si>
    <t xml:space="preserve">Purchases Marketable Securities </t>
  </si>
  <si>
    <t xml:space="preserve">Acquisitions </t>
  </si>
  <si>
    <t xml:space="preserve">Proceeds Investments </t>
  </si>
  <si>
    <t xml:space="preserve">Other </t>
  </si>
  <si>
    <t xml:space="preserve">CFFI </t>
  </si>
  <si>
    <t xml:space="preserve">Noncontrolling Interest </t>
  </si>
  <si>
    <t xml:space="preserve">CFFF </t>
  </si>
  <si>
    <t xml:space="preserve">CIC </t>
  </si>
  <si>
    <t>FX</t>
  </si>
  <si>
    <t xml:space="preserve">Beginning Cash </t>
  </si>
  <si>
    <t xml:space="preserve">Ending Cash </t>
  </si>
  <si>
    <t xml:space="preserve">FCF </t>
  </si>
  <si>
    <t xml:space="preserve">TECFIDERA </t>
  </si>
  <si>
    <t xml:space="preserve">VUMERITY </t>
  </si>
  <si>
    <t xml:space="preserve">AVONEX </t>
  </si>
  <si>
    <t>PLEGRIDY</t>
  </si>
  <si>
    <t>TYSABRI</t>
  </si>
  <si>
    <t xml:space="preserve">FAMPYRA </t>
  </si>
  <si>
    <t xml:space="preserve">SPINRAZA </t>
  </si>
  <si>
    <t xml:space="preserve">BENEPALI </t>
  </si>
  <si>
    <t xml:space="preserve">IMRALDI </t>
  </si>
  <si>
    <t>FLIXABI</t>
  </si>
  <si>
    <t>BYOOVIZ</t>
  </si>
  <si>
    <t>*</t>
  </si>
  <si>
    <t>TECFIDERA y/y</t>
  </si>
  <si>
    <t>VUMERITY y/y</t>
  </si>
  <si>
    <t>AVONEX y/y</t>
  </si>
  <si>
    <t>PLEGRIDY y/y</t>
  </si>
  <si>
    <t>TYSABRI y/y</t>
  </si>
  <si>
    <t>FAMPYRA y/y</t>
  </si>
  <si>
    <t>SPINRAZA y/y</t>
  </si>
  <si>
    <t>BENEPALI y/y</t>
  </si>
  <si>
    <t>IMRALDI y/y</t>
  </si>
  <si>
    <t>FLIXABI y/y</t>
  </si>
  <si>
    <t>BYOOVIZ y/y</t>
  </si>
  <si>
    <t xml:space="preserve">Patent Expiry? </t>
  </si>
  <si>
    <t>Potential Market Size?</t>
  </si>
  <si>
    <t xml:space="preserve">FCF/Debt </t>
  </si>
  <si>
    <t xml:space="preserve">Accural Ratio </t>
  </si>
  <si>
    <t>TTM</t>
  </si>
  <si>
    <t>FCF TTM</t>
  </si>
  <si>
    <t>Net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</si>
</sst>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3" fillId="0" borderId="0" xfId="2"/>
    <xf numFmtId="4" fontId="0" fillId="0" borderId="0" xfId="0" applyNumberFormat="1"/>
    <xf numFmtId="9" fontId="0" fillId="0" borderId="0" xfId="1" applyFont="1"/>
    <xf numFmtId="3" fontId="2" fillId="0" borderId="0" xfId="0" applyNumberFormat="1" applyFont="1"/>
    <xf numFmtId="9" fontId="2" fillId="0" borderId="0" xfId="1" applyFont="1"/>
    <xf numFmtId="0" fontId="2" fillId="0" borderId="0" xfId="0" applyFont="1"/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0</xdr:row>
      <xdr:rowOff>69850</xdr:rowOff>
    </xdr:from>
    <xdr:to>
      <xdr:col>10</xdr:col>
      <xdr:colOff>12700</xdr:colOff>
      <xdr:row>75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55C1E1E-7EB1-7EC4-7F54-47551BAA469B}"/>
            </a:ext>
          </a:extLst>
        </xdr:cNvPr>
        <xdr:cNvCxnSpPr/>
      </xdr:nvCxnSpPr>
      <xdr:spPr>
        <a:xfrm flipH="1">
          <a:off x="7245350" y="69850"/>
          <a:ext cx="31750" cy="1154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0</xdr:row>
      <xdr:rowOff>6350</xdr:rowOff>
    </xdr:from>
    <xdr:to>
      <xdr:col>18</xdr:col>
      <xdr:colOff>31750</xdr:colOff>
      <xdr:row>56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783AAEE-9AFB-FDEA-3D09-C4556BF0F471}"/>
            </a:ext>
          </a:extLst>
        </xdr:cNvPr>
        <xdr:cNvCxnSpPr/>
      </xdr:nvCxnSpPr>
      <xdr:spPr>
        <a:xfrm>
          <a:off x="12153900" y="6350"/>
          <a:ext cx="19050" cy="6026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11"/>
  <sheetViews>
    <sheetView topLeftCell="B1" workbookViewId="0">
      <selection activeCell="H15" sqref="H15"/>
    </sheetView>
  </sheetViews>
  <sheetFormatPr defaultRowHeight="14.5" x14ac:dyDescent="0.35"/>
  <sheetData>
    <row r="5" spans="3:19" x14ac:dyDescent="0.35">
      <c r="C5" t="s">
        <v>102</v>
      </c>
      <c r="D5" t="s">
        <v>116</v>
      </c>
      <c r="Q5" t="s">
        <v>0</v>
      </c>
      <c r="R5">
        <v>273.68</v>
      </c>
    </row>
    <row r="6" spans="3:19" x14ac:dyDescent="0.35">
      <c r="C6" t="s">
        <v>93</v>
      </c>
      <c r="D6" t="s">
        <v>116</v>
      </c>
      <c r="Q6" t="s">
        <v>1</v>
      </c>
      <c r="R6" s="1">
        <v>144.82333499999999</v>
      </c>
      <c r="S6" t="s">
        <v>6</v>
      </c>
    </row>
    <row r="7" spans="3:19" x14ac:dyDescent="0.35">
      <c r="Q7" t="s">
        <v>2</v>
      </c>
      <c r="R7" s="1">
        <f>R5*R6</f>
        <v>39635.250322799999</v>
      </c>
    </row>
    <row r="8" spans="3:19" x14ac:dyDescent="0.35">
      <c r="C8" t="s">
        <v>96</v>
      </c>
      <c r="D8" t="s">
        <v>115</v>
      </c>
      <c r="Q8" t="s">
        <v>3</v>
      </c>
      <c r="R8" s="1">
        <f>2617.8+3460.5</f>
        <v>6078.3</v>
      </c>
      <c r="S8" t="s">
        <v>6</v>
      </c>
    </row>
    <row r="9" spans="3:19" x14ac:dyDescent="0.35">
      <c r="C9" t="s">
        <v>98</v>
      </c>
      <c r="D9" t="s">
        <v>115</v>
      </c>
      <c r="Q9" t="s">
        <v>4</v>
      </c>
      <c r="R9" s="1">
        <f>6284.6+304.4</f>
        <v>6589</v>
      </c>
      <c r="S9" t="s">
        <v>6</v>
      </c>
    </row>
    <row r="10" spans="3:19" x14ac:dyDescent="0.35">
      <c r="C10" t="s">
        <v>100</v>
      </c>
      <c r="D10" t="s">
        <v>115</v>
      </c>
      <c r="Q10" t="s">
        <v>5</v>
      </c>
      <c r="R10" s="1">
        <f>R7-R8+R9</f>
        <v>40145.950322799996</v>
      </c>
    </row>
    <row r="11" spans="3:19" x14ac:dyDescent="0.35">
      <c r="C11" t="s">
        <v>99</v>
      </c>
      <c r="D11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E48C-FA2B-477F-ACB3-EB8B32057DF6}">
  <dimension ref="A1:DW117"/>
  <sheetViews>
    <sheetView tabSelected="1" zoomScaleNormal="1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AE49" sqref="AE49"/>
    </sheetView>
  </sheetViews>
  <sheetFormatPr defaultRowHeight="14.5" x14ac:dyDescent="0.35"/>
  <cols>
    <col min="1" max="1" width="5.08984375" bestFit="1" customWidth="1"/>
    <col min="2" max="2" width="29.26953125" bestFit="1" customWidth="1"/>
    <col min="3" max="3" width="8.7265625" customWidth="1"/>
    <col min="4" max="4" width="8.54296875" customWidth="1"/>
    <col min="5" max="16384" width="8.7265625" style="1"/>
  </cols>
  <sheetData>
    <row r="1" spans="1:28" customFormat="1" x14ac:dyDescent="0.35">
      <c r="A1" s="2" t="s">
        <v>7</v>
      </c>
    </row>
    <row r="2" spans="1:28" customFormat="1" x14ac:dyDescent="0.35">
      <c r="C2" t="s">
        <v>34</v>
      </c>
      <c r="D2" t="s">
        <v>33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6</v>
      </c>
      <c r="K2" t="s">
        <v>13</v>
      </c>
      <c r="L2" t="s">
        <v>14</v>
      </c>
      <c r="O2">
        <v>2020</v>
      </c>
      <c r="P2">
        <v>2021</v>
      </c>
      <c r="Q2">
        <f>+P2+1</f>
        <v>2022</v>
      </c>
      <c r="R2">
        <f t="shared" ref="R2:AB2" si="0">+Q2+1</f>
        <v>2023</v>
      </c>
      <c r="S2">
        <f t="shared" si="0"/>
        <v>2024</v>
      </c>
      <c r="T2">
        <f t="shared" si="0"/>
        <v>2025</v>
      </c>
      <c r="U2">
        <f t="shared" si="0"/>
        <v>2026</v>
      </c>
      <c r="V2">
        <f t="shared" si="0"/>
        <v>2027</v>
      </c>
      <c r="W2">
        <f t="shared" si="0"/>
        <v>2028</v>
      </c>
      <c r="X2">
        <f t="shared" si="0"/>
        <v>2029</v>
      </c>
      <c r="Y2">
        <f t="shared" si="0"/>
        <v>2030</v>
      </c>
      <c r="Z2">
        <f t="shared" si="0"/>
        <v>2031</v>
      </c>
      <c r="AA2">
        <f t="shared" si="0"/>
        <v>2032</v>
      </c>
      <c r="AB2">
        <f t="shared" si="0"/>
        <v>2033</v>
      </c>
    </row>
    <row r="3" spans="1:28" x14ac:dyDescent="0.35">
      <c r="B3" t="s">
        <v>92</v>
      </c>
      <c r="C3" s="1">
        <v>498.6</v>
      </c>
      <c r="D3" s="1">
        <v>486.5</v>
      </c>
      <c r="E3" s="1">
        <v>409.9</v>
      </c>
      <c r="F3" s="1">
        <v>397.9</v>
      </c>
      <c r="G3" s="1">
        <v>339</v>
      </c>
      <c r="H3" s="1">
        <v>297.10000000000002</v>
      </c>
      <c r="I3" s="1">
        <v>274.5</v>
      </c>
      <c r="J3" s="1">
        <v>254.2</v>
      </c>
      <c r="K3" s="1">
        <f>G3*0.7</f>
        <v>237.29999999999998</v>
      </c>
      <c r="L3" s="1">
        <f>H3*0.7</f>
        <v>207.97</v>
      </c>
      <c r="O3" s="1">
        <v>3841.1</v>
      </c>
      <c r="P3" s="1">
        <v>1951.9</v>
      </c>
      <c r="Q3" s="1">
        <f>SUM(E3:H3)</f>
        <v>1443.9</v>
      </c>
      <c r="R3" s="1">
        <f>SUM(I3:L3)</f>
        <v>973.97</v>
      </c>
      <c r="S3" s="1">
        <f>R3*0.7</f>
        <v>681.779</v>
      </c>
      <c r="T3" s="1">
        <f t="shared" ref="T3:AB3" si="1">S3*0.7</f>
        <v>477.24529999999999</v>
      </c>
      <c r="U3" s="1">
        <f t="shared" si="1"/>
        <v>334.07171</v>
      </c>
      <c r="V3" s="1">
        <f t="shared" si="1"/>
        <v>233.85019699999998</v>
      </c>
      <c r="W3" s="1">
        <f t="shared" si="1"/>
        <v>163.69513789999996</v>
      </c>
      <c r="X3" s="1">
        <f t="shared" si="1"/>
        <v>114.58659652999997</v>
      </c>
      <c r="Y3" s="1">
        <f t="shared" si="1"/>
        <v>80.210617570999972</v>
      </c>
      <c r="Z3" s="1">
        <f t="shared" si="1"/>
        <v>56.147432299699979</v>
      </c>
      <c r="AA3" s="1">
        <f t="shared" si="1"/>
        <v>39.303202609789984</v>
      </c>
      <c r="AB3" s="1">
        <f t="shared" si="1"/>
        <v>27.512241826852989</v>
      </c>
    </row>
    <row r="4" spans="1:28" x14ac:dyDescent="0.35">
      <c r="A4" s="8" t="s">
        <v>103</v>
      </c>
      <c r="B4" t="s">
        <v>93</v>
      </c>
      <c r="C4" s="1">
        <v>120.9</v>
      </c>
      <c r="D4" s="1">
        <v>124.9</v>
      </c>
      <c r="E4" s="1">
        <v>128</v>
      </c>
      <c r="F4" s="1">
        <v>136.80000000000001</v>
      </c>
      <c r="G4" s="1">
        <v>137.80000000000001</v>
      </c>
      <c r="H4" s="1">
        <v>150.80000000000001</v>
      </c>
      <c r="I4" s="1">
        <v>108.2</v>
      </c>
      <c r="J4" s="1">
        <v>146.19999999999999</v>
      </c>
      <c r="K4" s="1">
        <f>G4*1.1</f>
        <v>151.58000000000001</v>
      </c>
      <c r="L4" s="1">
        <f>H4*1.1</f>
        <v>165.88000000000002</v>
      </c>
      <c r="O4" s="1">
        <v>64.3</v>
      </c>
      <c r="P4" s="1">
        <v>410.4</v>
      </c>
      <c r="Q4" s="1">
        <f t="shared" ref="Q4:Q14" si="2">SUM(E4:H4)</f>
        <v>553.40000000000009</v>
      </c>
      <c r="R4" s="1">
        <f t="shared" ref="R4:R14" si="3">SUM(I4:L4)</f>
        <v>571.86</v>
      </c>
      <c r="S4" s="1">
        <f>R4*1.05</f>
        <v>600.45300000000009</v>
      </c>
      <c r="T4" s="1">
        <f t="shared" ref="T4:AB4" si="4">S4*1.05</f>
        <v>630.47565000000009</v>
      </c>
      <c r="U4" s="1">
        <f t="shared" si="4"/>
        <v>661.99943250000013</v>
      </c>
      <c r="V4" s="1">
        <f t="shared" si="4"/>
        <v>695.09940412500021</v>
      </c>
      <c r="W4" s="1">
        <f t="shared" si="4"/>
        <v>729.85437433125026</v>
      </c>
      <c r="X4" s="1">
        <f t="shared" si="4"/>
        <v>766.34709304781279</v>
      </c>
      <c r="Y4" s="1">
        <f t="shared" si="4"/>
        <v>804.66444770020348</v>
      </c>
      <c r="Z4" s="1">
        <f t="shared" si="4"/>
        <v>844.89767008521369</v>
      </c>
      <c r="AA4" s="1">
        <f t="shared" si="4"/>
        <v>887.14255358947446</v>
      </c>
      <c r="AB4" s="1">
        <f t="shared" si="4"/>
        <v>931.49968126894817</v>
      </c>
    </row>
    <row r="5" spans="1:28" x14ac:dyDescent="0.35">
      <c r="B5" t="s">
        <v>94</v>
      </c>
      <c r="C5" s="1">
        <v>301.3</v>
      </c>
      <c r="D5" s="1">
        <v>285.39999999999998</v>
      </c>
      <c r="E5" s="1">
        <v>229.6</v>
      </c>
      <c r="F5" s="1">
        <v>258.7</v>
      </c>
      <c r="G5" s="1">
        <v>255.1</v>
      </c>
      <c r="H5" s="1">
        <v>230.1</v>
      </c>
      <c r="I5" s="1">
        <v>172.4</v>
      </c>
      <c r="J5" s="1">
        <v>220.3</v>
      </c>
      <c r="K5" s="1">
        <f>G5*0.8</f>
        <v>204.08</v>
      </c>
      <c r="L5" s="1">
        <f>H5*0.8</f>
        <v>184.08</v>
      </c>
      <c r="O5" s="1">
        <v>1491.9</v>
      </c>
      <c r="P5" s="1">
        <v>1208.7</v>
      </c>
      <c r="Q5" s="1">
        <f t="shared" si="2"/>
        <v>973.5</v>
      </c>
      <c r="R5" s="1">
        <f t="shared" si="3"/>
        <v>780.86000000000013</v>
      </c>
      <c r="S5" s="1">
        <f>R5*0.8</f>
        <v>624.6880000000001</v>
      </c>
      <c r="T5" s="1">
        <f t="shared" ref="T5:AB5" si="5">S5*0.8</f>
        <v>499.75040000000013</v>
      </c>
      <c r="U5" s="1">
        <f t="shared" si="5"/>
        <v>399.80032000000011</v>
      </c>
      <c r="V5" s="1">
        <f t="shared" si="5"/>
        <v>319.84025600000012</v>
      </c>
      <c r="W5" s="1">
        <f t="shared" si="5"/>
        <v>255.87220480000011</v>
      </c>
      <c r="X5" s="1">
        <f t="shared" si="5"/>
        <v>204.69776384000011</v>
      </c>
      <c r="Y5" s="1">
        <f t="shared" si="5"/>
        <v>163.75821107200011</v>
      </c>
      <c r="Z5" s="1">
        <f t="shared" si="5"/>
        <v>131.00656885760009</v>
      </c>
      <c r="AA5" s="1">
        <f t="shared" si="5"/>
        <v>104.80525508608008</v>
      </c>
      <c r="AB5" s="1">
        <f t="shared" si="5"/>
        <v>83.844204068864073</v>
      </c>
    </row>
    <row r="6" spans="1:28" x14ac:dyDescent="0.35">
      <c r="B6" t="s">
        <v>95</v>
      </c>
      <c r="C6" s="1">
        <v>86.2</v>
      </c>
      <c r="D6" s="1">
        <v>92.3</v>
      </c>
      <c r="E6" s="1">
        <v>80</v>
      </c>
      <c r="F6" s="1">
        <v>91.5</v>
      </c>
      <c r="G6" s="1">
        <v>80.900000000000006</v>
      </c>
      <c r="H6" s="1">
        <v>79.5</v>
      </c>
      <c r="I6" s="1">
        <v>73.2</v>
      </c>
      <c r="J6" s="1">
        <v>82.1</v>
      </c>
      <c r="K6" s="1">
        <f>G6*0.9</f>
        <v>72.81</v>
      </c>
      <c r="L6" s="1">
        <f>H6*0.9</f>
        <v>71.55</v>
      </c>
      <c r="O6" s="1">
        <v>385.6</v>
      </c>
      <c r="P6" s="1">
        <v>357.4</v>
      </c>
      <c r="Q6" s="1">
        <f t="shared" si="2"/>
        <v>331.9</v>
      </c>
      <c r="R6" s="1">
        <f t="shared" si="3"/>
        <v>299.66000000000003</v>
      </c>
      <c r="S6" s="1">
        <f>R6*0.95</f>
        <v>284.67700000000002</v>
      </c>
      <c r="T6" s="1">
        <f t="shared" ref="T6:AB6" si="6">S6*0.95</f>
        <v>270.44315</v>
      </c>
      <c r="U6" s="1">
        <f t="shared" si="6"/>
        <v>256.92099250000001</v>
      </c>
      <c r="V6" s="1">
        <f t="shared" si="6"/>
        <v>244.074942875</v>
      </c>
      <c r="W6" s="1">
        <f t="shared" si="6"/>
        <v>231.87119573125</v>
      </c>
      <c r="X6" s="1">
        <f t="shared" si="6"/>
        <v>220.27763594468749</v>
      </c>
      <c r="Y6" s="1">
        <f t="shared" si="6"/>
        <v>209.26375414745311</v>
      </c>
      <c r="Z6" s="1">
        <f t="shared" si="6"/>
        <v>198.80056644008044</v>
      </c>
      <c r="AA6" s="1">
        <f t="shared" si="6"/>
        <v>188.86053811807642</v>
      </c>
      <c r="AB6" s="1">
        <f t="shared" si="6"/>
        <v>179.4175112121726</v>
      </c>
    </row>
    <row r="7" spans="1:28" x14ac:dyDescent="0.35">
      <c r="B7" t="s">
        <v>96</v>
      </c>
      <c r="C7" s="1">
        <v>522.79999999999995</v>
      </c>
      <c r="D7" s="1">
        <v>512.70000000000005</v>
      </c>
      <c r="E7" s="1">
        <v>520.79999999999995</v>
      </c>
      <c r="F7" s="1">
        <v>516.20000000000005</v>
      </c>
      <c r="G7" s="1">
        <v>505.5</v>
      </c>
      <c r="H7" s="1">
        <v>488.4</v>
      </c>
      <c r="I7" s="1">
        <v>472.8</v>
      </c>
      <c r="J7" s="1">
        <v>483.1</v>
      </c>
      <c r="K7" s="1">
        <f>G7*0.95</f>
        <v>480.22499999999997</v>
      </c>
      <c r="L7" s="1">
        <f>H7*0.95</f>
        <v>463.97999999999996</v>
      </c>
      <c r="O7" s="1">
        <v>1946.1</v>
      </c>
      <c r="P7" s="1">
        <v>2063.1</v>
      </c>
      <c r="Q7" s="1">
        <f t="shared" si="2"/>
        <v>2030.9</v>
      </c>
      <c r="R7" s="1">
        <f t="shared" si="3"/>
        <v>1900.105</v>
      </c>
      <c r="S7" s="1">
        <f>R7*0.99</f>
        <v>1881.1039499999999</v>
      </c>
      <c r="T7" s="1">
        <f t="shared" ref="T7:AB7" si="7">S7*0.99</f>
        <v>1862.2929104999998</v>
      </c>
      <c r="U7" s="1">
        <f t="shared" si="7"/>
        <v>1843.6699813949999</v>
      </c>
      <c r="V7" s="1">
        <f t="shared" si="7"/>
        <v>1825.2332815810498</v>
      </c>
      <c r="W7" s="1">
        <f t="shared" si="7"/>
        <v>1806.9809487652394</v>
      </c>
      <c r="X7" s="1">
        <f t="shared" si="7"/>
        <v>1788.9111392775869</v>
      </c>
      <c r="Y7" s="1">
        <f t="shared" si="7"/>
        <v>1771.022027884811</v>
      </c>
      <c r="Z7" s="1">
        <f t="shared" si="7"/>
        <v>1753.3118076059629</v>
      </c>
      <c r="AA7" s="1">
        <f t="shared" si="7"/>
        <v>1735.7786895299032</v>
      </c>
      <c r="AB7" s="1">
        <f t="shared" si="7"/>
        <v>1718.4209026346041</v>
      </c>
    </row>
    <row r="8" spans="1:28" x14ac:dyDescent="0.35">
      <c r="B8" t="s">
        <v>97</v>
      </c>
      <c r="C8" s="1">
        <v>26.2</v>
      </c>
      <c r="D8" s="1">
        <v>26.4</v>
      </c>
      <c r="E8" s="1">
        <v>26.2</v>
      </c>
      <c r="F8" s="1">
        <v>25.5</v>
      </c>
      <c r="G8" s="1">
        <v>22</v>
      </c>
      <c r="H8" s="1">
        <v>22.9</v>
      </c>
      <c r="I8" s="1">
        <v>24.1</v>
      </c>
      <c r="J8" s="1">
        <v>23.4</v>
      </c>
      <c r="K8" s="1">
        <f>G8*0.9</f>
        <v>19.8</v>
      </c>
      <c r="L8" s="1">
        <f>H8*0.9</f>
        <v>20.61</v>
      </c>
      <c r="O8" s="1">
        <v>103.1</v>
      </c>
      <c r="P8" s="1">
        <v>105.2</v>
      </c>
      <c r="Q8" s="1">
        <f t="shared" si="2"/>
        <v>96.6</v>
      </c>
      <c r="R8" s="1">
        <f t="shared" si="3"/>
        <v>87.91</v>
      </c>
      <c r="S8" s="1">
        <f>R8*0.95</f>
        <v>83.514499999999998</v>
      </c>
      <c r="T8" s="1">
        <f t="shared" ref="T8:AB8" si="8">S8*0.95</f>
        <v>79.338774999999998</v>
      </c>
      <c r="U8" s="1">
        <f t="shared" si="8"/>
        <v>75.371836250000001</v>
      </c>
      <c r="V8" s="1">
        <f t="shared" si="8"/>
        <v>71.603244437499995</v>
      </c>
      <c r="W8" s="1">
        <f t="shared" si="8"/>
        <v>68.023082215624996</v>
      </c>
      <c r="X8" s="1">
        <f t="shared" si="8"/>
        <v>64.621928104843747</v>
      </c>
      <c r="Y8" s="1">
        <f t="shared" si="8"/>
        <v>61.390831699601556</v>
      </c>
      <c r="Z8" s="1">
        <f t="shared" si="8"/>
        <v>58.321290114621476</v>
      </c>
      <c r="AA8" s="1">
        <f t="shared" si="8"/>
        <v>55.405225608890397</v>
      </c>
      <c r="AB8" s="1">
        <f t="shared" si="8"/>
        <v>52.634964328445875</v>
      </c>
    </row>
    <row r="9" spans="1:28" x14ac:dyDescent="0.35">
      <c r="B9" t="s">
        <v>98</v>
      </c>
      <c r="C9" s="1">
        <v>444.1</v>
      </c>
      <c r="D9" s="1">
        <v>440.7</v>
      </c>
      <c r="E9" s="1">
        <v>472.5</v>
      </c>
      <c r="F9" s="1">
        <v>431.1</v>
      </c>
      <c r="G9" s="1">
        <v>431.1</v>
      </c>
      <c r="H9" s="1">
        <v>458.8</v>
      </c>
      <c r="I9" s="1">
        <v>443.3</v>
      </c>
      <c r="J9" s="1">
        <v>437.1</v>
      </c>
      <c r="K9" s="1">
        <f>G9*1.01</f>
        <v>435.411</v>
      </c>
      <c r="L9" s="1">
        <f>H9*1.01</f>
        <v>463.38800000000003</v>
      </c>
      <c r="O9" s="1">
        <v>2052.1</v>
      </c>
      <c r="P9" s="1">
        <v>1905.1</v>
      </c>
      <c r="Q9" s="1">
        <f t="shared" si="2"/>
        <v>1793.5</v>
      </c>
      <c r="R9" s="1">
        <f t="shared" si="3"/>
        <v>1779.1990000000001</v>
      </c>
      <c r="S9" s="1">
        <f>R9*0.97</f>
        <v>1725.82303</v>
      </c>
      <c r="T9" s="1">
        <f t="shared" ref="T9:AB9" si="9">S9*0.97</f>
        <v>1674.0483391</v>
      </c>
      <c r="U9" s="1">
        <f t="shared" si="9"/>
        <v>1623.826888927</v>
      </c>
      <c r="V9" s="1">
        <f t="shared" si="9"/>
        <v>1575.1120822591899</v>
      </c>
      <c r="W9" s="1">
        <f t="shared" si="9"/>
        <v>1527.8587197914142</v>
      </c>
      <c r="X9" s="1">
        <f t="shared" si="9"/>
        <v>1482.0229581976716</v>
      </c>
      <c r="Y9" s="1">
        <f t="shared" si="9"/>
        <v>1437.5622694517415</v>
      </c>
      <c r="Z9" s="1">
        <f t="shared" si="9"/>
        <v>1394.4354013681891</v>
      </c>
      <c r="AA9" s="1">
        <f t="shared" si="9"/>
        <v>1352.6023393271435</v>
      </c>
      <c r="AB9" s="1">
        <f t="shared" si="9"/>
        <v>1312.0242691473291</v>
      </c>
    </row>
    <row r="10" spans="1:28" x14ac:dyDescent="0.35">
      <c r="B10" t="s">
        <v>99</v>
      </c>
      <c r="C10" s="1">
        <v>120.8</v>
      </c>
      <c r="D10" s="1">
        <v>134.4</v>
      </c>
      <c r="E10" s="1">
        <v>114.7</v>
      </c>
      <c r="F10" s="1">
        <v>115.8</v>
      </c>
      <c r="G10" s="1">
        <v>110.2</v>
      </c>
      <c r="H10" s="1">
        <v>100.3</v>
      </c>
      <c r="I10" s="1">
        <v>109</v>
      </c>
      <c r="J10" s="1">
        <v>109.2</v>
      </c>
      <c r="K10" s="1">
        <f>G10*0.95</f>
        <v>104.69</v>
      </c>
      <c r="L10" s="1">
        <f>H10*0.95</f>
        <v>95.284999999999997</v>
      </c>
      <c r="O10" s="1">
        <v>481.6</v>
      </c>
      <c r="P10" s="1">
        <v>498.3</v>
      </c>
      <c r="Q10" s="1">
        <f t="shared" si="2"/>
        <v>441</v>
      </c>
      <c r="R10" s="1">
        <f t="shared" si="3"/>
        <v>418.17499999999995</v>
      </c>
      <c r="S10" s="1">
        <f>R10*0.98</f>
        <v>409.81149999999997</v>
      </c>
      <c r="T10" s="1">
        <f t="shared" ref="T10:AB10" si="10">S10*0.98</f>
        <v>401.61526999999995</v>
      </c>
      <c r="U10" s="1">
        <f t="shared" si="10"/>
        <v>393.58296459999997</v>
      </c>
      <c r="V10" s="1">
        <f t="shared" si="10"/>
        <v>385.71130530799996</v>
      </c>
      <c r="W10" s="1">
        <f t="shared" si="10"/>
        <v>377.99707920183994</v>
      </c>
      <c r="X10" s="1">
        <f t="shared" si="10"/>
        <v>370.43713761780316</v>
      </c>
      <c r="Y10" s="1">
        <f t="shared" si="10"/>
        <v>363.02839486544707</v>
      </c>
      <c r="Z10" s="1">
        <f t="shared" si="10"/>
        <v>355.76782696813814</v>
      </c>
      <c r="AA10" s="1">
        <f t="shared" si="10"/>
        <v>348.65247042877536</v>
      </c>
      <c r="AB10" s="1">
        <f t="shared" si="10"/>
        <v>341.67942102019987</v>
      </c>
    </row>
    <row r="11" spans="1:28" x14ac:dyDescent="0.35">
      <c r="B11" t="s">
        <v>100</v>
      </c>
      <c r="C11" s="1">
        <v>57.4</v>
      </c>
      <c r="D11" s="1">
        <v>62.5</v>
      </c>
      <c r="E11" s="1">
        <v>57.1</v>
      </c>
      <c r="F11" s="1">
        <v>57.6</v>
      </c>
      <c r="G11" s="1">
        <v>57.7</v>
      </c>
      <c r="H11" s="1">
        <v>52.1</v>
      </c>
      <c r="I11" s="1">
        <v>54.4</v>
      </c>
      <c r="J11" s="1">
        <v>58.8</v>
      </c>
      <c r="K11" s="1">
        <f>G11*1.01</f>
        <v>58.277000000000001</v>
      </c>
      <c r="L11" s="1">
        <f>H11*1.01</f>
        <v>52.621000000000002</v>
      </c>
      <c r="O11" s="1">
        <v>216.3</v>
      </c>
      <c r="P11" s="1">
        <v>233.4</v>
      </c>
      <c r="Q11" s="1">
        <f t="shared" si="2"/>
        <v>224.5</v>
      </c>
      <c r="R11" s="1">
        <f t="shared" si="3"/>
        <v>224.09799999999998</v>
      </c>
      <c r="S11" s="1">
        <f>R11*1.01</f>
        <v>226.33897999999999</v>
      </c>
      <c r="T11" s="1">
        <f t="shared" ref="T11:AB11" si="11">S11*1.01</f>
        <v>228.60236979999999</v>
      </c>
      <c r="U11" s="1">
        <f t="shared" si="11"/>
        <v>230.888393498</v>
      </c>
      <c r="V11" s="1">
        <f t="shared" si="11"/>
        <v>233.19727743298</v>
      </c>
      <c r="W11" s="1">
        <f t="shared" si="11"/>
        <v>235.52925020730981</v>
      </c>
      <c r="X11" s="1">
        <f t="shared" si="11"/>
        <v>237.88454270938291</v>
      </c>
      <c r="Y11" s="1">
        <f t="shared" si="11"/>
        <v>240.26338813647675</v>
      </c>
      <c r="Z11" s="1">
        <f t="shared" si="11"/>
        <v>242.66602201784153</v>
      </c>
      <c r="AA11" s="1">
        <f t="shared" si="11"/>
        <v>245.09268223801993</v>
      </c>
      <c r="AB11" s="1">
        <f t="shared" si="11"/>
        <v>247.54360906040014</v>
      </c>
    </row>
    <row r="12" spans="1:28" x14ac:dyDescent="0.35">
      <c r="B12" t="s">
        <v>101</v>
      </c>
      <c r="C12" s="1">
        <v>24.6</v>
      </c>
      <c r="D12" s="1">
        <v>24</v>
      </c>
      <c r="E12" s="1">
        <v>22.5</v>
      </c>
      <c r="F12" s="1">
        <v>20.5</v>
      </c>
      <c r="G12" s="1">
        <v>19</v>
      </c>
      <c r="H12" s="1">
        <v>19.3</v>
      </c>
      <c r="I12" s="1">
        <v>20.399999999999999</v>
      </c>
      <c r="J12" s="1">
        <v>20.100000000000001</v>
      </c>
      <c r="K12" s="1">
        <f>G12*0.99</f>
        <v>18.809999999999999</v>
      </c>
      <c r="L12" s="1">
        <f>H12*0.99</f>
        <v>19.106999999999999</v>
      </c>
      <c r="O12" s="1">
        <v>97.9</v>
      </c>
      <c r="P12" s="1">
        <v>99.4</v>
      </c>
      <c r="Q12" s="1">
        <f t="shared" si="2"/>
        <v>81.3</v>
      </c>
      <c r="R12" s="1">
        <f t="shared" si="3"/>
        <v>78.417000000000002</v>
      </c>
      <c r="S12" s="1">
        <f>R12*0.95</f>
        <v>74.49615</v>
      </c>
      <c r="T12" s="1">
        <f t="shared" ref="T12:AB12" si="12">S12*0.95</f>
        <v>70.771342500000003</v>
      </c>
      <c r="U12" s="1">
        <f t="shared" si="12"/>
        <v>67.232775375000003</v>
      </c>
      <c r="V12" s="1">
        <f t="shared" si="12"/>
        <v>63.871136606249998</v>
      </c>
      <c r="W12" s="1">
        <f t="shared" si="12"/>
        <v>60.677579775937495</v>
      </c>
      <c r="X12" s="1">
        <f t="shared" si="12"/>
        <v>57.643700787140617</v>
      </c>
      <c r="Y12" s="1">
        <f t="shared" si="12"/>
        <v>54.761515747783584</v>
      </c>
      <c r="Z12" s="1">
        <f t="shared" si="12"/>
        <v>52.023439960394406</v>
      </c>
      <c r="AA12" s="1">
        <f t="shared" si="12"/>
        <v>49.422267962374683</v>
      </c>
      <c r="AB12" s="1">
        <f t="shared" si="12"/>
        <v>46.951154564255944</v>
      </c>
    </row>
    <row r="13" spans="1:28" x14ac:dyDescent="0.35">
      <c r="A13" s="8" t="s">
        <v>103</v>
      </c>
      <c r="B13" t="s">
        <v>102</v>
      </c>
      <c r="C13" s="1">
        <v>0</v>
      </c>
      <c r="D13" s="1">
        <v>0</v>
      </c>
      <c r="E13" s="1">
        <v>0</v>
      </c>
      <c r="F13" s="1">
        <v>0.5</v>
      </c>
      <c r="G13" s="1">
        <v>0.7</v>
      </c>
      <c r="H13" s="1">
        <v>3.1</v>
      </c>
      <c r="I13" s="1">
        <v>8.6</v>
      </c>
      <c r="J13" s="1">
        <v>7</v>
      </c>
      <c r="K13" s="1">
        <f>G13*10</f>
        <v>7</v>
      </c>
      <c r="L13" s="1">
        <f>H13*10</f>
        <v>31</v>
      </c>
      <c r="O13" s="1">
        <v>0</v>
      </c>
      <c r="P13" s="1">
        <v>0</v>
      </c>
      <c r="Q13" s="1">
        <f t="shared" si="2"/>
        <v>4.3</v>
      </c>
      <c r="R13" s="1">
        <f t="shared" si="3"/>
        <v>53.6</v>
      </c>
      <c r="S13" s="1">
        <f>R13*3</f>
        <v>160.80000000000001</v>
      </c>
      <c r="T13" s="1">
        <f>S13*1.5</f>
        <v>241.20000000000002</v>
      </c>
      <c r="U13" s="1">
        <f>T13*1.3</f>
        <v>313.56000000000006</v>
      </c>
      <c r="V13" s="1">
        <f>U13*1.05</f>
        <v>329.23800000000006</v>
      </c>
      <c r="W13" s="1">
        <f t="shared" ref="W13:AB13" si="13">V13*1.05</f>
        <v>345.69990000000007</v>
      </c>
      <c r="X13" s="1">
        <f t="shared" si="13"/>
        <v>362.98489500000011</v>
      </c>
      <c r="Y13" s="1">
        <f t="shared" si="13"/>
        <v>381.13413975000014</v>
      </c>
      <c r="Z13" s="1">
        <f t="shared" si="13"/>
        <v>400.19084673750018</v>
      </c>
      <c r="AA13" s="1">
        <f t="shared" si="13"/>
        <v>420.20038907437521</v>
      </c>
      <c r="AB13" s="1">
        <f t="shared" si="13"/>
        <v>441.21040852809398</v>
      </c>
    </row>
    <row r="14" spans="1:28" x14ac:dyDescent="0.35">
      <c r="B14" t="s">
        <v>24</v>
      </c>
      <c r="C14" s="1">
        <f>2.5+0.3</f>
        <v>2.8</v>
      </c>
      <c r="D14" s="1">
        <f>2.7+1</f>
        <v>3.7</v>
      </c>
      <c r="E14" s="1">
        <v>5</v>
      </c>
      <c r="F14" s="1">
        <v>2.8</v>
      </c>
      <c r="G14" s="1">
        <f>1.6+1.5</f>
        <v>3.1</v>
      </c>
      <c r="H14" s="1">
        <f>1.8+0.3</f>
        <v>2.1</v>
      </c>
      <c r="I14" s="1">
        <v>2.4</v>
      </c>
      <c r="J14" s="1">
        <v>4.3</v>
      </c>
      <c r="K14" s="1">
        <f>G14*1.02</f>
        <v>3.1620000000000004</v>
      </c>
      <c r="L14" s="1">
        <f>H14*1.02</f>
        <v>2.1420000000000003</v>
      </c>
      <c r="O14" s="1">
        <v>12.2</v>
      </c>
      <c r="P14" s="1">
        <f>11+3</f>
        <v>14</v>
      </c>
      <c r="Q14" s="1">
        <f t="shared" si="2"/>
        <v>13</v>
      </c>
      <c r="R14" s="1">
        <f t="shared" si="3"/>
        <v>12.004000000000001</v>
      </c>
      <c r="S14" s="1">
        <f>R14*1.01</f>
        <v>12.124040000000001</v>
      </c>
      <c r="T14" s="1">
        <f t="shared" ref="T14:AB14" si="14">S14*1.01</f>
        <v>12.2452804</v>
      </c>
      <c r="U14" s="1">
        <f t="shared" si="14"/>
        <v>12.367733204</v>
      </c>
      <c r="V14" s="1">
        <f t="shared" si="14"/>
        <v>12.49141053604</v>
      </c>
      <c r="W14" s="1">
        <f t="shared" si="14"/>
        <v>12.6163246414004</v>
      </c>
      <c r="X14" s="1">
        <f t="shared" si="14"/>
        <v>12.742487887814404</v>
      </c>
      <c r="Y14" s="1">
        <f t="shared" si="14"/>
        <v>12.869912766692549</v>
      </c>
      <c r="Z14" s="1">
        <f t="shared" si="14"/>
        <v>12.998611894359474</v>
      </c>
      <c r="AA14" s="1">
        <f t="shared" si="14"/>
        <v>13.128598013303069</v>
      </c>
      <c r="AB14" s="1">
        <f t="shared" si="14"/>
        <v>13.2598839934361</v>
      </c>
    </row>
    <row r="15" spans="1:28" s="5" customFormat="1" x14ac:dyDescent="0.35">
      <c r="A15" s="7"/>
      <c r="B15" s="7" t="s">
        <v>15</v>
      </c>
      <c r="C15" s="5">
        <f>SUM(C3:C14)</f>
        <v>2205.7000000000003</v>
      </c>
      <c r="D15" s="5">
        <v>2193.5</v>
      </c>
      <c r="E15" s="5">
        <f t="shared" ref="E15:L15" si="15">SUM(E3:E14)</f>
        <v>2066.3000000000002</v>
      </c>
      <c r="F15" s="5">
        <f t="shared" si="15"/>
        <v>2054.9000000000005</v>
      </c>
      <c r="G15" s="5">
        <f t="shared" si="15"/>
        <v>1962.1000000000001</v>
      </c>
      <c r="H15" s="5">
        <f t="shared" si="15"/>
        <v>1904.4999999999998</v>
      </c>
      <c r="I15" s="5">
        <f t="shared" si="15"/>
        <v>1763.3000000000002</v>
      </c>
      <c r="J15" s="5">
        <f t="shared" si="15"/>
        <v>1845.8</v>
      </c>
      <c r="K15" s="5">
        <f t="shared" si="15"/>
        <v>1793.145</v>
      </c>
      <c r="L15" s="5">
        <f t="shared" si="15"/>
        <v>1777.6130000000003</v>
      </c>
      <c r="O15" s="5">
        <f>SUM(O3:O14)</f>
        <v>10692.2</v>
      </c>
      <c r="P15" s="5">
        <f>SUM(P3:P14)</f>
        <v>8846.8999999999978</v>
      </c>
      <c r="Q15" s="5">
        <f>SUM(Q3:Q14)</f>
        <v>7987.8000000000011</v>
      </c>
      <c r="R15" s="5">
        <f>SUM(R3:R14)</f>
        <v>7179.8580000000011</v>
      </c>
      <c r="S15" s="5">
        <f>SUM(S3:S14)</f>
        <v>6765.6091500000011</v>
      </c>
      <c r="T15" s="5">
        <f t="shared" ref="T15:AB15" si="16">SUM(T3:T14)</f>
        <v>6448.0287873000007</v>
      </c>
      <c r="U15" s="5">
        <f t="shared" si="16"/>
        <v>6213.2930282490006</v>
      </c>
      <c r="V15" s="5">
        <f t="shared" si="16"/>
        <v>5989.32253816101</v>
      </c>
      <c r="W15" s="5">
        <f t="shared" si="16"/>
        <v>5816.6757973612666</v>
      </c>
      <c r="X15" s="5">
        <f t="shared" si="16"/>
        <v>5683.1578789447449</v>
      </c>
      <c r="Y15" s="5">
        <f t="shared" si="16"/>
        <v>5579.9295107932103</v>
      </c>
      <c r="Z15" s="5">
        <f t="shared" si="16"/>
        <v>5500.5674843496026</v>
      </c>
      <c r="AA15" s="5">
        <f t="shared" si="16"/>
        <v>5440.3942115862064</v>
      </c>
      <c r="AB15" s="5">
        <f t="shared" si="16"/>
        <v>5395.9982516536038</v>
      </c>
    </row>
    <row r="16" spans="1:28" x14ac:dyDescent="0.35"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-18.899999999999999</v>
      </c>
      <c r="J16" s="1">
        <v>-20.7</v>
      </c>
      <c r="K16" s="1">
        <v>0</v>
      </c>
      <c r="L16" s="1">
        <v>0</v>
      </c>
      <c r="O16" s="1">
        <v>0</v>
      </c>
      <c r="P16" s="1">
        <v>0</v>
      </c>
      <c r="Q16" s="1">
        <f>SUM(E16:H16)</f>
        <v>0</v>
      </c>
      <c r="R16" s="1">
        <f>SUM(I16:L16)</f>
        <v>-39.599999999999994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127" x14ac:dyDescent="0.35">
      <c r="B17" t="s">
        <v>17</v>
      </c>
      <c r="C17" s="1">
        <v>415.4</v>
      </c>
      <c r="D17" s="1">
        <v>414.1</v>
      </c>
      <c r="E17" s="1">
        <v>399.4</v>
      </c>
      <c r="F17" s="1">
        <v>436.3</v>
      </c>
      <c r="G17" s="1">
        <v>416.9</v>
      </c>
      <c r="H17" s="1">
        <v>447.9</v>
      </c>
      <c r="I17" s="1">
        <v>399.5</v>
      </c>
      <c r="J17" s="1">
        <v>433.4</v>
      </c>
      <c r="K17" s="1">
        <f>G17</f>
        <v>416.9</v>
      </c>
      <c r="L17" s="1">
        <f>H17</f>
        <v>447.9</v>
      </c>
      <c r="O17" s="1">
        <v>1977.8</v>
      </c>
      <c r="P17" s="1">
        <v>1658.5</v>
      </c>
      <c r="Q17" s="1">
        <f>SUM(E17:H17)</f>
        <v>1700.5</v>
      </c>
      <c r="R17" s="1">
        <f>SUM(I17:L17)</f>
        <v>1697.6999999999998</v>
      </c>
      <c r="S17" s="1">
        <f>R17*1.02</f>
        <v>1731.6539999999998</v>
      </c>
      <c r="T17" s="1">
        <f t="shared" ref="T17:AB17" si="17">S17*1.02</f>
        <v>1766.2870799999998</v>
      </c>
      <c r="U17" s="1">
        <f t="shared" si="17"/>
        <v>1801.6128216</v>
      </c>
      <c r="V17" s="1">
        <f t="shared" si="17"/>
        <v>1837.6450780319999</v>
      </c>
      <c r="W17" s="1">
        <f t="shared" si="17"/>
        <v>1874.39797959264</v>
      </c>
      <c r="X17" s="1">
        <f t="shared" si="17"/>
        <v>1911.8859391844928</v>
      </c>
      <c r="Y17" s="1">
        <f t="shared" si="17"/>
        <v>1950.1236579681827</v>
      </c>
      <c r="Z17" s="1">
        <f t="shared" si="17"/>
        <v>1989.1261311275464</v>
      </c>
      <c r="AA17" s="1">
        <f t="shared" si="17"/>
        <v>2028.9086537500973</v>
      </c>
      <c r="AB17" s="1">
        <f t="shared" si="17"/>
        <v>2069.4868268250993</v>
      </c>
    </row>
    <row r="18" spans="1:127" x14ac:dyDescent="0.35">
      <c r="B18" t="s">
        <v>18</v>
      </c>
      <c r="C18" s="1">
        <v>157.80000000000001</v>
      </c>
      <c r="D18" s="1">
        <v>126.2</v>
      </c>
      <c r="E18" s="1">
        <v>66.099999999999994</v>
      </c>
      <c r="F18" s="1">
        <v>97.9</v>
      </c>
      <c r="G18" s="1">
        <v>129.5</v>
      </c>
      <c r="H18" s="1">
        <v>191.6</v>
      </c>
      <c r="I18" s="1">
        <v>319.10000000000002</v>
      </c>
      <c r="J18" s="1">
        <v>197.5</v>
      </c>
      <c r="K18" s="1">
        <f>G18*1.5</f>
        <v>194.25</v>
      </c>
      <c r="L18" s="1">
        <f>H18*1.5</f>
        <v>287.39999999999998</v>
      </c>
      <c r="O18" s="1">
        <v>774.6</v>
      </c>
      <c r="P18" s="1">
        <v>476.3</v>
      </c>
      <c r="Q18" s="1">
        <f>SUM(E18:H18)</f>
        <v>485.1</v>
      </c>
      <c r="R18" s="1">
        <f>SUM(I18:L18)</f>
        <v>998.25</v>
      </c>
      <c r="S18" s="1">
        <f>R18*1.02</f>
        <v>1018.215</v>
      </c>
      <c r="T18" s="1">
        <f t="shared" ref="T18:AB18" si="18">S18*1.02</f>
        <v>1038.5793000000001</v>
      </c>
      <c r="U18" s="1">
        <f t="shared" si="18"/>
        <v>1059.3508860000002</v>
      </c>
      <c r="V18" s="1">
        <f t="shared" si="18"/>
        <v>1080.5379037200003</v>
      </c>
      <c r="W18" s="1">
        <f t="shared" si="18"/>
        <v>1102.1486617944004</v>
      </c>
      <c r="X18" s="1">
        <f t="shared" si="18"/>
        <v>1124.1916350302884</v>
      </c>
      <c r="Y18" s="1">
        <f t="shared" si="18"/>
        <v>1146.6754677308941</v>
      </c>
      <c r="Z18" s="1">
        <f t="shared" si="18"/>
        <v>1169.6089770855119</v>
      </c>
      <c r="AA18" s="1">
        <f t="shared" si="18"/>
        <v>1193.0011566272221</v>
      </c>
      <c r="AB18" s="1">
        <f t="shared" si="18"/>
        <v>1216.8611797597666</v>
      </c>
    </row>
    <row r="19" spans="1:127" x14ac:dyDescent="0.35">
      <c r="B19" t="s">
        <v>19</v>
      </c>
      <c r="C19" s="1">
        <f t="shared" ref="C19:L19" si="19">SUM(C15:C18)</f>
        <v>2778.9000000000005</v>
      </c>
      <c r="D19" s="1">
        <f t="shared" si="19"/>
        <v>2733.7999999999997</v>
      </c>
      <c r="E19" s="1">
        <f t="shared" si="19"/>
        <v>2531.8000000000002</v>
      </c>
      <c r="F19" s="1">
        <f t="shared" si="19"/>
        <v>2589.1000000000008</v>
      </c>
      <c r="G19" s="1">
        <f t="shared" si="19"/>
        <v>2508.5</v>
      </c>
      <c r="H19" s="1">
        <f t="shared" si="19"/>
        <v>2543.9999999999995</v>
      </c>
      <c r="I19" s="1">
        <f t="shared" si="19"/>
        <v>2463</v>
      </c>
      <c r="J19" s="1">
        <f t="shared" si="19"/>
        <v>2456</v>
      </c>
      <c r="K19" s="1">
        <f t="shared" si="19"/>
        <v>2404.2950000000001</v>
      </c>
      <c r="L19" s="1">
        <f t="shared" si="19"/>
        <v>2512.9130000000005</v>
      </c>
      <c r="O19" s="1">
        <f>SUM(O15:O18)</f>
        <v>13444.6</v>
      </c>
      <c r="P19" s="1">
        <f>SUM(P15:P18)</f>
        <v>10981.699999999997</v>
      </c>
      <c r="Q19" s="1">
        <f>SUM(Q15:Q18)</f>
        <v>10173.400000000001</v>
      </c>
      <c r="R19" s="1">
        <f>SUM(R15:R18)</f>
        <v>9836.2080000000005</v>
      </c>
      <c r="S19" s="1">
        <f t="shared" ref="S19:AB19" si="20">SUM(S15:S18)</f>
        <v>9515.4781500000008</v>
      </c>
      <c r="T19" s="1">
        <f t="shared" si="20"/>
        <v>9252.8951672999992</v>
      </c>
      <c r="U19" s="1">
        <f t="shared" si="20"/>
        <v>9074.2567358490014</v>
      </c>
      <c r="V19" s="1">
        <f t="shared" si="20"/>
        <v>8907.5055199130111</v>
      </c>
      <c r="W19" s="1">
        <f t="shared" si="20"/>
        <v>8793.2224387483075</v>
      </c>
      <c r="X19" s="1">
        <f t="shared" si="20"/>
        <v>8719.2354531595265</v>
      </c>
      <c r="Y19" s="1">
        <f t="shared" si="20"/>
        <v>8676.7286364922875</v>
      </c>
      <c r="Z19" s="1">
        <f t="shared" si="20"/>
        <v>8659.3025925626607</v>
      </c>
      <c r="AA19" s="1">
        <f t="shared" si="20"/>
        <v>8662.3040219635259</v>
      </c>
      <c r="AB19" s="1">
        <f t="shared" si="20"/>
        <v>8682.3462582384691</v>
      </c>
    </row>
    <row r="20" spans="1:127" x14ac:dyDescent="0.35">
      <c r="B20" t="s">
        <v>20</v>
      </c>
      <c r="C20" s="1">
        <v>511.8</v>
      </c>
      <c r="D20" s="1">
        <v>660.1</v>
      </c>
      <c r="E20" s="1">
        <v>753.9</v>
      </c>
      <c r="F20" s="1">
        <v>484</v>
      </c>
      <c r="G20" s="1">
        <v>469.5</v>
      </c>
      <c r="H20" s="1">
        <v>570.9</v>
      </c>
      <c r="I20" s="1">
        <v>662.8</v>
      </c>
      <c r="J20" s="1">
        <v>592.70000000000005</v>
      </c>
      <c r="K20" s="1">
        <f>K19*0.2</f>
        <v>480.85900000000004</v>
      </c>
      <c r="L20" s="1">
        <f>L19*0.2</f>
        <v>502.58260000000013</v>
      </c>
      <c r="O20" s="1">
        <v>1805.2</v>
      </c>
      <c r="P20" s="1">
        <v>2109.6999999999998</v>
      </c>
      <c r="Q20" s="1">
        <f>SUM(E20:H20)</f>
        <v>2278.3000000000002</v>
      </c>
      <c r="R20" s="1">
        <f>SUM(I20:L20)</f>
        <v>2238.9416000000001</v>
      </c>
      <c r="S20" s="1">
        <f>S19*0.2</f>
        <v>1903.0956300000003</v>
      </c>
      <c r="T20" s="1">
        <f t="shared" ref="T20:U20" si="21">T19*0.2</f>
        <v>1850.5790334599999</v>
      </c>
      <c r="U20" s="1">
        <f t="shared" si="21"/>
        <v>1814.8513471698004</v>
      </c>
      <c r="V20" s="1">
        <f>V19*0.18</f>
        <v>1603.3509935843419</v>
      </c>
      <c r="W20" s="1">
        <f>W19*0.18</f>
        <v>1582.7800389746953</v>
      </c>
      <c r="X20" s="1">
        <f>X19*0.18</f>
        <v>1569.4623815687148</v>
      </c>
      <c r="Y20" s="1">
        <f>Y19*0.15</f>
        <v>1301.5092954738432</v>
      </c>
      <c r="Z20" s="1">
        <f t="shared" ref="Z20:AB20" si="22">Z19*0.15</f>
        <v>1298.8953888843992</v>
      </c>
      <c r="AA20" s="1">
        <f t="shared" si="22"/>
        <v>1299.3456032945289</v>
      </c>
      <c r="AB20" s="1">
        <f t="shared" si="22"/>
        <v>1302.3519387357703</v>
      </c>
    </row>
    <row r="21" spans="1:127" x14ac:dyDescent="0.35">
      <c r="B21" t="s">
        <v>21</v>
      </c>
      <c r="C21" s="1">
        <f t="shared" ref="C21:J21" si="23">C19-C20</f>
        <v>2267.1000000000004</v>
      </c>
      <c r="D21" s="1">
        <f t="shared" si="23"/>
        <v>2073.6999999999998</v>
      </c>
      <c r="E21" s="1">
        <f t="shared" si="23"/>
        <v>1777.9</v>
      </c>
      <c r="F21" s="1">
        <f t="shared" si="23"/>
        <v>2105.1000000000008</v>
      </c>
      <c r="G21" s="1">
        <f t="shared" si="23"/>
        <v>2039</v>
      </c>
      <c r="H21" s="1">
        <f t="shared" si="23"/>
        <v>1973.0999999999995</v>
      </c>
      <c r="I21" s="1">
        <f t="shared" si="23"/>
        <v>1800.2</v>
      </c>
      <c r="J21" s="1">
        <f t="shared" si="23"/>
        <v>1863.3</v>
      </c>
      <c r="K21" s="1">
        <f t="shared" ref="K21:L21" si="24">K19-K20</f>
        <v>1923.4360000000001</v>
      </c>
      <c r="L21" s="1">
        <f t="shared" si="24"/>
        <v>2010.3304000000003</v>
      </c>
      <c r="O21" s="1">
        <f>O19-O20</f>
        <v>11639.4</v>
      </c>
      <c r="P21" s="1">
        <f>P19-P20</f>
        <v>8871.9999999999964</v>
      </c>
      <c r="Q21" s="1">
        <f>Q19-Q20</f>
        <v>7895.1000000000013</v>
      </c>
      <c r="R21" s="1">
        <f>R19-R20</f>
        <v>7597.2664000000004</v>
      </c>
      <c r="S21" s="1">
        <f t="shared" ref="S21:AB21" si="25">S19-S20</f>
        <v>7612.382520000001</v>
      </c>
      <c r="T21" s="1">
        <f t="shared" si="25"/>
        <v>7402.3161338399996</v>
      </c>
      <c r="U21" s="1">
        <f t="shared" si="25"/>
        <v>7259.4053886792008</v>
      </c>
      <c r="V21" s="1">
        <f t="shared" si="25"/>
        <v>7304.1545263286689</v>
      </c>
      <c r="W21" s="1">
        <f t="shared" si="25"/>
        <v>7210.4423997736121</v>
      </c>
      <c r="X21" s="1">
        <f t="shared" si="25"/>
        <v>7149.7730715908119</v>
      </c>
      <c r="Y21" s="1">
        <f t="shared" si="25"/>
        <v>7375.2193410184445</v>
      </c>
      <c r="Z21" s="1">
        <f t="shared" si="25"/>
        <v>7360.4072036782618</v>
      </c>
      <c r="AA21" s="1">
        <f t="shared" si="25"/>
        <v>7362.9584186689972</v>
      </c>
      <c r="AB21" s="1">
        <f t="shared" si="25"/>
        <v>7379.994319502699</v>
      </c>
    </row>
    <row r="22" spans="1:127" x14ac:dyDescent="0.35">
      <c r="B22" t="s">
        <v>22</v>
      </c>
      <c r="C22" s="1">
        <v>702.4</v>
      </c>
      <c r="D22" s="1">
        <v>699.5</v>
      </c>
      <c r="E22" s="1">
        <v>551.70000000000005</v>
      </c>
      <c r="F22" s="1">
        <v>528.6</v>
      </c>
      <c r="G22" s="1">
        <v>549.20000000000005</v>
      </c>
      <c r="H22" s="1">
        <v>601.6</v>
      </c>
      <c r="I22" s="1">
        <v>570.6</v>
      </c>
      <c r="J22" s="1">
        <v>584.20000000000005</v>
      </c>
      <c r="K22" s="1">
        <f>K19*0.23</f>
        <v>552.98785000000009</v>
      </c>
      <c r="L22" s="1">
        <f>L19*0.23</f>
        <v>577.96999000000017</v>
      </c>
      <c r="O22" s="1">
        <v>3990.9</v>
      </c>
      <c r="P22" s="1">
        <v>2501.1999999999998</v>
      </c>
      <c r="Q22" s="1">
        <f>SUM(E22:H22)</f>
        <v>2231.1000000000004</v>
      </c>
      <c r="R22" s="1">
        <f>SUM(I22:L22)</f>
        <v>2285.7578400000002</v>
      </c>
      <c r="S22" s="1">
        <f>S19*0.22</f>
        <v>2093.4051930000001</v>
      </c>
      <c r="T22" s="1">
        <f t="shared" ref="T22:U22" si="26">T19*0.22</f>
        <v>2035.6369368059998</v>
      </c>
      <c r="U22" s="1">
        <f t="shared" si="26"/>
        <v>1996.3364818867803</v>
      </c>
      <c r="V22" s="1">
        <f>V19*0.2</f>
        <v>1781.5011039826022</v>
      </c>
      <c r="W22" s="1">
        <f t="shared" ref="W22:Y22" si="27">W19*0.2</f>
        <v>1758.6444877496615</v>
      </c>
      <c r="X22" s="1">
        <f t="shared" si="27"/>
        <v>1743.8470906319053</v>
      </c>
      <c r="Y22" s="1">
        <f t="shared" si="27"/>
        <v>1735.3457272984576</v>
      </c>
      <c r="Z22" s="1">
        <f>Z19*0.18</f>
        <v>1558.674466661279</v>
      </c>
      <c r="AA22" s="1">
        <f t="shared" ref="AA22:AB22" si="28">AA19*0.18</f>
        <v>1559.2147239534347</v>
      </c>
      <c r="AB22" s="1">
        <f t="shared" si="28"/>
        <v>1562.8223264829244</v>
      </c>
    </row>
    <row r="23" spans="1:127" x14ac:dyDescent="0.35">
      <c r="B23" t="s">
        <v>23</v>
      </c>
      <c r="C23" s="1">
        <v>654.1</v>
      </c>
      <c r="D23" s="1">
        <v>787.9</v>
      </c>
      <c r="E23" s="1">
        <v>634.9</v>
      </c>
      <c r="F23" s="1">
        <v>572.6</v>
      </c>
      <c r="G23" s="1">
        <v>563.29999999999995</v>
      </c>
      <c r="H23" s="1">
        <v>632.79999999999995</v>
      </c>
      <c r="I23" s="1">
        <v>605</v>
      </c>
      <c r="J23" s="1">
        <v>548</v>
      </c>
      <c r="K23" s="1">
        <f>K19*0.24</f>
        <v>577.0308</v>
      </c>
      <c r="L23" s="1">
        <f>L19*0.24</f>
        <v>603.09912000000008</v>
      </c>
      <c r="O23" s="1">
        <v>2504.5</v>
      </c>
      <c r="P23" s="1">
        <v>2674.3</v>
      </c>
      <c r="Q23" s="1">
        <f>SUM(E23:H23)</f>
        <v>2403.6</v>
      </c>
      <c r="R23" s="1">
        <f>SUM(I23:L23)</f>
        <v>2333.1299200000003</v>
      </c>
      <c r="S23" s="1">
        <f>S19*0.24</f>
        <v>2283.7147560000003</v>
      </c>
      <c r="T23" s="1">
        <f t="shared" ref="T23:U23" si="29">T19*0.24</f>
        <v>2220.6948401519999</v>
      </c>
      <c r="U23" s="1">
        <f t="shared" si="29"/>
        <v>2177.82161660376</v>
      </c>
      <c r="V23" s="1">
        <f>V19*0.22</f>
        <v>1959.6512143808625</v>
      </c>
      <c r="W23" s="1">
        <f t="shared" ref="W23:Y23" si="30">W19*0.22</f>
        <v>1934.5089365246276</v>
      </c>
      <c r="X23" s="1">
        <f t="shared" si="30"/>
        <v>1918.2317996950958</v>
      </c>
      <c r="Y23" s="1">
        <f t="shared" si="30"/>
        <v>1908.8803000283033</v>
      </c>
      <c r="Z23" s="1">
        <f>Z19*0.2</f>
        <v>1731.8605185125323</v>
      </c>
      <c r="AA23" s="1">
        <f t="shared" ref="AA23:AB23" si="31">AA19*0.2</f>
        <v>1732.4608043927053</v>
      </c>
      <c r="AB23" s="1">
        <f t="shared" si="31"/>
        <v>1736.4692516476939</v>
      </c>
    </row>
    <row r="24" spans="1:127" x14ac:dyDescent="0.35">
      <c r="B24" t="s">
        <v>24</v>
      </c>
      <c r="C24" s="1">
        <f>21.2-15.6+111</f>
        <v>116.6</v>
      </c>
      <c r="D24" s="1">
        <f>68.1-67.3-1.6</f>
        <v>-0.80000000000000293</v>
      </c>
      <c r="E24" s="1">
        <f>66.9-117.3-7.1+38.1</f>
        <v>-19.399999999999991</v>
      </c>
      <c r="F24" s="1">
        <f>67.5+29.4-4.5+70.6</f>
        <v>163</v>
      </c>
      <c r="G24" s="1">
        <f>56.5+45.3-2.1+15.4-503.7</f>
        <v>-388.59999999999997</v>
      </c>
      <c r="H24" s="1">
        <f>175+35.2-195.3+6.9</f>
        <v>21.799999999999976</v>
      </c>
      <c r="I24" s="1">
        <f>50.2+57.1+9.6</f>
        <v>116.9</v>
      </c>
      <c r="J24" s="1">
        <f>52.9+56.9+34.4</f>
        <v>144.19999999999999</v>
      </c>
      <c r="K24" s="1">
        <v>100</v>
      </c>
      <c r="L24" s="1">
        <v>100</v>
      </c>
      <c r="O24" s="1">
        <f>464.8+232.9-92.5-86.3+75</f>
        <v>593.90000000000009</v>
      </c>
      <c r="P24" s="1">
        <f>881.3+7.2-50.7+18</f>
        <v>855.8</v>
      </c>
      <c r="Q24" s="1">
        <f>SUM(E24:H24)</f>
        <v>-223.19999999999996</v>
      </c>
      <c r="R24" s="1">
        <f>SUM(I24:L24)</f>
        <v>461.1</v>
      </c>
      <c r="S24" s="1">
        <f>R24*0.95</f>
        <v>438.04500000000002</v>
      </c>
      <c r="T24" s="1">
        <f t="shared" ref="T24:AB24" si="32">S24*0.95</f>
        <v>416.14274999999998</v>
      </c>
      <c r="U24" s="1">
        <f t="shared" si="32"/>
        <v>395.33561249999997</v>
      </c>
      <c r="V24" s="1">
        <f t="shared" si="32"/>
        <v>375.56883187499994</v>
      </c>
      <c r="W24" s="1">
        <f t="shared" si="32"/>
        <v>356.79039028124993</v>
      </c>
      <c r="X24" s="1">
        <f t="shared" si="32"/>
        <v>338.95087076718744</v>
      </c>
      <c r="Y24" s="1">
        <f t="shared" si="32"/>
        <v>322.00332722882803</v>
      </c>
      <c r="Z24" s="1">
        <f t="shared" si="32"/>
        <v>305.90316086738659</v>
      </c>
      <c r="AA24" s="1">
        <f t="shared" si="32"/>
        <v>290.60800282401726</v>
      </c>
      <c r="AB24" s="1">
        <f t="shared" si="32"/>
        <v>276.0776026828164</v>
      </c>
    </row>
    <row r="25" spans="1:127" x14ac:dyDescent="0.35">
      <c r="B25" t="s">
        <v>25</v>
      </c>
      <c r="C25" s="1">
        <f t="shared" ref="C25:J25" si="33">SUM(C22:C24)</f>
        <v>1473.1</v>
      </c>
      <c r="D25" s="1">
        <f t="shared" si="33"/>
        <v>1486.6000000000001</v>
      </c>
      <c r="E25" s="1">
        <f t="shared" si="33"/>
        <v>1167.1999999999998</v>
      </c>
      <c r="F25" s="1">
        <f t="shared" si="33"/>
        <v>1264.2</v>
      </c>
      <c r="G25" s="1">
        <f t="shared" si="33"/>
        <v>723.90000000000009</v>
      </c>
      <c r="H25" s="1">
        <f t="shared" si="33"/>
        <v>1256.2</v>
      </c>
      <c r="I25" s="1">
        <f t="shared" si="33"/>
        <v>1292.5</v>
      </c>
      <c r="J25" s="1">
        <f t="shared" si="33"/>
        <v>1276.4000000000001</v>
      </c>
      <c r="K25" s="1">
        <f t="shared" ref="K25:L25" si="34">SUM(K22:K24)</f>
        <v>1230.01865</v>
      </c>
      <c r="L25" s="1">
        <f t="shared" si="34"/>
        <v>1281.0691100000004</v>
      </c>
      <c r="O25" s="1">
        <f>SUM(O22:O24)</f>
        <v>7089.2999999999993</v>
      </c>
      <c r="P25" s="1">
        <f>SUM(P22:P24)</f>
        <v>6031.3</v>
      </c>
      <c r="Q25" s="1">
        <f>SUM(Q22:Q24)</f>
        <v>4411.5000000000009</v>
      </c>
      <c r="R25" s="1">
        <f>SUM(R22:R24)</f>
        <v>5079.9877600000009</v>
      </c>
      <c r="S25" s="1">
        <f t="shared" ref="S25:AB25" si="35">SUM(S22:S24)</f>
        <v>4815.164949</v>
      </c>
      <c r="T25" s="1">
        <f t="shared" si="35"/>
        <v>4672.4745269579998</v>
      </c>
      <c r="U25" s="1">
        <f t="shared" si="35"/>
        <v>4569.4937109905404</v>
      </c>
      <c r="V25" s="1">
        <f t="shared" si="35"/>
        <v>4116.7211502384644</v>
      </c>
      <c r="W25" s="1">
        <f t="shared" si="35"/>
        <v>4049.9438145555391</v>
      </c>
      <c r="X25" s="1">
        <f t="shared" si="35"/>
        <v>4001.0297610941889</v>
      </c>
      <c r="Y25" s="1">
        <f t="shared" si="35"/>
        <v>3966.229354555589</v>
      </c>
      <c r="Z25" s="1">
        <f t="shared" si="35"/>
        <v>3596.4381460411978</v>
      </c>
      <c r="AA25" s="1">
        <f t="shared" si="35"/>
        <v>3582.2835311701569</v>
      </c>
      <c r="AB25" s="1">
        <f t="shared" si="35"/>
        <v>3575.3691808134345</v>
      </c>
    </row>
    <row r="26" spans="1:127" x14ac:dyDescent="0.35">
      <c r="B26" t="s">
        <v>26</v>
      </c>
      <c r="C26" s="1">
        <f t="shared" ref="C26:J26" si="36">C21-C25</f>
        <v>794.00000000000045</v>
      </c>
      <c r="D26" s="1">
        <f t="shared" si="36"/>
        <v>587.09999999999968</v>
      </c>
      <c r="E26" s="1">
        <f t="shared" si="36"/>
        <v>610.70000000000027</v>
      </c>
      <c r="F26" s="1">
        <f t="shared" si="36"/>
        <v>840.90000000000077</v>
      </c>
      <c r="G26" s="1">
        <f t="shared" si="36"/>
        <v>1315.1</v>
      </c>
      <c r="H26" s="1">
        <f t="shared" si="36"/>
        <v>716.89999999999941</v>
      </c>
      <c r="I26" s="1">
        <f t="shared" si="36"/>
        <v>507.70000000000005</v>
      </c>
      <c r="J26" s="1">
        <f t="shared" si="36"/>
        <v>586.89999999999986</v>
      </c>
      <c r="K26" s="1">
        <f t="shared" ref="K26:L26" si="37">K21-K25</f>
        <v>693.41735000000017</v>
      </c>
      <c r="L26" s="1">
        <f t="shared" si="37"/>
        <v>729.26128999999992</v>
      </c>
      <c r="O26" s="1">
        <f>O21-O25</f>
        <v>4550.1000000000004</v>
      </c>
      <c r="P26" s="1">
        <f>P21-P25</f>
        <v>2840.6999999999962</v>
      </c>
      <c r="Q26" s="1">
        <f>Q21-Q25</f>
        <v>3483.6000000000004</v>
      </c>
      <c r="R26" s="1">
        <f>R21-R25</f>
        <v>2517.2786399999995</v>
      </c>
      <c r="S26" s="1">
        <f t="shared" ref="S26:AB26" si="38">S21-S25</f>
        <v>2797.217571000001</v>
      </c>
      <c r="T26" s="1">
        <f t="shared" si="38"/>
        <v>2729.8416068819997</v>
      </c>
      <c r="U26" s="1">
        <f t="shared" si="38"/>
        <v>2689.9116776886603</v>
      </c>
      <c r="V26" s="1">
        <f t="shared" si="38"/>
        <v>3187.4333760902045</v>
      </c>
      <c r="W26" s="1">
        <f t="shared" si="38"/>
        <v>3160.498585218073</v>
      </c>
      <c r="X26" s="1">
        <f t="shared" si="38"/>
        <v>3148.7433104966231</v>
      </c>
      <c r="Y26" s="1">
        <f t="shared" si="38"/>
        <v>3408.9899864628555</v>
      </c>
      <c r="Z26" s="1">
        <f t="shared" si="38"/>
        <v>3763.969057637064</v>
      </c>
      <c r="AA26" s="1">
        <f t="shared" si="38"/>
        <v>3780.6748874988402</v>
      </c>
      <c r="AB26" s="1">
        <f t="shared" si="38"/>
        <v>3804.6251386892645</v>
      </c>
    </row>
    <row r="27" spans="1:127" x14ac:dyDescent="0.35">
      <c r="B27" t="s">
        <v>27</v>
      </c>
      <c r="C27" s="1">
        <v>-502.9</v>
      </c>
      <c r="D27" s="1">
        <v>-182.1</v>
      </c>
      <c r="E27" s="1">
        <v>-263.3</v>
      </c>
      <c r="F27" s="1">
        <v>428.6</v>
      </c>
      <c r="G27" s="1">
        <v>56</v>
      </c>
      <c r="H27" s="1">
        <v>-113.1</v>
      </c>
      <c r="I27" s="1">
        <v>-69.400000000000006</v>
      </c>
      <c r="J27" s="1">
        <v>121.2</v>
      </c>
      <c r="K27" s="1">
        <v>0</v>
      </c>
      <c r="L27" s="1">
        <v>0</v>
      </c>
      <c r="O27" s="1">
        <v>497.4</v>
      </c>
      <c r="P27" s="1">
        <v>-1095.5</v>
      </c>
      <c r="Q27" s="1">
        <f>SUM(E27:H27)</f>
        <v>108.20000000000002</v>
      </c>
      <c r="R27" s="1">
        <f>SUM(I27:L27)</f>
        <v>51.8</v>
      </c>
      <c r="S27" s="1">
        <f>J54*AE46</f>
        <v>-25.534999999999993</v>
      </c>
      <c r="T27" s="1">
        <f>S54*$AE$46</f>
        <v>92.26150926750006</v>
      </c>
      <c r="U27" s="1">
        <f t="shared" ref="U27:AB27" si="39">T54*$AE$46</f>
        <v>212.20089170385381</v>
      </c>
      <c r="V27" s="1">
        <f t="shared" si="39"/>
        <v>335.54067590303566</v>
      </c>
      <c r="W27" s="1">
        <f t="shared" si="39"/>
        <v>485.26707311274845</v>
      </c>
      <c r="X27" s="1">
        <f t="shared" si="39"/>
        <v>640.21211359180836</v>
      </c>
      <c r="Y27" s="1">
        <f t="shared" si="39"/>
        <v>801.24271911556662</v>
      </c>
      <c r="Z27" s="1">
        <f t="shared" si="39"/>
        <v>980.17760910264951</v>
      </c>
      <c r="AA27" s="1">
        <f t="shared" si="39"/>
        <v>1181.8038424390875</v>
      </c>
      <c r="AB27" s="1">
        <f t="shared" si="39"/>
        <v>1392.7091884614492</v>
      </c>
    </row>
    <row r="28" spans="1:127" x14ac:dyDescent="0.35">
      <c r="B28" t="s">
        <v>28</v>
      </c>
      <c r="C28" s="1">
        <f t="shared" ref="C28:L28" si="40">C26+C27</f>
        <v>291.10000000000048</v>
      </c>
      <c r="D28" s="1">
        <f t="shared" si="40"/>
        <v>404.99999999999966</v>
      </c>
      <c r="E28" s="1">
        <f t="shared" si="40"/>
        <v>347.40000000000026</v>
      </c>
      <c r="F28" s="1">
        <f t="shared" si="40"/>
        <v>1269.5000000000009</v>
      </c>
      <c r="G28" s="1">
        <f t="shared" si="40"/>
        <v>1371.1</v>
      </c>
      <c r="H28" s="1">
        <f t="shared" si="40"/>
        <v>603.79999999999939</v>
      </c>
      <c r="I28" s="1">
        <f t="shared" si="40"/>
        <v>438.30000000000007</v>
      </c>
      <c r="J28" s="1">
        <f t="shared" si="40"/>
        <v>708.09999999999991</v>
      </c>
      <c r="K28" s="1">
        <f t="shared" si="40"/>
        <v>693.41735000000017</v>
      </c>
      <c r="L28" s="1">
        <f t="shared" si="40"/>
        <v>729.26128999999992</v>
      </c>
      <c r="O28" s="1">
        <f>O26+O27</f>
        <v>5047.5</v>
      </c>
      <c r="P28" s="1">
        <f>P26+P27</f>
        <v>1745.1999999999962</v>
      </c>
      <c r="Q28" s="1">
        <f>Q26+Q27</f>
        <v>3591.8</v>
      </c>
      <c r="R28" s="1">
        <f>R26+R27</f>
        <v>2569.0786399999997</v>
      </c>
      <c r="S28" s="1">
        <f t="shared" ref="S28:AB28" si="41">S26+S27</f>
        <v>2771.6825710000012</v>
      </c>
      <c r="T28" s="1">
        <f t="shared" si="41"/>
        <v>2822.1031161494998</v>
      </c>
      <c r="U28" s="1">
        <f t="shared" si="41"/>
        <v>2902.1125693925142</v>
      </c>
      <c r="V28" s="1">
        <f t="shared" si="41"/>
        <v>3522.9740519932402</v>
      </c>
      <c r="W28" s="1">
        <f t="shared" si="41"/>
        <v>3645.7656583308217</v>
      </c>
      <c r="X28" s="1">
        <f t="shared" si="41"/>
        <v>3788.9554240884313</v>
      </c>
      <c r="Y28" s="1">
        <f t="shared" si="41"/>
        <v>4210.2327055784226</v>
      </c>
      <c r="Z28" s="1">
        <f t="shared" si="41"/>
        <v>4744.1466667397135</v>
      </c>
      <c r="AA28" s="1">
        <f t="shared" si="41"/>
        <v>4962.4787299379277</v>
      </c>
      <c r="AB28" s="1">
        <f t="shared" si="41"/>
        <v>5197.3343271507138</v>
      </c>
    </row>
    <row r="29" spans="1:127" x14ac:dyDescent="0.35">
      <c r="B29" t="s">
        <v>29</v>
      </c>
      <c r="C29" s="1">
        <v>-25.9</v>
      </c>
      <c r="D29" s="1">
        <v>443.2</v>
      </c>
      <c r="E29" s="1">
        <v>125.6</v>
      </c>
      <c r="F29" s="1">
        <v>216.7</v>
      </c>
      <c r="G29" s="1">
        <v>236.2</v>
      </c>
      <c r="H29" s="1">
        <v>54.3</v>
      </c>
      <c r="I29" s="1">
        <v>50.7</v>
      </c>
      <c r="J29" s="1">
        <v>114.8</v>
      </c>
      <c r="K29" s="1">
        <f>K28*0.15</f>
        <v>104.01260250000003</v>
      </c>
      <c r="L29" s="1">
        <f>L28*0.15</f>
        <v>109.38919349999999</v>
      </c>
      <c r="O29" s="1">
        <v>992.3</v>
      </c>
      <c r="P29" s="1">
        <v>52.5</v>
      </c>
      <c r="Q29" s="1">
        <f>SUM(E29:H29)</f>
        <v>632.79999999999995</v>
      </c>
      <c r="R29" s="1">
        <f>SUM(I29:L29)</f>
        <v>378.90179599999999</v>
      </c>
      <c r="S29" s="1">
        <f>S28*0.15</f>
        <v>415.75238565000018</v>
      </c>
      <c r="T29" s="1">
        <f t="shared" ref="T29:AB29" si="42">T28*0.15</f>
        <v>423.31546742242494</v>
      </c>
      <c r="U29" s="1">
        <f t="shared" si="42"/>
        <v>435.31688540887711</v>
      </c>
      <c r="V29" s="1">
        <f t="shared" si="42"/>
        <v>528.44610779898596</v>
      </c>
      <c r="W29" s="1">
        <f t="shared" si="42"/>
        <v>546.86484874962321</v>
      </c>
      <c r="X29" s="1">
        <f t="shared" si="42"/>
        <v>568.34331361326463</v>
      </c>
      <c r="Y29" s="1">
        <f t="shared" si="42"/>
        <v>631.53490583676341</v>
      </c>
      <c r="Z29" s="1">
        <f t="shared" si="42"/>
        <v>711.62200001095698</v>
      </c>
      <c r="AA29" s="1">
        <f t="shared" si="42"/>
        <v>744.37180949068909</v>
      </c>
      <c r="AB29" s="1">
        <f t="shared" si="42"/>
        <v>779.600149072607</v>
      </c>
    </row>
    <row r="30" spans="1:127" s="5" customFormat="1" x14ac:dyDescent="0.35">
      <c r="A30" s="7"/>
      <c r="B30" s="7" t="s">
        <v>30</v>
      </c>
      <c r="C30" s="5">
        <f t="shared" ref="C30:J30" si="43">C28-C29</f>
        <v>317.00000000000045</v>
      </c>
      <c r="D30" s="5">
        <f t="shared" si="43"/>
        <v>-38.20000000000033</v>
      </c>
      <c r="E30" s="5">
        <f t="shared" si="43"/>
        <v>221.80000000000027</v>
      </c>
      <c r="F30" s="5">
        <f t="shared" si="43"/>
        <v>1052.8000000000009</v>
      </c>
      <c r="G30" s="5">
        <f t="shared" si="43"/>
        <v>1134.8999999999999</v>
      </c>
      <c r="H30" s="5">
        <f t="shared" si="43"/>
        <v>549.49999999999943</v>
      </c>
      <c r="I30" s="5">
        <f t="shared" si="43"/>
        <v>387.60000000000008</v>
      </c>
      <c r="J30" s="5">
        <f t="shared" si="43"/>
        <v>593.29999999999995</v>
      </c>
      <c r="K30" s="5">
        <f t="shared" ref="K30:L30" si="44">K28-K29</f>
        <v>589.4047475000001</v>
      </c>
      <c r="L30" s="5">
        <f t="shared" si="44"/>
        <v>619.87209649999988</v>
      </c>
      <c r="O30" s="5">
        <f>O28-O29</f>
        <v>4055.2</v>
      </c>
      <c r="P30" s="5">
        <f>P28-P29</f>
        <v>1692.6999999999962</v>
      </c>
      <c r="Q30" s="5">
        <f>Q28-Q29</f>
        <v>2959</v>
      </c>
      <c r="R30" s="5">
        <f>R28-R29</f>
        <v>2190.1768439999996</v>
      </c>
      <c r="S30" s="5">
        <f t="shared" ref="S30:AB30" si="45">S28-S29</f>
        <v>2355.930185350001</v>
      </c>
      <c r="T30" s="5">
        <f t="shared" si="45"/>
        <v>2398.7876487270751</v>
      </c>
      <c r="U30" s="5">
        <f t="shared" si="45"/>
        <v>2466.795683983637</v>
      </c>
      <c r="V30" s="5">
        <f t="shared" si="45"/>
        <v>2994.5279441942544</v>
      </c>
      <c r="W30" s="5">
        <f t="shared" si="45"/>
        <v>3098.9008095811987</v>
      </c>
      <c r="X30" s="5">
        <f t="shared" si="45"/>
        <v>3220.6121104751664</v>
      </c>
      <c r="Y30" s="5">
        <f t="shared" si="45"/>
        <v>3578.6977997416593</v>
      </c>
      <c r="Z30" s="5">
        <f t="shared" si="45"/>
        <v>4032.5246667287565</v>
      </c>
      <c r="AA30" s="5">
        <f t="shared" si="45"/>
        <v>4218.1069204472387</v>
      </c>
      <c r="AB30" s="5">
        <f t="shared" si="45"/>
        <v>4417.7341780781071</v>
      </c>
      <c r="AC30" s="5">
        <f t="shared" ref="AC30:BH30" si="46">AB30*(1+$AE$47)</f>
        <v>4196.8474691742013</v>
      </c>
      <c r="AD30" s="5">
        <f t="shared" si="46"/>
        <v>3987.0050957154908</v>
      </c>
      <c r="AE30" s="5">
        <f t="shared" si="46"/>
        <v>3787.6548409297161</v>
      </c>
      <c r="AF30" s="5">
        <f t="shared" si="46"/>
        <v>3598.2720988832302</v>
      </c>
      <c r="AG30" s="5">
        <f t="shared" si="46"/>
        <v>3418.3584939390685</v>
      </c>
      <c r="AH30" s="5">
        <f t="shared" si="46"/>
        <v>3247.4405692421151</v>
      </c>
      <c r="AI30" s="5">
        <f t="shared" si="46"/>
        <v>3085.0685407800092</v>
      </c>
      <c r="AJ30" s="5">
        <f t="shared" si="46"/>
        <v>2930.8151137410086</v>
      </c>
      <c r="AK30" s="5">
        <f t="shared" si="46"/>
        <v>2784.2743580539582</v>
      </c>
      <c r="AL30" s="5">
        <f t="shared" si="46"/>
        <v>2645.06064015126</v>
      </c>
      <c r="AM30" s="5">
        <f t="shared" si="46"/>
        <v>2512.8076081436971</v>
      </c>
      <c r="AN30" s="5">
        <f t="shared" si="46"/>
        <v>2387.1672277365119</v>
      </c>
      <c r="AO30" s="5">
        <f t="shared" si="46"/>
        <v>2267.808866349686</v>
      </c>
      <c r="AP30" s="5">
        <f t="shared" si="46"/>
        <v>2154.4184230322016</v>
      </c>
      <c r="AQ30" s="5">
        <f t="shared" si="46"/>
        <v>2046.6975018805915</v>
      </c>
      <c r="AR30" s="5">
        <f t="shared" si="46"/>
        <v>1944.3626267865618</v>
      </c>
      <c r="AS30" s="5">
        <f t="shared" si="46"/>
        <v>1847.1444954472336</v>
      </c>
      <c r="AT30" s="5">
        <f t="shared" si="46"/>
        <v>1754.7872706748717</v>
      </c>
      <c r="AU30" s="5">
        <f t="shared" si="46"/>
        <v>1667.047907141128</v>
      </c>
      <c r="AV30" s="5">
        <f t="shared" si="46"/>
        <v>1583.6955117840716</v>
      </c>
      <c r="AW30" s="5">
        <f t="shared" si="46"/>
        <v>1504.5107361948681</v>
      </c>
      <c r="AX30" s="5">
        <f t="shared" si="46"/>
        <v>1429.2851993851245</v>
      </c>
      <c r="AY30" s="5">
        <f t="shared" si="46"/>
        <v>1357.8209394158682</v>
      </c>
      <c r="AZ30" s="5">
        <f t="shared" si="46"/>
        <v>1289.9298924450748</v>
      </c>
      <c r="BA30" s="5">
        <f t="shared" si="46"/>
        <v>1225.433397822821</v>
      </c>
      <c r="BB30" s="5">
        <f t="shared" si="46"/>
        <v>1164.1617279316799</v>
      </c>
      <c r="BC30" s="5">
        <f t="shared" si="46"/>
        <v>1105.9536415350958</v>
      </c>
      <c r="BD30" s="5">
        <f t="shared" si="46"/>
        <v>1050.6559594583409</v>
      </c>
      <c r="BE30" s="5">
        <f t="shared" si="46"/>
        <v>998.12316148542379</v>
      </c>
      <c r="BF30" s="5">
        <f t="shared" si="46"/>
        <v>948.21700341115252</v>
      </c>
      <c r="BG30" s="5">
        <f t="shared" si="46"/>
        <v>900.80615324059488</v>
      </c>
      <c r="BH30" s="5">
        <f t="shared" si="46"/>
        <v>855.76584557856506</v>
      </c>
      <c r="BI30" s="5">
        <f t="shared" ref="BI30:CN30" si="47">BH30*(1+$AE$47)</f>
        <v>812.97755329963672</v>
      </c>
      <c r="BJ30" s="5">
        <f t="shared" si="47"/>
        <v>772.32867563465481</v>
      </c>
      <c r="BK30" s="5">
        <f t="shared" si="47"/>
        <v>733.71224185292203</v>
      </c>
      <c r="BL30" s="5">
        <f t="shared" si="47"/>
        <v>697.02662976027591</v>
      </c>
      <c r="BM30" s="5">
        <f t="shared" si="47"/>
        <v>662.17529827226213</v>
      </c>
      <c r="BN30" s="5">
        <f t="shared" si="47"/>
        <v>629.06653335864894</v>
      </c>
      <c r="BO30" s="5">
        <f t="shared" si="47"/>
        <v>597.61320669071642</v>
      </c>
      <c r="BP30" s="5">
        <f t="shared" si="47"/>
        <v>567.73254635618059</v>
      </c>
      <c r="BQ30" s="5">
        <f t="shared" si="47"/>
        <v>539.34591903837156</v>
      </c>
      <c r="BR30" s="5">
        <f t="shared" si="47"/>
        <v>512.37862308645299</v>
      </c>
      <c r="BS30" s="5">
        <f t="shared" si="47"/>
        <v>486.75969193213029</v>
      </c>
      <c r="BT30" s="5">
        <f t="shared" si="47"/>
        <v>462.42170733552376</v>
      </c>
      <c r="BU30" s="5">
        <f t="shared" si="47"/>
        <v>439.30062196874758</v>
      </c>
      <c r="BV30" s="5">
        <f t="shared" si="47"/>
        <v>417.33559087031017</v>
      </c>
      <c r="BW30" s="5">
        <f t="shared" si="47"/>
        <v>396.46881132679465</v>
      </c>
      <c r="BX30" s="5">
        <f t="shared" si="47"/>
        <v>376.64537076045491</v>
      </c>
      <c r="BY30" s="5">
        <f t="shared" si="47"/>
        <v>357.81310222243212</v>
      </c>
      <c r="BZ30" s="5">
        <f t="shared" si="47"/>
        <v>339.92244711131048</v>
      </c>
      <c r="CA30" s="5">
        <f t="shared" si="47"/>
        <v>322.92632475574493</v>
      </c>
      <c r="CB30" s="5">
        <f t="shared" si="47"/>
        <v>306.78000851795764</v>
      </c>
      <c r="CC30" s="5">
        <f t="shared" si="47"/>
        <v>291.44100809205975</v>
      </c>
      <c r="CD30" s="5">
        <f t="shared" si="47"/>
        <v>276.86895768745677</v>
      </c>
      <c r="CE30" s="5">
        <f t="shared" si="47"/>
        <v>263.02550980308393</v>
      </c>
      <c r="CF30" s="5">
        <f t="shared" si="47"/>
        <v>249.87423431292973</v>
      </c>
      <c r="CG30" s="5">
        <f t="shared" si="47"/>
        <v>237.38052259728323</v>
      </c>
      <c r="CH30" s="5">
        <f t="shared" si="47"/>
        <v>225.51149646741905</v>
      </c>
      <c r="CI30" s="5">
        <f t="shared" si="47"/>
        <v>214.23592164404809</v>
      </c>
      <c r="CJ30" s="5">
        <f t="shared" si="47"/>
        <v>203.52412556184566</v>
      </c>
      <c r="CK30" s="5">
        <f t="shared" si="47"/>
        <v>193.34791928375338</v>
      </c>
      <c r="CL30" s="5">
        <f t="shared" si="47"/>
        <v>183.68052331956571</v>
      </c>
      <c r="CM30" s="5">
        <f t="shared" si="47"/>
        <v>174.49649715358743</v>
      </c>
      <c r="CN30" s="5">
        <f t="shared" si="47"/>
        <v>165.77167229590805</v>
      </c>
      <c r="CO30" s="5">
        <f t="shared" ref="CO30:DW30" si="48">CN30*(1+$AE$47)</f>
        <v>157.48308868111263</v>
      </c>
      <c r="CP30" s="5">
        <f t="shared" si="48"/>
        <v>149.60893424705699</v>
      </c>
      <c r="CQ30" s="5">
        <f t="shared" si="48"/>
        <v>142.12848753470413</v>
      </c>
      <c r="CR30" s="5">
        <f t="shared" si="48"/>
        <v>135.02206315796892</v>
      </c>
      <c r="CS30" s="5">
        <f t="shared" si="48"/>
        <v>128.27096000007046</v>
      </c>
      <c r="CT30" s="5">
        <f t="shared" si="48"/>
        <v>121.85741200006693</v>
      </c>
      <c r="CU30" s="5">
        <f t="shared" si="48"/>
        <v>115.76454140006358</v>
      </c>
      <c r="CV30" s="5">
        <f t="shared" si="48"/>
        <v>109.97631433006039</v>
      </c>
      <c r="CW30" s="5">
        <f t="shared" si="48"/>
        <v>104.47749861355737</v>
      </c>
      <c r="CX30" s="5">
        <f t="shared" si="48"/>
        <v>99.253623682879493</v>
      </c>
      <c r="CY30" s="5">
        <f t="shared" si="48"/>
        <v>94.290942498735518</v>
      </c>
      <c r="CZ30" s="5">
        <f t="shared" si="48"/>
        <v>89.576395373798732</v>
      </c>
      <c r="DA30" s="5">
        <f t="shared" si="48"/>
        <v>85.097575605108787</v>
      </c>
      <c r="DB30" s="5">
        <f t="shared" si="48"/>
        <v>80.842696824853348</v>
      </c>
      <c r="DC30" s="5">
        <f t="shared" si="48"/>
        <v>76.800561983610677</v>
      </c>
      <c r="DD30" s="5">
        <f t="shared" si="48"/>
        <v>72.960533884430134</v>
      </c>
      <c r="DE30" s="5">
        <f t="shared" si="48"/>
        <v>69.312507190208621</v>
      </c>
      <c r="DF30" s="5">
        <f t="shared" si="48"/>
        <v>65.84688183069818</v>
      </c>
      <c r="DG30" s="5">
        <f t="shared" si="48"/>
        <v>62.554537739163266</v>
      </c>
      <c r="DH30" s="5">
        <f t="shared" si="48"/>
        <v>59.426810852205101</v>
      </c>
      <c r="DI30" s="5">
        <f t="shared" si="48"/>
        <v>56.455470309594844</v>
      </c>
      <c r="DJ30" s="5">
        <f t="shared" si="48"/>
        <v>53.632696794115098</v>
      </c>
      <c r="DK30" s="5">
        <f t="shared" si="48"/>
        <v>50.95106195440934</v>
      </c>
      <c r="DL30" s="5">
        <f t="shared" si="48"/>
        <v>48.403508856688873</v>
      </c>
      <c r="DM30" s="5">
        <f t="shared" si="48"/>
        <v>45.983333413854425</v>
      </c>
      <c r="DN30" s="5">
        <f t="shared" si="48"/>
        <v>43.684166743161704</v>
      </c>
      <c r="DO30" s="5">
        <f t="shared" si="48"/>
        <v>41.499958406003614</v>
      </c>
      <c r="DP30" s="5">
        <f t="shared" si="48"/>
        <v>39.42496048570343</v>
      </c>
      <c r="DQ30" s="5">
        <f t="shared" si="48"/>
        <v>37.453712461418256</v>
      </c>
      <c r="DR30" s="5">
        <f t="shared" si="48"/>
        <v>35.581026838347341</v>
      </c>
      <c r="DS30" s="5">
        <f t="shared" si="48"/>
        <v>33.801975496429975</v>
      </c>
      <c r="DT30" s="5">
        <f t="shared" si="48"/>
        <v>32.111876721608475</v>
      </c>
      <c r="DU30" s="5">
        <f t="shared" si="48"/>
        <v>30.506282885528048</v>
      </c>
      <c r="DV30" s="5">
        <f t="shared" si="48"/>
        <v>28.980968741251644</v>
      </c>
      <c r="DW30" s="5">
        <f t="shared" si="48"/>
        <v>27.531920304189061</v>
      </c>
    </row>
    <row r="31" spans="1:127" x14ac:dyDescent="0.35">
      <c r="B31" t="s">
        <v>31</v>
      </c>
      <c r="C31" s="3">
        <f t="shared" ref="C31:J31" si="49">C30/C32</f>
        <v>2.1418918918918948</v>
      </c>
      <c r="D31" s="3">
        <f t="shared" si="49"/>
        <v>-0.2600408441116428</v>
      </c>
      <c r="E31" s="3">
        <f t="shared" si="49"/>
        <v>1.5078178110129183</v>
      </c>
      <c r="F31" s="3">
        <f t="shared" si="49"/>
        <v>7.2159013022618286</v>
      </c>
      <c r="G31" s="3">
        <f t="shared" si="49"/>
        <v>7.8594182825484751</v>
      </c>
      <c r="H31" s="3">
        <f t="shared" si="49"/>
        <v>3.8133240804996493</v>
      </c>
      <c r="I31" s="3">
        <f t="shared" si="49"/>
        <v>2.6842105263157898</v>
      </c>
      <c r="J31" s="3">
        <f t="shared" si="49"/>
        <v>4.1002073255010369</v>
      </c>
      <c r="K31" s="3">
        <f t="shared" ref="K31:L31" si="50">K30/K32</f>
        <v>4.073287819626815</v>
      </c>
      <c r="L31" s="3">
        <f t="shared" si="50"/>
        <v>4.2838430995162398</v>
      </c>
      <c r="M31" s="3"/>
      <c r="N31" s="3"/>
      <c r="O31" s="3">
        <f>O30/O32</f>
        <v>25.203231821006835</v>
      </c>
      <c r="P31" s="3">
        <f>P30/P32</f>
        <v>11.352783366867849</v>
      </c>
      <c r="Q31" s="3">
        <f>Q30/Q32</f>
        <v>20.354256233877901</v>
      </c>
      <c r="R31" s="3">
        <f>R30/R32</f>
        <v>15.143832974935174</v>
      </c>
    </row>
    <row r="32" spans="1:127" x14ac:dyDescent="0.35">
      <c r="B32" t="s">
        <v>32</v>
      </c>
      <c r="C32" s="1">
        <v>148</v>
      </c>
      <c r="D32" s="1">
        <v>146.9</v>
      </c>
      <c r="E32" s="1">
        <v>147.1</v>
      </c>
      <c r="F32" s="1">
        <v>145.9</v>
      </c>
      <c r="G32" s="1">
        <v>144.4</v>
      </c>
      <c r="H32" s="1">
        <v>144.1</v>
      </c>
      <c r="I32" s="1">
        <v>144.4</v>
      </c>
      <c r="J32" s="1">
        <v>144.69999999999999</v>
      </c>
      <c r="K32" s="1">
        <v>144.69999999999999</v>
      </c>
      <c r="L32" s="1">
        <v>144.69999999999999</v>
      </c>
      <c r="O32" s="1">
        <v>160.9</v>
      </c>
      <c r="P32" s="1">
        <v>149.1</v>
      </c>
      <c r="Q32" s="1">
        <f>AVERAGE(E32:H32)</f>
        <v>145.375</v>
      </c>
      <c r="R32" s="1">
        <f>AVERAGE(I32:L32)</f>
        <v>144.625</v>
      </c>
    </row>
    <row r="33" spans="2:31" x14ac:dyDescent="0.35">
      <c r="C33" s="1"/>
      <c r="D33" s="1"/>
    </row>
    <row r="34" spans="2:31" x14ac:dyDescent="0.35">
      <c r="B34" t="s">
        <v>104</v>
      </c>
      <c r="C34" s="1"/>
      <c r="D34" s="1"/>
      <c r="G34" s="4">
        <f t="shared" ref="G34:I43" si="51">(G3-C3)/C3</f>
        <v>-0.32009626955475334</v>
      </c>
      <c r="H34" s="4">
        <f t="shared" si="51"/>
        <v>-0.38931140801644393</v>
      </c>
      <c r="I34" s="4">
        <f t="shared" si="51"/>
        <v>-0.33032446938277626</v>
      </c>
      <c r="J34" s="4">
        <f>(J3-F3)/F3</f>
        <v>-0.36114601658708217</v>
      </c>
      <c r="K34" s="4">
        <f t="shared" ref="K34:L34" si="52">(K3-G3)/G3</f>
        <v>-0.30000000000000004</v>
      </c>
      <c r="L34" s="4">
        <f t="shared" si="52"/>
        <v>-0.30000000000000004</v>
      </c>
      <c r="P34" s="4">
        <f t="shared" ref="P34:Q34" si="53">(P3-O3)/O3</f>
        <v>-0.49183827549399906</v>
      </c>
      <c r="Q34" s="4">
        <f t="shared" si="53"/>
        <v>-0.26025923459193606</v>
      </c>
      <c r="R34" s="4">
        <f>(R3-Q3)/Q3</f>
        <v>-0.32545882678855881</v>
      </c>
      <c r="S34" s="4">
        <f t="shared" ref="S34:AB34" si="54">(S3-R3)/R3</f>
        <v>-0.30000000000000004</v>
      </c>
      <c r="T34" s="4">
        <f t="shared" si="54"/>
        <v>-0.30000000000000004</v>
      </c>
      <c r="U34" s="4">
        <f t="shared" si="54"/>
        <v>-0.3</v>
      </c>
      <c r="V34" s="4">
        <f t="shared" si="54"/>
        <v>-0.30000000000000004</v>
      </c>
      <c r="W34" s="4">
        <f t="shared" si="54"/>
        <v>-0.3000000000000001</v>
      </c>
      <c r="X34" s="4">
        <f t="shared" si="54"/>
        <v>-0.30000000000000004</v>
      </c>
      <c r="Y34" s="4">
        <f t="shared" si="54"/>
        <v>-0.30000000000000004</v>
      </c>
      <c r="Z34" s="4">
        <f t="shared" si="54"/>
        <v>-0.30000000000000004</v>
      </c>
      <c r="AA34" s="4">
        <f t="shared" si="54"/>
        <v>-0.3</v>
      </c>
      <c r="AB34" s="4">
        <f t="shared" si="54"/>
        <v>-0.3</v>
      </c>
    </row>
    <row r="35" spans="2:31" x14ac:dyDescent="0.35">
      <c r="B35" t="s">
        <v>105</v>
      </c>
      <c r="C35" s="1"/>
      <c r="D35" s="1"/>
      <c r="G35" s="4">
        <f t="shared" si="51"/>
        <v>0.13978494623655918</v>
      </c>
      <c r="H35" s="4">
        <f t="shared" si="51"/>
        <v>0.20736589271417138</v>
      </c>
      <c r="I35" s="4">
        <f t="shared" si="51"/>
        <v>-0.15468749999999998</v>
      </c>
      <c r="J35" s="4">
        <f t="shared" ref="J35:L44" si="55">(J4-F4)/F4</f>
        <v>6.871345029239749E-2</v>
      </c>
      <c r="K35" s="4">
        <f t="shared" ref="K35:K39" si="56">(K4-G4)/G4</f>
        <v>0.1</v>
      </c>
      <c r="L35" s="4">
        <f t="shared" ref="L35:L39" si="57">(L4-H4)/H4</f>
        <v>0.10000000000000007</v>
      </c>
      <c r="P35" s="4">
        <f t="shared" ref="P35:AB44" si="58">(P4-O4)/O4</f>
        <v>5.3825816485225504</v>
      </c>
      <c r="Q35" s="4">
        <f t="shared" si="58"/>
        <v>0.34844054580896716</v>
      </c>
      <c r="R35" s="4">
        <f t="shared" si="58"/>
        <v>3.3357426816046115E-2</v>
      </c>
      <c r="S35" s="4">
        <f t="shared" si="58"/>
        <v>5.0000000000000128E-2</v>
      </c>
      <c r="T35" s="4">
        <f t="shared" si="58"/>
        <v>4.9999999999999989E-2</v>
      </c>
      <c r="U35" s="4">
        <f t="shared" si="58"/>
        <v>5.0000000000000051E-2</v>
      </c>
      <c r="V35" s="4">
        <f t="shared" si="58"/>
        <v>5.0000000000000114E-2</v>
      </c>
      <c r="W35" s="4">
        <f t="shared" si="58"/>
        <v>5.0000000000000058E-2</v>
      </c>
      <c r="X35" s="4">
        <f t="shared" si="58"/>
        <v>5.0000000000000031E-2</v>
      </c>
      <c r="Y35" s="4">
        <f t="shared" si="58"/>
        <v>5.0000000000000065E-2</v>
      </c>
      <c r="Z35" s="4">
        <f t="shared" si="58"/>
        <v>5.0000000000000044E-2</v>
      </c>
      <c r="AA35" s="4">
        <f t="shared" si="58"/>
        <v>5.00000000000001E-2</v>
      </c>
      <c r="AB35" s="4">
        <f t="shared" si="58"/>
        <v>4.9999999999999982E-2</v>
      </c>
    </row>
    <row r="36" spans="2:31" x14ac:dyDescent="0.35">
      <c r="B36" t="s">
        <v>106</v>
      </c>
      <c r="C36" s="1"/>
      <c r="D36" s="1"/>
      <c r="G36" s="4">
        <f t="shared" si="51"/>
        <v>-0.15333554596747434</v>
      </c>
      <c r="H36" s="4">
        <f t="shared" si="51"/>
        <v>-0.19376313945339868</v>
      </c>
      <c r="I36" s="4">
        <f t="shared" si="51"/>
        <v>-0.24912891986062713</v>
      </c>
      <c r="J36" s="4">
        <f t="shared" si="55"/>
        <v>-0.14843448009277146</v>
      </c>
      <c r="K36" s="4">
        <f t="shared" si="56"/>
        <v>-0.19999999999999993</v>
      </c>
      <c r="L36" s="4">
        <f t="shared" si="57"/>
        <v>-0.19999999999999993</v>
      </c>
      <c r="P36" s="4">
        <f t="shared" si="58"/>
        <v>-0.18982505529861252</v>
      </c>
      <c r="Q36" s="4">
        <f t="shared" si="58"/>
        <v>-0.19458922809630183</v>
      </c>
      <c r="R36" s="4">
        <f t="shared" si="58"/>
        <v>-0.19788392398561877</v>
      </c>
      <c r="S36" s="4">
        <f t="shared" si="58"/>
        <v>-0.2</v>
      </c>
      <c r="T36" s="4">
        <f t="shared" si="58"/>
        <v>-0.19999999999999993</v>
      </c>
      <c r="U36" s="4">
        <f t="shared" si="58"/>
        <v>-0.19999999999999998</v>
      </c>
      <c r="V36" s="4">
        <f t="shared" si="58"/>
        <v>-0.19999999999999993</v>
      </c>
      <c r="W36" s="4">
        <f t="shared" si="58"/>
        <v>-0.19999999999999998</v>
      </c>
      <c r="X36" s="4">
        <f t="shared" si="58"/>
        <v>-0.1999999999999999</v>
      </c>
      <c r="Y36" s="4">
        <f t="shared" si="58"/>
        <v>-0.1999999999999999</v>
      </c>
      <c r="Z36" s="4">
        <f t="shared" si="58"/>
        <v>-0.2</v>
      </c>
      <c r="AA36" s="4">
        <f t="shared" si="58"/>
        <v>-0.1999999999999999</v>
      </c>
      <c r="AB36" s="4">
        <f t="shared" si="58"/>
        <v>-0.19999999999999993</v>
      </c>
    </row>
    <row r="37" spans="2:31" x14ac:dyDescent="0.35">
      <c r="B37" t="s">
        <v>107</v>
      </c>
      <c r="C37" s="1"/>
      <c r="D37" s="1"/>
      <c r="G37" s="4">
        <f t="shared" si="51"/>
        <v>-6.1484918793503443E-2</v>
      </c>
      <c r="H37" s="4">
        <f t="shared" si="51"/>
        <v>-0.1386782231852654</v>
      </c>
      <c r="I37" s="4">
        <f t="shared" si="51"/>
        <v>-8.4999999999999964E-2</v>
      </c>
      <c r="J37" s="4">
        <f t="shared" si="55"/>
        <v>-0.10273224043715853</v>
      </c>
      <c r="K37" s="4">
        <f t="shared" si="56"/>
        <v>-0.10000000000000003</v>
      </c>
      <c r="L37" s="4">
        <f t="shared" si="57"/>
        <v>-0.10000000000000003</v>
      </c>
      <c r="P37" s="4">
        <f t="shared" si="58"/>
        <v>-7.3132780082987667E-2</v>
      </c>
      <c r="Q37" s="4">
        <f t="shared" si="58"/>
        <v>-7.1348628987129278E-2</v>
      </c>
      <c r="R37" s="4">
        <f t="shared" si="58"/>
        <v>-9.7137692075926346E-2</v>
      </c>
      <c r="S37" s="4">
        <f t="shared" si="58"/>
        <v>-5.000000000000001E-2</v>
      </c>
      <c r="T37" s="4">
        <f t="shared" si="58"/>
        <v>-5.0000000000000058E-2</v>
      </c>
      <c r="U37" s="4">
        <f t="shared" si="58"/>
        <v>-4.9999999999999968E-2</v>
      </c>
      <c r="V37" s="4">
        <f t="shared" si="58"/>
        <v>-5.0000000000000024E-2</v>
      </c>
      <c r="W37" s="4">
        <f t="shared" si="58"/>
        <v>-5.0000000000000031E-2</v>
      </c>
      <c r="X37" s="4">
        <f t="shared" si="58"/>
        <v>-5.0000000000000037E-2</v>
      </c>
      <c r="Y37" s="4">
        <f t="shared" si="58"/>
        <v>-5.000000000000001E-2</v>
      </c>
      <c r="Z37" s="4">
        <f t="shared" si="58"/>
        <v>-5.0000000000000058E-2</v>
      </c>
      <c r="AA37" s="4">
        <f t="shared" si="58"/>
        <v>-5.0000000000000017E-2</v>
      </c>
      <c r="AB37" s="4">
        <f t="shared" si="58"/>
        <v>-0.05</v>
      </c>
    </row>
    <row r="38" spans="2:31" x14ac:dyDescent="0.35">
      <c r="B38" t="s">
        <v>108</v>
      </c>
      <c r="C38" s="1"/>
      <c r="D38" s="1"/>
      <c r="G38" s="4">
        <f t="shared" si="51"/>
        <v>-3.3091048201989201E-2</v>
      </c>
      <c r="H38" s="4">
        <f t="shared" si="51"/>
        <v>-4.7396138092451856E-2</v>
      </c>
      <c r="I38" s="4">
        <f t="shared" si="51"/>
        <v>-9.2165898617511413E-2</v>
      </c>
      <c r="J38" s="4">
        <f t="shared" si="55"/>
        <v>-6.4122433165439793E-2</v>
      </c>
      <c r="K38" s="4">
        <f t="shared" si="56"/>
        <v>-5.0000000000000065E-2</v>
      </c>
      <c r="L38" s="4">
        <f t="shared" si="57"/>
        <v>-5.0000000000000037E-2</v>
      </c>
      <c r="P38" s="4">
        <f t="shared" si="58"/>
        <v>6.0120240480961928E-2</v>
      </c>
      <c r="Q38" s="4">
        <f t="shared" si="58"/>
        <v>-1.5607580824972041E-2</v>
      </c>
      <c r="R38" s="4">
        <f t="shared" si="58"/>
        <v>-6.4402481658378086E-2</v>
      </c>
      <c r="S38" s="4">
        <f t="shared" si="58"/>
        <v>-1.000000000000004E-2</v>
      </c>
      <c r="T38" s="4">
        <f t="shared" si="58"/>
        <v>-1.0000000000000057E-2</v>
      </c>
      <c r="U38" s="4">
        <f t="shared" si="58"/>
        <v>-9.9999999999999534E-3</v>
      </c>
      <c r="V38" s="4">
        <f t="shared" si="58"/>
        <v>-1.0000000000000054E-2</v>
      </c>
      <c r="W38" s="4">
        <f t="shared" si="58"/>
        <v>-9.9999999999999482E-3</v>
      </c>
      <c r="X38" s="4">
        <f t="shared" si="58"/>
        <v>-1.0000000000000054E-2</v>
      </c>
      <c r="Y38" s="4">
        <f t="shared" si="58"/>
        <v>-1.0000000000000035E-2</v>
      </c>
      <c r="Z38" s="4">
        <f t="shared" si="58"/>
        <v>-9.999999999999969E-3</v>
      </c>
      <c r="AA38" s="4">
        <f t="shared" si="58"/>
        <v>-1.0000000000000061E-2</v>
      </c>
      <c r="AB38" s="4">
        <f t="shared" si="58"/>
        <v>-1.0000000000000047E-2</v>
      </c>
    </row>
    <row r="39" spans="2:31" x14ac:dyDescent="0.35">
      <c r="B39" t="s">
        <v>109</v>
      </c>
      <c r="C39" s="1"/>
      <c r="D39" s="1"/>
      <c r="G39" s="4">
        <f t="shared" si="51"/>
        <v>-0.16030534351145037</v>
      </c>
      <c r="H39" s="4">
        <f t="shared" si="51"/>
        <v>-0.13257575757575757</v>
      </c>
      <c r="I39" s="4">
        <f t="shared" si="51"/>
        <v>-8.0152671755725116E-2</v>
      </c>
      <c r="J39" s="4">
        <f t="shared" si="55"/>
        <v>-8.2352941176470643E-2</v>
      </c>
      <c r="K39" s="4">
        <f t="shared" si="56"/>
        <v>-9.9999999999999964E-2</v>
      </c>
      <c r="L39" s="4">
        <f t="shared" si="57"/>
        <v>-9.9999999999999964E-2</v>
      </c>
      <c r="P39" s="4">
        <f t="shared" si="58"/>
        <v>2.0368574199806096E-2</v>
      </c>
      <c r="Q39" s="4">
        <f t="shared" si="58"/>
        <v>-8.1749049429657869E-2</v>
      </c>
      <c r="R39" s="4">
        <f t="shared" si="58"/>
        <v>-8.9958592132505164E-2</v>
      </c>
      <c r="S39" s="4">
        <f t="shared" si="58"/>
        <v>-4.9999999999999982E-2</v>
      </c>
      <c r="T39" s="4">
        <f t="shared" si="58"/>
        <v>-0.05</v>
      </c>
      <c r="U39" s="4">
        <f t="shared" si="58"/>
        <v>-4.9999999999999961E-2</v>
      </c>
      <c r="V39" s="4">
        <f t="shared" si="58"/>
        <v>-5.0000000000000072E-2</v>
      </c>
      <c r="W39" s="4">
        <f t="shared" si="58"/>
        <v>-0.05</v>
      </c>
      <c r="X39" s="4">
        <f t="shared" si="58"/>
        <v>-4.9999999999999989E-2</v>
      </c>
      <c r="Y39" s="4">
        <f t="shared" si="58"/>
        <v>-5.0000000000000058E-2</v>
      </c>
      <c r="Z39" s="4">
        <f t="shared" si="58"/>
        <v>-5.0000000000000031E-2</v>
      </c>
      <c r="AA39" s="4">
        <f t="shared" si="58"/>
        <v>-5.0000000000000086E-2</v>
      </c>
      <c r="AB39" s="4">
        <f t="shared" si="58"/>
        <v>-5.0000000000000044E-2</v>
      </c>
    </row>
    <row r="40" spans="2:31" x14ac:dyDescent="0.35">
      <c r="B40" t="s">
        <v>110</v>
      </c>
      <c r="C40" s="1"/>
      <c r="D40" s="1"/>
      <c r="G40" s="4">
        <f t="shared" si="51"/>
        <v>-2.9272686331907227E-2</v>
      </c>
      <c r="H40" s="4">
        <f t="shared" si="51"/>
        <v>4.1071023371908377E-2</v>
      </c>
      <c r="I40" s="4">
        <f t="shared" si="51"/>
        <v>-6.1798941798941777E-2</v>
      </c>
      <c r="J40" s="4">
        <f t="shared" si="55"/>
        <v>1.3917884481558802E-2</v>
      </c>
      <c r="K40" s="4">
        <f t="shared" si="55"/>
        <v>9.9999999999999499E-3</v>
      </c>
      <c r="L40" s="4">
        <f t="shared" si="55"/>
        <v>1.0000000000000049E-2</v>
      </c>
      <c r="P40" s="4">
        <f t="shared" si="58"/>
        <v>-7.1633935968032747E-2</v>
      </c>
      <c r="Q40" s="4">
        <f t="shared" si="58"/>
        <v>-5.8579602120623547E-2</v>
      </c>
      <c r="R40" s="4">
        <f t="shared" si="58"/>
        <v>-7.9737942570392694E-3</v>
      </c>
      <c r="S40" s="4">
        <f t="shared" si="58"/>
        <v>-3.0000000000000027E-2</v>
      </c>
      <c r="T40" s="4">
        <f t="shared" si="58"/>
        <v>-0.03</v>
      </c>
      <c r="U40" s="4">
        <f t="shared" si="58"/>
        <v>-2.9999999999999995E-2</v>
      </c>
      <c r="V40" s="4">
        <f t="shared" si="58"/>
        <v>-3.0000000000000047E-2</v>
      </c>
      <c r="W40" s="4">
        <f t="shared" si="58"/>
        <v>-3.0000000000000058E-2</v>
      </c>
      <c r="X40" s="4">
        <f t="shared" si="58"/>
        <v>-3.0000000000000061E-2</v>
      </c>
      <c r="Y40" s="4">
        <f t="shared" si="58"/>
        <v>-3.0000000000000006E-2</v>
      </c>
      <c r="Z40" s="4">
        <f t="shared" si="58"/>
        <v>-3.0000000000000096E-2</v>
      </c>
      <c r="AA40" s="4">
        <f t="shared" si="58"/>
        <v>-2.9999999999999985E-2</v>
      </c>
      <c r="AB40" s="4">
        <f t="shared" si="58"/>
        <v>-3.0000000000000075E-2</v>
      </c>
    </row>
    <row r="41" spans="2:31" x14ac:dyDescent="0.35">
      <c r="B41" t="s">
        <v>111</v>
      </c>
      <c r="C41" s="1"/>
      <c r="D41" s="1"/>
      <c r="G41" s="4">
        <f t="shared" si="51"/>
        <v>-8.7748344370860876E-2</v>
      </c>
      <c r="H41" s="4">
        <f t="shared" si="51"/>
        <v>-0.25372023809523814</v>
      </c>
      <c r="I41" s="4">
        <f t="shared" si="51"/>
        <v>-4.9694856146469076E-2</v>
      </c>
      <c r="J41" s="4">
        <f t="shared" si="55"/>
        <v>-5.6994818652849694E-2</v>
      </c>
      <c r="K41" s="4">
        <f t="shared" ref="K41:K43" si="59">(K10-G10)/G10</f>
        <v>-5.0000000000000044E-2</v>
      </c>
      <c r="L41" s="4">
        <f t="shared" ref="L41:L43" si="60">(L10-H10)/H10</f>
        <v>-5.000000000000001E-2</v>
      </c>
      <c r="P41" s="4">
        <f t="shared" si="58"/>
        <v>3.4676079734219246E-2</v>
      </c>
      <c r="Q41" s="4">
        <f t="shared" si="58"/>
        <v>-0.11499096929560508</v>
      </c>
      <c r="R41" s="4">
        <f t="shared" si="58"/>
        <v>-5.1757369614512577E-2</v>
      </c>
      <c r="S41" s="4">
        <f t="shared" si="58"/>
        <v>-1.9999999999999973E-2</v>
      </c>
      <c r="T41" s="4">
        <f t="shared" si="58"/>
        <v>-2.0000000000000035E-2</v>
      </c>
      <c r="U41" s="4">
        <f t="shared" si="58"/>
        <v>-1.9999999999999962E-2</v>
      </c>
      <c r="V41" s="4">
        <f t="shared" si="58"/>
        <v>-2.0000000000000011E-2</v>
      </c>
      <c r="W41" s="4">
        <f t="shared" si="58"/>
        <v>-2.000000000000007E-2</v>
      </c>
      <c r="X41" s="4">
        <f t="shared" si="58"/>
        <v>-1.9999999999999945E-2</v>
      </c>
      <c r="Y41" s="4">
        <f t="shared" si="58"/>
        <v>-2.0000000000000073E-2</v>
      </c>
      <c r="Z41" s="4">
        <f t="shared" si="58"/>
        <v>-1.9999999999999973E-2</v>
      </c>
      <c r="AA41" s="4">
        <f t="shared" si="58"/>
        <v>-2.0000000000000046E-2</v>
      </c>
      <c r="AB41" s="4">
        <f t="shared" si="58"/>
        <v>-1.9999999999999955E-2</v>
      </c>
    </row>
    <row r="42" spans="2:31" x14ac:dyDescent="0.35">
      <c r="B42" t="s">
        <v>112</v>
      </c>
      <c r="C42" s="1"/>
      <c r="D42" s="1"/>
      <c r="G42" s="4">
        <f t="shared" si="51"/>
        <v>5.226480836237008E-3</v>
      </c>
      <c r="H42" s="4">
        <f t="shared" si="51"/>
        <v>-0.16639999999999996</v>
      </c>
      <c r="I42" s="4">
        <f t="shared" si="51"/>
        <v>-4.7285464098073604E-2</v>
      </c>
      <c r="J42" s="4">
        <f t="shared" si="55"/>
        <v>2.0833333333333259E-2</v>
      </c>
      <c r="K42" s="4">
        <f t="shared" si="59"/>
        <v>9.9999999999999672E-3</v>
      </c>
      <c r="L42" s="4">
        <f t="shared" si="60"/>
        <v>1.0000000000000016E-2</v>
      </c>
      <c r="P42" s="4">
        <f t="shared" si="58"/>
        <v>7.905686546463242E-2</v>
      </c>
      <c r="Q42" s="4">
        <f t="shared" si="58"/>
        <v>-3.8131962296486743E-2</v>
      </c>
      <c r="R42" s="4">
        <f t="shared" si="58"/>
        <v>-1.7906458797328072E-3</v>
      </c>
      <c r="S42" s="4">
        <f t="shared" si="58"/>
        <v>1.0000000000000035E-2</v>
      </c>
      <c r="T42" s="4">
        <f t="shared" si="58"/>
        <v>9.999999999999995E-3</v>
      </c>
      <c r="U42" s="4">
        <f t="shared" si="58"/>
        <v>1.0000000000000037E-2</v>
      </c>
      <c r="V42" s="4">
        <f t="shared" si="58"/>
        <v>1.0000000000000011E-2</v>
      </c>
      <c r="W42" s="4">
        <f t="shared" si="58"/>
        <v>1.0000000000000056E-2</v>
      </c>
      <c r="X42" s="4">
        <f t="shared" si="58"/>
        <v>0.01</v>
      </c>
      <c r="Y42" s="4">
        <f t="shared" si="58"/>
        <v>1.0000000000000028E-2</v>
      </c>
      <c r="Z42" s="4">
        <f t="shared" si="58"/>
        <v>1.0000000000000045E-2</v>
      </c>
      <c r="AA42" s="4">
        <f t="shared" si="58"/>
        <v>9.9999999999999586E-3</v>
      </c>
      <c r="AB42" s="4">
        <f t="shared" si="58"/>
        <v>1.0000000000000047E-2</v>
      </c>
    </row>
    <row r="43" spans="2:31" x14ac:dyDescent="0.35">
      <c r="B43" t="s">
        <v>113</v>
      </c>
      <c r="C43" s="1"/>
      <c r="D43" s="1"/>
      <c r="G43" s="4">
        <f t="shared" si="51"/>
        <v>-0.22764227642276427</v>
      </c>
      <c r="H43" s="4">
        <f t="shared" si="51"/>
        <v>-0.1958333333333333</v>
      </c>
      <c r="I43" s="4">
        <f t="shared" si="51"/>
        <v>-9.3333333333333393E-2</v>
      </c>
      <c r="J43" s="4">
        <f t="shared" si="55"/>
        <v>-1.951219512195115E-2</v>
      </c>
      <c r="K43" s="4">
        <f t="shared" si="59"/>
        <v>-1.0000000000000068E-2</v>
      </c>
      <c r="L43" s="4">
        <f t="shared" si="60"/>
        <v>-1.0000000000000071E-2</v>
      </c>
      <c r="P43" s="4">
        <f t="shared" si="58"/>
        <v>1.5321756894790602E-2</v>
      </c>
      <c r="Q43" s="4">
        <f t="shared" si="58"/>
        <v>-0.18209255533199203</v>
      </c>
      <c r="R43" s="4">
        <f t="shared" si="58"/>
        <v>-3.5461254612546074E-2</v>
      </c>
      <c r="S43" s="4">
        <f t="shared" si="58"/>
        <v>-5.0000000000000017E-2</v>
      </c>
      <c r="T43" s="4">
        <f t="shared" si="58"/>
        <v>-4.9999999999999961E-2</v>
      </c>
      <c r="U43" s="4">
        <f t="shared" si="58"/>
        <v>-0.05</v>
      </c>
      <c r="V43" s="4">
        <f t="shared" si="58"/>
        <v>-5.0000000000000072E-2</v>
      </c>
      <c r="W43" s="4">
        <f t="shared" si="58"/>
        <v>-5.0000000000000037E-2</v>
      </c>
      <c r="X43" s="4">
        <f t="shared" si="58"/>
        <v>-5.0000000000000065E-2</v>
      </c>
      <c r="Y43" s="4">
        <f t="shared" si="58"/>
        <v>-5.0000000000000037E-2</v>
      </c>
      <c r="Z43" s="4">
        <f t="shared" si="58"/>
        <v>-4.9999999999999982E-2</v>
      </c>
      <c r="AA43" s="4">
        <f t="shared" si="58"/>
        <v>-5.0000000000000044E-2</v>
      </c>
      <c r="AB43" s="4">
        <f t="shared" si="58"/>
        <v>-5.0000000000000093E-2</v>
      </c>
    </row>
    <row r="44" spans="2:31" x14ac:dyDescent="0.35">
      <c r="B44" t="s">
        <v>114</v>
      </c>
      <c r="C44" s="1"/>
      <c r="D44" s="1"/>
      <c r="G44" s="4"/>
      <c r="H44" s="4"/>
      <c r="I44" s="4"/>
      <c r="J44" s="4">
        <f t="shared" si="55"/>
        <v>13</v>
      </c>
      <c r="K44" s="4">
        <f t="shared" si="55"/>
        <v>9</v>
      </c>
      <c r="L44" s="4">
        <f t="shared" si="55"/>
        <v>9</v>
      </c>
      <c r="P44" s="4"/>
      <c r="Q44" s="4"/>
      <c r="R44" s="4">
        <f t="shared" si="58"/>
        <v>11.465116279069768</v>
      </c>
      <c r="S44" s="4">
        <f t="shared" si="58"/>
        <v>2.0000000000000004</v>
      </c>
      <c r="T44" s="4">
        <f t="shared" si="58"/>
        <v>0.5</v>
      </c>
      <c r="U44" s="4">
        <f t="shared" si="58"/>
        <v>0.30000000000000016</v>
      </c>
      <c r="V44" s="4">
        <f t="shared" si="58"/>
        <v>4.9999999999999982E-2</v>
      </c>
      <c r="W44" s="4">
        <f t="shared" si="58"/>
        <v>5.0000000000000037E-2</v>
      </c>
      <c r="X44" s="4">
        <f t="shared" si="58"/>
        <v>5.00000000000001E-2</v>
      </c>
      <c r="Y44" s="4">
        <f t="shared" si="58"/>
        <v>5.0000000000000086E-2</v>
      </c>
      <c r="Z44" s="4">
        <f t="shared" si="58"/>
        <v>5.0000000000000072E-2</v>
      </c>
      <c r="AA44" s="4">
        <f t="shared" si="58"/>
        <v>5.0000000000000051E-2</v>
      </c>
      <c r="AB44" s="4">
        <f t="shared" si="58"/>
        <v>5.0000000000000024E-2</v>
      </c>
    </row>
    <row r="46" spans="2:31" x14ac:dyDescent="0.35">
      <c r="B46" t="s">
        <v>36</v>
      </c>
      <c r="F46" s="4"/>
      <c r="G46" s="4">
        <f t="shared" ref="G46:L46" si="61">(G15-C15)/C15</f>
        <v>-0.11044112980006351</v>
      </c>
      <c r="H46" s="4">
        <f t="shared" si="61"/>
        <v>-0.13175290631410996</v>
      </c>
      <c r="I46" s="4">
        <f t="shared" si="61"/>
        <v>-0.14663891980835309</v>
      </c>
      <c r="J46" s="4">
        <f t="shared" si="61"/>
        <v>-0.101756776485474</v>
      </c>
      <c r="K46" s="4">
        <f t="shared" si="61"/>
        <v>-8.6109270679374211E-2</v>
      </c>
      <c r="L46" s="4">
        <f t="shared" si="61"/>
        <v>-6.6624835914938049E-2</v>
      </c>
      <c r="M46" s="4"/>
      <c r="N46" s="4"/>
      <c r="P46" s="4">
        <f t="shared" ref="P46:AB46" si="62">(P15-O15)/O15</f>
        <v>-0.1725837526421132</v>
      </c>
      <c r="Q46" s="4">
        <f t="shared" si="62"/>
        <v>-9.7107461370649253E-2</v>
      </c>
      <c r="R46" s="4">
        <f t="shared" si="62"/>
        <v>-0.10114699917373994</v>
      </c>
      <c r="S46" s="4">
        <f t="shared" si="62"/>
        <v>-5.769596696759182E-2</v>
      </c>
      <c r="T46" s="4">
        <f t="shared" si="62"/>
        <v>-4.6940394524564048E-2</v>
      </c>
      <c r="U46" s="4">
        <f t="shared" si="62"/>
        <v>-3.6404266605219601E-2</v>
      </c>
      <c r="V46" s="4">
        <f t="shared" si="62"/>
        <v>-3.6046986528673157E-2</v>
      </c>
      <c r="W46" s="4">
        <f t="shared" si="62"/>
        <v>-2.8825754448808437E-2</v>
      </c>
      <c r="X46" s="4">
        <f t="shared" si="62"/>
        <v>-2.2954333895846855E-2</v>
      </c>
      <c r="Y46" s="4">
        <f t="shared" si="62"/>
        <v>-1.816390998637929E-2</v>
      </c>
      <c r="Z46" s="4">
        <f t="shared" si="62"/>
        <v>-1.4222765052873581E-2</v>
      </c>
      <c r="AA46" s="4">
        <f t="shared" si="62"/>
        <v>-1.0939466324993411E-2</v>
      </c>
      <c r="AB46" s="4">
        <f t="shared" si="62"/>
        <v>-8.160430697844322E-3</v>
      </c>
      <c r="AD46" s="1" t="s">
        <v>48</v>
      </c>
      <c r="AE46" s="4">
        <v>0.05</v>
      </c>
    </row>
    <row r="47" spans="2:31" x14ac:dyDescent="0.35">
      <c r="B47" t="s">
        <v>37</v>
      </c>
      <c r="F47" s="4"/>
      <c r="G47" s="4">
        <f t="shared" ref="G47:L48" si="63">(G17-C17)/C17</f>
        <v>3.6109773712084741E-3</v>
      </c>
      <c r="H47" s="4">
        <f t="shared" si="63"/>
        <v>8.1622796425983954E-2</v>
      </c>
      <c r="I47" s="4">
        <f t="shared" si="63"/>
        <v>2.5037556334507447E-4</v>
      </c>
      <c r="J47" s="4">
        <f t="shared" si="63"/>
        <v>-6.6468026587211413E-3</v>
      </c>
      <c r="K47" s="4">
        <f t="shared" si="63"/>
        <v>0</v>
      </c>
      <c r="L47" s="4">
        <f t="shared" si="63"/>
        <v>0</v>
      </c>
      <c r="M47" s="4"/>
      <c r="N47" s="4"/>
      <c r="P47" s="4">
        <f t="shared" ref="P47:AB47" si="64">(P17-O17)/O17</f>
        <v>-0.16144200626959246</v>
      </c>
      <c r="Q47" s="4">
        <f t="shared" si="64"/>
        <v>2.5324088031353633E-2</v>
      </c>
      <c r="R47" s="4">
        <f t="shared" si="64"/>
        <v>-1.6465745369010185E-3</v>
      </c>
      <c r="S47" s="4">
        <f t="shared" si="64"/>
        <v>1.9999999999999973E-2</v>
      </c>
      <c r="T47" s="4">
        <f t="shared" si="64"/>
        <v>2.0000000000000039E-2</v>
      </c>
      <c r="U47" s="4">
        <f t="shared" si="64"/>
        <v>2.0000000000000073E-2</v>
      </c>
      <c r="V47" s="4">
        <f t="shared" si="64"/>
        <v>1.9999999999999966E-2</v>
      </c>
      <c r="W47" s="4">
        <f t="shared" si="64"/>
        <v>2.0000000000000063E-2</v>
      </c>
      <c r="X47" s="4">
        <f t="shared" si="64"/>
        <v>2.0000000000000007E-2</v>
      </c>
      <c r="Y47" s="4">
        <f t="shared" si="64"/>
        <v>1.9999999999999993E-2</v>
      </c>
      <c r="Z47" s="4">
        <f t="shared" si="64"/>
        <v>2.0000000000000032E-2</v>
      </c>
      <c r="AA47" s="4">
        <f t="shared" si="64"/>
        <v>1.9999999999999993E-2</v>
      </c>
      <c r="AB47" s="4">
        <f t="shared" si="64"/>
        <v>2.0000000000000046E-2</v>
      </c>
      <c r="AD47" s="1" t="s">
        <v>42</v>
      </c>
      <c r="AE47" s="4">
        <v>-0.05</v>
      </c>
    </row>
    <row r="48" spans="2:31" x14ac:dyDescent="0.35">
      <c r="B48" t="s">
        <v>38</v>
      </c>
      <c r="F48" s="4"/>
      <c r="G48" s="4">
        <f t="shared" si="63"/>
        <v>-0.17934093789607103</v>
      </c>
      <c r="H48" s="4">
        <f t="shared" si="63"/>
        <v>0.51822503961965127</v>
      </c>
      <c r="I48" s="4">
        <f t="shared" si="63"/>
        <v>3.8275340393343429</v>
      </c>
      <c r="J48" s="4">
        <f t="shared" si="63"/>
        <v>1.0173646578140958</v>
      </c>
      <c r="K48" s="4">
        <f t="shared" si="63"/>
        <v>0.5</v>
      </c>
      <c r="L48" s="4">
        <f t="shared" si="63"/>
        <v>0.49999999999999994</v>
      </c>
      <c r="M48" s="4"/>
      <c r="N48" s="4"/>
      <c r="P48" s="4">
        <f t="shared" ref="P48:AB48" si="65">(P18-O18)/O18</f>
        <v>-0.38510198812290214</v>
      </c>
      <c r="Q48" s="4">
        <f t="shared" si="65"/>
        <v>1.847575057736723E-2</v>
      </c>
      <c r="R48" s="4">
        <f t="shared" si="65"/>
        <v>1.0578231292517006</v>
      </c>
      <c r="S48" s="4">
        <f t="shared" si="65"/>
        <v>2.0000000000000032E-2</v>
      </c>
      <c r="T48" s="4">
        <f t="shared" si="65"/>
        <v>2.000000000000007E-2</v>
      </c>
      <c r="U48" s="4">
        <f t="shared" si="65"/>
        <v>2.0000000000000066E-2</v>
      </c>
      <c r="V48" s="4">
        <f t="shared" si="65"/>
        <v>2.0000000000000077E-2</v>
      </c>
      <c r="W48" s="4">
        <f t="shared" si="65"/>
        <v>2.0000000000000098E-2</v>
      </c>
      <c r="X48" s="4">
        <f t="shared" si="65"/>
        <v>1.999999999999998E-2</v>
      </c>
      <c r="Y48" s="4">
        <f t="shared" si="65"/>
        <v>1.9999999999999955E-2</v>
      </c>
      <c r="Z48" s="4">
        <f t="shared" si="65"/>
        <v>1.9999999999999976E-2</v>
      </c>
      <c r="AA48" s="4">
        <f t="shared" si="65"/>
        <v>1.9999999999999983E-2</v>
      </c>
      <c r="AB48" s="4">
        <f t="shared" si="65"/>
        <v>2.0000000000000035E-2</v>
      </c>
      <c r="AD48" s="1" t="s">
        <v>43</v>
      </c>
      <c r="AE48" s="4">
        <v>0.08</v>
      </c>
    </row>
    <row r="49" spans="1:31" x14ac:dyDescent="0.35">
      <c r="B49" t="s">
        <v>35</v>
      </c>
      <c r="C49" s="4">
        <f t="shared" ref="C49:L49" si="66">C21/C19</f>
        <v>0.8158264061319227</v>
      </c>
      <c r="D49" s="4">
        <f t="shared" si="66"/>
        <v>0.75854122466895901</v>
      </c>
      <c r="E49" s="4">
        <f t="shared" si="66"/>
        <v>0.70222766411248916</v>
      </c>
      <c r="F49" s="4">
        <f t="shared" si="66"/>
        <v>0.8130624541346414</v>
      </c>
      <c r="G49" s="4">
        <f t="shared" si="66"/>
        <v>0.81283635638827989</v>
      </c>
      <c r="H49" s="4">
        <f t="shared" si="66"/>
        <v>0.77558962264150932</v>
      </c>
      <c r="I49" s="4">
        <f t="shared" si="66"/>
        <v>0.73089727974015428</v>
      </c>
      <c r="J49" s="4">
        <f t="shared" si="66"/>
        <v>0.75867263843648203</v>
      </c>
      <c r="K49" s="4">
        <f t="shared" si="66"/>
        <v>0.8</v>
      </c>
      <c r="L49" s="4">
        <f t="shared" si="66"/>
        <v>0.79999999999999993</v>
      </c>
      <c r="M49" s="4"/>
      <c r="N49" s="4"/>
      <c r="O49" s="4">
        <f t="shared" ref="O49:AB49" si="67">O21/O19</f>
        <v>0.86573047915148083</v>
      </c>
      <c r="P49" s="4">
        <f t="shared" si="67"/>
        <v>0.80788948887694967</v>
      </c>
      <c r="Q49" s="4">
        <f t="shared" si="67"/>
        <v>0.77605323687262862</v>
      </c>
      <c r="R49" s="4">
        <f t="shared" si="67"/>
        <v>0.77237756663950174</v>
      </c>
      <c r="S49" s="4">
        <f t="shared" si="67"/>
        <v>0.8</v>
      </c>
      <c r="T49" s="4">
        <f t="shared" si="67"/>
        <v>0.8</v>
      </c>
      <c r="U49" s="4">
        <f t="shared" si="67"/>
        <v>0.79999999999999993</v>
      </c>
      <c r="V49" s="4">
        <f t="shared" si="67"/>
        <v>0.82</v>
      </c>
      <c r="W49" s="4">
        <f t="shared" si="67"/>
        <v>0.82</v>
      </c>
      <c r="X49" s="4">
        <f t="shared" si="67"/>
        <v>0.82000000000000006</v>
      </c>
      <c r="Y49" s="4">
        <f t="shared" si="67"/>
        <v>0.85</v>
      </c>
      <c r="Z49" s="4">
        <f t="shared" si="67"/>
        <v>0.85</v>
      </c>
      <c r="AA49" s="4">
        <f t="shared" si="67"/>
        <v>0.85</v>
      </c>
      <c r="AB49" s="4">
        <f t="shared" si="67"/>
        <v>0.85</v>
      </c>
      <c r="AD49" s="5" t="s">
        <v>44</v>
      </c>
      <c r="AE49" s="5">
        <f>NPV(AE48,S30:DW30)</f>
        <v>35912.458860357605</v>
      </c>
    </row>
    <row r="50" spans="1:31" x14ac:dyDescent="0.35">
      <c r="B50" t="s">
        <v>39</v>
      </c>
      <c r="C50" s="4">
        <f t="shared" ref="C50:L50" si="68">C22/C19</f>
        <v>0.25276188419878365</v>
      </c>
      <c r="D50" s="4">
        <f t="shared" si="68"/>
        <v>0.25587094886238937</v>
      </c>
      <c r="E50" s="4">
        <f t="shared" si="68"/>
        <v>0.21790820759933643</v>
      </c>
      <c r="F50" s="4">
        <f t="shared" si="68"/>
        <v>0.20416360897609201</v>
      </c>
      <c r="G50" s="4">
        <f t="shared" si="68"/>
        <v>0.21893561889575444</v>
      </c>
      <c r="H50" s="4">
        <f t="shared" si="68"/>
        <v>0.23647798742138371</v>
      </c>
      <c r="I50" s="4">
        <f t="shared" si="68"/>
        <v>0.23166869671132767</v>
      </c>
      <c r="J50" s="4">
        <f t="shared" si="68"/>
        <v>0.23786644951140068</v>
      </c>
      <c r="K50" s="4">
        <f t="shared" si="68"/>
        <v>0.23000000000000004</v>
      </c>
      <c r="L50" s="4">
        <f t="shared" si="68"/>
        <v>0.23</v>
      </c>
      <c r="M50" s="4"/>
      <c r="N50" s="4"/>
      <c r="O50" s="4">
        <f t="shared" ref="O50:AB50" si="69">O22/O19</f>
        <v>0.29684036713624801</v>
      </c>
      <c r="P50" s="4">
        <f t="shared" si="69"/>
        <v>0.22776072921314555</v>
      </c>
      <c r="Q50" s="4">
        <f t="shared" si="69"/>
        <v>0.2193072129278314</v>
      </c>
      <c r="R50" s="4">
        <f t="shared" si="69"/>
        <v>0.23238201550841545</v>
      </c>
      <c r="S50" s="4">
        <f t="shared" si="69"/>
        <v>0.21999999999999997</v>
      </c>
      <c r="T50" s="4">
        <f t="shared" si="69"/>
        <v>0.22</v>
      </c>
      <c r="U50" s="4">
        <f t="shared" si="69"/>
        <v>0.22</v>
      </c>
      <c r="V50" s="4">
        <f t="shared" si="69"/>
        <v>0.2</v>
      </c>
      <c r="W50" s="4">
        <f t="shared" si="69"/>
        <v>0.2</v>
      </c>
      <c r="X50" s="4">
        <f t="shared" si="69"/>
        <v>0.2</v>
      </c>
      <c r="Y50" s="4">
        <f t="shared" si="69"/>
        <v>0.2</v>
      </c>
      <c r="Z50" s="4">
        <f t="shared" si="69"/>
        <v>0.18</v>
      </c>
      <c r="AA50" s="4">
        <f t="shared" si="69"/>
        <v>0.18</v>
      </c>
      <c r="AB50" s="4">
        <f t="shared" si="69"/>
        <v>0.18</v>
      </c>
      <c r="AD50" s="1" t="s">
        <v>45</v>
      </c>
      <c r="AE50" s="1">
        <f>Main!R8-Main!R9</f>
        <v>-510.69999999999982</v>
      </c>
    </row>
    <row r="51" spans="1:31" x14ac:dyDescent="0.35">
      <c r="B51" t="s">
        <v>40</v>
      </c>
      <c r="C51" s="4">
        <f t="shared" ref="C51:L51" si="70">C23/C19</f>
        <v>0.23538090611392992</v>
      </c>
      <c r="D51" s="4">
        <f t="shared" si="70"/>
        <v>0.28820689150632822</v>
      </c>
      <c r="E51" s="4">
        <f t="shared" si="70"/>
        <v>0.25077020301761588</v>
      </c>
      <c r="F51" s="4">
        <f t="shared" si="70"/>
        <v>0.22115793132748826</v>
      </c>
      <c r="G51" s="4">
        <f t="shared" si="70"/>
        <v>0.224556507873231</v>
      </c>
      <c r="H51" s="4">
        <f t="shared" si="70"/>
        <v>0.2487421383647799</v>
      </c>
      <c r="I51" s="4">
        <f t="shared" si="70"/>
        <v>0.24563540397888753</v>
      </c>
      <c r="J51" s="4">
        <f t="shared" si="70"/>
        <v>0.22312703583061888</v>
      </c>
      <c r="K51" s="4">
        <f t="shared" si="70"/>
        <v>0.24</v>
      </c>
      <c r="L51" s="4">
        <f t="shared" si="70"/>
        <v>0.24</v>
      </c>
      <c r="M51" s="4"/>
      <c r="N51" s="4"/>
      <c r="O51" s="4">
        <f t="shared" ref="O51:AB51" si="71">O23/O19</f>
        <v>0.18628296862680926</v>
      </c>
      <c r="P51" s="4">
        <f t="shared" si="71"/>
        <v>0.24352331606217625</v>
      </c>
      <c r="Q51" s="4">
        <f t="shared" si="71"/>
        <v>0.23626319617826877</v>
      </c>
      <c r="R51" s="4">
        <f t="shared" si="71"/>
        <v>0.23719810723807389</v>
      </c>
      <c r="S51" s="4">
        <f t="shared" si="71"/>
        <v>0.24000000000000002</v>
      </c>
      <c r="T51" s="4">
        <f t="shared" si="71"/>
        <v>0.24000000000000002</v>
      </c>
      <c r="U51" s="4">
        <f t="shared" si="71"/>
        <v>0.23999999999999996</v>
      </c>
      <c r="V51" s="4">
        <f t="shared" si="71"/>
        <v>0.22</v>
      </c>
      <c r="W51" s="4">
        <f t="shared" si="71"/>
        <v>0.22</v>
      </c>
      <c r="X51" s="4">
        <f t="shared" si="71"/>
        <v>0.22</v>
      </c>
      <c r="Y51" s="4">
        <f t="shared" si="71"/>
        <v>0.22</v>
      </c>
      <c r="Z51" s="4">
        <f t="shared" si="71"/>
        <v>0.2</v>
      </c>
      <c r="AA51" s="4">
        <f t="shared" si="71"/>
        <v>0.2</v>
      </c>
      <c r="AB51" s="4">
        <f t="shared" si="71"/>
        <v>0.2</v>
      </c>
      <c r="AD51" s="1" t="s">
        <v>121</v>
      </c>
      <c r="AE51" s="1">
        <f>AE49+AE50</f>
        <v>35401.758860357608</v>
      </c>
    </row>
    <row r="52" spans="1:31" x14ac:dyDescent="0.35">
      <c r="B52" t="s">
        <v>41</v>
      </c>
      <c r="C52" s="4">
        <f t="shared" ref="C52:L52" si="72">C29/C28</f>
        <v>-8.8972861559601366E-2</v>
      </c>
      <c r="D52" s="4">
        <f t="shared" si="72"/>
        <v>1.0943209876543218</v>
      </c>
      <c r="E52" s="4">
        <f t="shared" si="72"/>
        <v>0.3615428900402991</v>
      </c>
      <c r="F52" s="4">
        <f t="shared" si="72"/>
        <v>0.17069712485230393</v>
      </c>
      <c r="G52" s="4">
        <f t="shared" si="72"/>
        <v>0.17227043979286705</v>
      </c>
      <c r="H52" s="4">
        <f t="shared" si="72"/>
        <v>8.9930440543226325E-2</v>
      </c>
      <c r="I52" s="4">
        <f t="shared" si="72"/>
        <v>0.11567419575633127</v>
      </c>
      <c r="J52" s="4">
        <f t="shared" si="72"/>
        <v>0.16212399378618841</v>
      </c>
      <c r="K52" s="4">
        <f t="shared" si="72"/>
        <v>0.15</v>
      </c>
      <c r="L52" s="4">
        <f t="shared" si="72"/>
        <v>0.15</v>
      </c>
      <c r="M52" s="4"/>
      <c r="N52" s="4"/>
      <c r="O52" s="4">
        <f t="shared" ref="O52:AB52" si="73">O29/O28</f>
        <v>0.19659237246161465</v>
      </c>
      <c r="P52" s="4">
        <f t="shared" si="73"/>
        <v>3.0082512033004879E-2</v>
      </c>
      <c r="Q52" s="4">
        <f t="shared" si="73"/>
        <v>0.17617907455871706</v>
      </c>
      <c r="R52" s="4">
        <f t="shared" si="73"/>
        <v>0.14748547985280824</v>
      </c>
      <c r="S52" s="4">
        <f t="shared" si="73"/>
        <v>0.15</v>
      </c>
      <c r="T52" s="4">
        <f t="shared" si="73"/>
        <v>0.15</v>
      </c>
      <c r="U52" s="4">
        <f t="shared" si="73"/>
        <v>0.15</v>
      </c>
      <c r="V52" s="4">
        <f t="shared" si="73"/>
        <v>0.15</v>
      </c>
      <c r="W52" s="4">
        <f t="shared" si="73"/>
        <v>0.15</v>
      </c>
      <c r="X52" s="4">
        <f t="shared" si="73"/>
        <v>0.15</v>
      </c>
      <c r="Y52" s="4">
        <f t="shared" si="73"/>
        <v>0.15</v>
      </c>
      <c r="Z52" s="4">
        <f t="shared" si="73"/>
        <v>0.15</v>
      </c>
      <c r="AA52" s="4">
        <f t="shared" si="73"/>
        <v>0.15</v>
      </c>
      <c r="AB52" s="4">
        <f t="shared" si="73"/>
        <v>0.15</v>
      </c>
    </row>
    <row r="53" spans="1:31" x14ac:dyDescent="0.35">
      <c r="AD53" s="1" t="s">
        <v>46</v>
      </c>
      <c r="AE53" s="3">
        <f>AE51/Main!R6</f>
        <v>244.44789135920402</v>
      </c>
    </row>
    <row r="54" spans="1:31" x14ac:dyDescent="0.35">
      <c r="A54" s="7"/>
      <c r="B54" s="7" t="s">
        <v>49</v>
      </c>
      <c r="C54" s="7"/>
      <c r="D54" s="7"/>
      <c r="E54" s="5"/>
      <c r="F54" s="5"/>
      <c r="G54" s="5"/>
      <c r="H54" s="5"/>
      <c r="I54" s="5">
        <f>I55-I71</f>
        <v>-1568.4000000000005</v>
      </c>
      <c r="J54" s="5">
        <f>J55-J71</f>
        <v>-510.69999999999982</v>
      </c>
      <c r="K54" s="5"/>
      <c r="L54" s="5"/>
      <c r="M54" s="5"/>
      <c r="N54" s="5"/>
      <c r="O54" s="5"/>
      <c r="P54" s="5"/>
      <c r="Q54" s="5"/>
      <c r="R54" s="5"/>
      <c r="S54" s="5">
        <f>J54+S30</f>
        <v>1845.2301853500012</v>
      </c>
      <c r="T54" s="5">
        <f t="shared" ref="T54:AB54" si="74">S54+T30</f>
        <v>4244.0178340770763</v>
      </c>
      <c r="U54" s="5">
        <f t="shared" si="74"/>
        <v>6710.8135180607132</v>
      </c>
      <c r="V54" s="5">
        <f t="shared" si="74"/>
        <v>9705.3414622549681</v>
      </c>
      <c r="W54" s="5">
        <f t="shared" si="74"/>
        <v>12804.242271836167</v>
      </c>
      <c r="X54" s="5">
        <f t="shared" si="74"/>
        <v>16024.854382311332</v>
      </c>
      <c r="Y54" s="5">
        <f t="shared" si="74"/>
        <v>19603.55218205299</v>
      </c>
      <c r="Z54" s="5">
        <f t="shared" si="74"/>
        <v>23636.076848781748</v>
      </c>
      <c r="AA54" s="5">
        <f t="shared" si="74"/>
        <v>27854.183769228985</v>
      </c>
      <c r="AB54" s="5">
        <f t="shared" si="74"/>
        <v>32271.917947307091</v>
      </c>
      <c r="AD54" s="1" t="s">
        <v>47</v>
      </c>
      <c r="AE54" s="3">
        <f>Main!R5</f>
        <v>273.68</v>
      </c>
    </row>
    <row r="55" spans="1:31" x14ac:dyDescent="0.35">
      <c r="B55" t="s">
        <v>3</v>
      </c>
      <c r="I55" s="1">
        <f>2898.2+2143.1</f>
        <v>5041.2999999999993</v>
      </c>
      <c r="J55" s="1">
        <f>2617.8+3460.5</f>
        <v>6078.3</v>
      </c>
      <c r="AE55" s="6">
        <f>(AE53-AE54)/AE54</f>
        <v>-0.10681127097630803</v>
      </c>
    </row>
    <row r="56" spans="1:31" x14ac:dyDescent="0.35">
      <c r="B56" t="s">
        <v>50</v>
      </c>
      <c r="I56" s="1">
        <v>1634.4</v>
      </c>
      <c r="J56" s="1">
        <v>1685.9</v>
      </c>
    </row>
    <row r="57" spans="1:31" x14ac:dyDescent="0.35">
      <c r="B57" t="s">
        <v>51</v>
      </c>
      <c r="I57" s="1">
        <v>393.8</v>
      </c>
      <c r="J57" s="1">
        <v>438.1</v>
      </c>
    </row>
    <row r="58" spans="1:31" x14ac:dyDescent="0.35">
      <c r="B58" t="s">
        <v>52</v>
      </c>
      <c r="I58" s="1">
        <v>1281</v>
      </c>
      <c r="J58" s="1">
        <v>1333.5</v>
      </c>
    </row>
    <row r="59" spans="1:31" x14ac:dyDescent="0.35">
      <c r="B59" t="s">
        <v>53</v>
      </c>
      <c r="I59" s="1">
        <v>1412</v>
      </c>
      <c r="J59" s="1">
        <v>895.9</v>
      </c>
    </row>
    <row r="60" spans="1:31" x14ac:dyDescent="0.35">
      <c r="B60" t="s">
        <v>54</v>
      </c>
      <c r="I60" s="1">
        <f>978.2+1380.8</f>
        <v>2359</v>
      </c>
      <c r="J60" s="1">
        <f>1208+1104.9</f>
        <v>2312.9</v>
      </c>
    </row>
    <row r="61" spans="1:31" x14ac:dyDescent="0.35">
      <c r="B61" t="s">
        <v>55</v>
      </c>
      <c r="I61" s="1">
        <v>3300.9</v>
      </c>
      <c r="J61" s="1">
        <v>3307.2</v>
      </c>
    </row>
    <row r="62" spans="1:31" x14ac:dyDescent="0.35">
      <c r="B62" t="s">
        <v>56</v>
      </c>
      <c r="I62" s="1">
        <v>399.1</v>
      </c>
      <c r="J62" s="1">
        <v>366.5</v>
      </c>
    </row>
    <row r="63" spans="1:31" x14ac:dyDescent="0.35">
      <c r="B63" t="s">
        <v>57</v>
      </c>
      <c r="I63" s="1">
        <v>1813.3</v>
      </c>
      <c r="J63" s="1">
        <v>1776.4</v>
      </c>
    </row>
    <row r="64" spans="1:31" x14ac:dyDescent="0.35">
      <c r="B64" t="s">
        <v>58</v>
      </c>
      <c r="I64" s="1">
        <v>5751.8</v>
      </c>
      <c r="J64" s="1">
        <v>5753.7</v>
      </c>
    </row>
    <row r="65" spans="2:10" x14ac:dyDescent="0.35">
      <c r="B65" t="s">
        <v>59</v>
      </c>
      <c r="I65" s="1">
        <v>1211.8</v>
      </c>
      <c r="J65" s="1">
        <v>1208.4000000000001</v>
      </c>
    </row>
    <row r="66" spans="2:10" x14ac:dyDescent="0.35">
      <c r="B66" t="s">
        <v>60</v>
      </c>
      <c r="I66" s="1">
        <f>SUM(I55:I65)</f>
        <v>24598.399999999998</v>
      </c>
      <c r="J66" s="1">
        <f>SUM(J55:J65)</f>
        <v>25156.800000000003</v>
      </c>
    </row>
    <row r="68" spans="2:10" x14ac:dyDescent="0.35">
      <c r="B68" t="s">
        <v>29</v>
      </c>
      <c r="I68" s="1">
        <v>235.5</v>
      </c>
      <c r="J68" s="1">
        <v>260</v>
      </c>
    </row>
    <row r="69" spans="2:10" x14ac:dyDescent="0.35">
      <c r="B69" t="s">
        <v>61</v>
      </c>
      <c r="I69" s="1">
        <v>491.2</v>
      </c>
      <c r="J69" s="1">
        <v>445.4</v>
      </c>
    </row>
    <row r="70" spans="2:10" x14ac:dyDescent="0.35">
      <c r="B70" t="s">
        <v>62</v>
      </c>
      <c r="I70" s="1">
        <v>2288.1999999999998</v>
      </c>
      <c r="J70" s="1">
        <v>2481.1</v>
      </c>
    </row>
    <row r="71" spans="2:10" x14ac:dyDescent="0.35">
      <c r="B71" t="s">
        <v>63</v>
      </c>
      <c r="I71" s="1">
        <f>6282.7+327</f>
        <v>6609.7</v>
      </c>
      <c r="J71" s="1">
        <f>6284.6+304.4</f>
        <v>6589</v>
      </c>
    </row>
    <row r="72" spans="2:10" x14ac:dyDescent="0.35">
      <c r="B72" t="s">
        <v>64</v>
      </c>
      <c r="I72" s="1">
        <v>251.3</v>
      </c>
      <c r="J72" s="1">
        <v>143.9</v>
      </c>
    </row>
    <row r="73" spans="2:10" x14ac:dyDescent="0.35">
      <c r="B73" t="s">
        <v>65</v>
      </c>
      <c r="I73" s="1">
        <v>935.5</v>
      </c>
      <c r="J73" s="1">
        <v>776.9</v>
      </c>
    </row>
    <row r="74" spans="2:10" x14ac:dyDescent="0.35">
      <c r="B74" t="s">
        <v>66</v>
      </c>
      <c r="I74" s="1">
        <v>13787</v>
      </c>
      <c r="J74" s="1">
        <v>14460.5</v>
      </c>
    </row>
    <row r="75" spans="2:10" x14ac:dyDescent="0.35">
      <c r="B75" t="s">
        <v>67</v>
      </c>
      <c r="I75" s="1">
        <f>SUM(I68:I74)</f>
        <v>24598.399999999998</v>
      </c>
      <c r="J75" s="1">
        <f>SUM(J68:J74)</f>
        <v>25156.799999999999</v>
      </c>
    </row>
    <row r="77" spans="2:10" x14ac:dyDescent="0.35">
      <c r="B77" t="s">
        <v>68</v>
      </c>
      <c r="I77" s="1">
        <f>I30</f>
        <v>387.60000000000008</v>
      </c>
      <c r="J77" s="1">
        <f>J30</f>
        <v>593.29999999999995</v>
      </c>
    </row>
    <row r="78" spans="2:10" x14ac:dyDescent="0.35">
      <c r="B78" t="s">
        <v>69</v>
      </c>
      <c r="I78" s="1">
        <v>387.6</v>
      </c>
      <c r="J78" s="1">
        <f>980.9-I78</f>
        <v>593.29999999999995</v>
      </c>
    </row>
    <row r="79" spans="2:10" x14ac:dyDescent="0.35">
      <c r="B79" t="s">
        <v>70</v>
      </c>
      <c r="I79" s="1">
        <v>112.3</v>
      </c>
      <c r="J79" s="1">
        <f>229.7-I79</f>
        <v>117.39999999999999</v>
      </c>
    </row>
    <row r="80" spans="2:10" x14ac:dyDescent="0.35">
      <c r="B80" t="s">
        <v>75</v>
      </c>
      <c r="I80" s="1">
        <v>17.399999999999999</v>
      </c>
      <c r="J80" s="1">
        <f>36.8-I80</f>
        <v>19.399999999999999</v>
      </c>
    </row>
    <row r="81" spans="2:10" x14ac:dyDescent="0.35">
      <c r="B81" t="s">
        <v>71</v>
      </c>
      <c r="I81" s="1">
        <v>75.599999999999994</v>
      </c>
      <c r="J81" s="1">
        <f>147.1-I81</f>
        <v>71.5</v>
      </c>
    </row>
    <row r="82" spans="2:10" x14ac:dyDescent="0.35">
      <c r="B82" t="s">
        <v>72</v>
      </c>
      <c r="I82" s="1">
        <v>0</v>
      </c>
      <c r="J82" s="1">
        <v>0</v>
      </c>
    </row>
    <row r="83" spans="2:10" x14ac:dyDescent="0.35">
      <c r="B83" t="s">
        <v>64</v>
      </c>
      <c r="I83" s="1">
        <v>-64.5</v>
      </c>
      <c r="J83" s="1">
        <f>-170.9-I83</f>
        <v>-106.4</v>
      </c>
    </row>
    <row r="84" spans="2:10" x14ac:dyDescent="0.35">
      <c r="B84" t="s">
        <v>73</v>
      </c>
      <c r="I84" s="1">
        <v>79.599999999999994</v>
      </c>
      <c r="J84" s="1">
        <f>-26.8-I84</f>
        <v>-106.39999999999999</v>
      </c>
    </row>
    <row r="85" spans="2:10" x14ac:dyDescent="0.35">
      <c r="B85" t="s">
        <v>74</v>
      </c>
      <c r="I85" s="1">
        <v>0</v>
      </c>
      <c r="J85" s="1">
        <v>0</v>
      </c>
    </row>
    <row r="86" spans="2:10" x14ac:dyDescent="0.35">
      <c r="B86" t="s">
        <v>24</v>
      </c>
      <c r="I86" s="1">
        <v>31.4</v>
      </c>
      <c r="J86" s="1">
        <f>60.5-I86</f>
        <v>29.1</v>
      </c>
    </row>
    <row r="87" spans="2:10" x14ac:dyDescent="0.35">
      <c r="B87" t="s">
        <v>50</v>
      </c>
      <c r="I87" s="1">
        <v>77.2</v>
      </c>
      <c r="J87" s="1">
        <f>21.8-I87</f>
        <v>-55.400000000000006</v>
      </c>
    </row>
    <row r="88" spans="2:10" x14ac:dyDescent="0.35">
      <c r="B88" t="s">
        <v>51</v>
      </c>
      <c r="I88" s="1">
        <v>37.6</v>
      </c>
      <c r="J88" s="1">
        <f>-6.7-I88</f>
        <v>-44.300000000000004</v>
      </c>
    </row>
    <row r="89" spans="2:10" x14ac:dyDescent="0.35">
      <c r="B89" t="s">
        <v>52</v>
      </c>
      <c r="I89" s="1">
        <v>27.9</v>
      </c>
      <c r="J89" s="1">
        <f>-65.1-I89</f>
        <v>-93</v>
      </c>
    </row>
    <row r="90" spans="2:10" x14ac:dyDescent="0.35">
      <c r="B90" t="s">
        <v>76</v>
      </c>
      <c r="I90" s="1">
        <v>-295</v>
      </c>
      <c r="J90" s="1">
        <f>-127.1-I90</f>
        <v>167.9</v>
      </c>
    </row>
    <row r="91" spans="2:10" x14ac:dyDescent="0.35">
      <c r="B91" t="s">
        <v>29</v>
      </c>
      <c r="I91" s="1">
        <v>65</v>
      </c>
      <c r="J91" s="1">
        <f>-82.4-I91</f>
        <v>-147.4</v>
      </c>
    </row>
    <row r="92" spans="2:10" x14ac:dyDescent="0.35">
      <c r="B92" t="s">
        <v>24</v>
      </c>
      <c r="I92" s="1">
        <v>-96.8</v>
      </c>
      <c r="J92" s="1">
        <f>-55.5-I92</f>
        <v>41.3</v>
      </c>
    </row>
    <row r="93" spans="2:10" x14ac:dyDescent="0.35">
      <c r="B93" t="s">
        <v>77</v>
      </c>
      <c r="I93" s="1">
        <f>SUM(I78:I92)</f>
        <v>455.30000000000013</v>
      </c>
      <c r="J93" s="1">
        <f>SUM(J78:J92)</f>
        <v>487.00000000000006</v>
      </c>
    </row>
    <row r="95" spans="2:10" x14ac:dyDescent="0.35">
      <c r="B95" t="s">
        <v>78</v>
      </c>
      <c r="I95" s="1">
        <v>-66.599999999999994</v>
      </c>
      <c r="J95" s="1">
        <f>-137.6-I95</f>
        <v>-71</v>
      </c>
    </row>
    <row r="96" spans="2:10" x14ac:dyDescent="0.35">
      <c r="B96" t="s">
        <v>79</v>
      </c>
      <c r="I96" s="1">
        <v>406.7</v>
      </c>
      <c r="J96" s="1">
        <f>1682.2-I96</f>
        <v>1275.5</v>
      </c>
    </row>
    <row r="97" spans="2:10" x14ac:dyDescent="0.35">
      <c r="B97" t="s">
        <v>80</v>
      </c>
      <c r="I97" s="1">
        <v>-1321.2</v>
      </c>
      <c r="J97" s="1">
        <f>+-4120.3-I97</f>
        <v>-2799.1000000000004</v>
      </c>
    </row>
    <row r="98" spans="2:10" x14ac:dyDescent="0.35">
      <c r="B98" t="s">
        <v>81</v>
      </c>
      <c r="I98" s="1">
        <v>-5</v>
      </c>
      <c r="J98" s="1">
        <f>+-21-I98</f>
        <v>-16</v>
      </c>
    </row>
    <row r="99" spans="2:10" x14ac:dyDescent="0.35">
      <c r="B99" t="s">
        <v>82</v>
      </c>
      <c r="I99" s="1">
        <v>33.799999999999997</v>
      </c>
      <c r="J99" s="1">
        <f>103.2+788.1-I99</f>
        <v>857.50000000000011</v>
      </c>
    </row>
    <row r="100" spans="2:10" x14ac:dyDescent="0.35">
      <c r="B100" t="s">
        <v>83</v>
      </c>
      <c r="I100" s="1">
        <v>-0.7</v>
      </c>
      <c r="J100" s="1">
        <f>-1.1-I100</f>
        <v>-0.40000000000000013</v>
      </c>
    </row>
    <row r="101" spans="2:10" x14ac:dyDescent="0.35">
      <c r="B101" t="s">
        <v>84</v>
      </c>
      <c r="I101" s="1">
        <f>SUM(I95:I100)</f>
        <v>-953.00000000000011</v>
      </c>
      <c r="J101" s="1">
        <f>SUM(J95:J100)</f>
        <v>-753.50000000000023</v>
      </c>
    </row>
    <row r="103" spans="2:10" x14ac:dyDescent="0.35">
      <c r="B103" t="s">
        <v>71</v>
      </c>
      <c r="I103" s="1">
        <v>-60.1</v>
      </c>
      <c r="J103" s="1">
        <f>-54.6-I103</f>
        <v>5.5</v>
      </c>
    </row>
    <row r="104" spans="2:10" x14ac:dyDescent="0.35">
      <c r="B104" t="s">
        <v>85</v>
      </c>
      <c r="I104" s="1">
        <v>0.2</v>
      </c>
      <c r="J104" s="1">
        <f>1.7-I104</f>
        <v>1.5</v>
      </c>
    </row>
    <row r="105" spans="2:10" x14ac:dyDescent="0.35">
      <c r="B105" t="s">
        <v>24</v>
      </c>
      <c r="I105" s="1">
        <v>16.5</v>
      </c>
      <c r="J105" s="1">
        <f>-0.3-I105</f>
        <v>-16.8</v>
      </c>
    </row>
    <row r="106" spans="2:10" x14ac:dyDescent="0.35">
      <c r="B106" t="s">
        <v>86</v>
      </c>
      <c r="I106" s="1">
        <f>SUM(I103:I105)</f>
        <v>-43.4</v>
      </c>
      <c r="J106" s="1">
        <f>SUM(J103:J105)</f>
        <v>-9.8000000000000007</v>
      </c>
    </row>
    <row r="108" spans="2:10" x14ac:dyDescent="0.35">
      <c r="B108" t="s">
        <v>87</v>
      </c>
      <c r="I108" s="1">
        <f>I93+I101+I106</f>
        <v>-541.1</v>
      </c>
      <c r="J108" s="1">
        <f>J93+J101+J106</f>
        <v>-276.30000000000018</v>
      </c>
    </row>
    <row r="109" spans="2:10" x14ac:dyDescent="0.35">
      <c r="B109" t="s">
        <v>88</v>
      </c>
      <c r="I109" s="1">
        <v>20</v>
      </c>
      <c r="J109" s="1">
        <v>15.9</v>
      </c>
    </row>
    <row r="110" spans="2:10" x14ac:dyDescent="0.35">
      <c r="B110" t="s">
        <v>89</v>
      </c>
    </row>
    <row r="111" spans="2:10" x14ac:dyDescent="0.35">
      <c r="B111" t="s">
        <v>90</v>
      </c>
    </row>
    <row r="113" spans="2:12" x14ac:dyDescent="0.35">
      <c r="B113" t="s">
        <v>91</v>
      </c>
      <c r="I113" s="1">
        <f>I93+I95</f>
        <v>388.70000000000016</v>
      </c>
      <c r="J113" s="1">
        <f>J93+J95</f>
        <v>416.00000000000006</v>
      </c>
      <c r="K113" s="1">
        <v>425</v>
      </c>
      <c r="L113" s="1">
        <v>450</v>
      </c>
    </row>
    <row r="114" spans="2:12" x14ac:dyDescent="0.35">
      <c r="B114" t="s">
        <v>120</v>
      </c>
      <c r="L114" s="1">
        <f>SUM(I113:L113)</f>
        <v>1679.7000000000003</v>
      </c>
    </row>
    <row r="115" spans="2:12" x14ac:dyDescent="0.35">
      <c r="B115" t="s">
        <v>117</v>
      </c>
      <c r="I115" s="4"/>
      <c r="J115" s="4"/>
      <c r="L115" s="4">
        <f>SUM(I113:L113)/J71</f>
        <v>0.25492487479131892</v>
      </c>
    </row>
    <row r="116" spans="2:12" x14ac:dyDescent="0.35">
      <c r="B116" t="s">
        <v>118</v>
      </c>
      <c r="I116" s="4">
        <f>I113/I77</f>
        <v>1.0028379772961817</v>
      </c>
      <c r="J116" s="4">
        <f>J113/J77</f>
        <v>0.70116298668464538</v>
      </c>
    </row>
    <row r="117" spans="2:12" x14ac:dyDescent="0.35">
      <c r="B117" t="s">
        <v>119</v>
      </c>
      <c r="J117" s="4">
        <f>AVERAGE(I116:J116)</f>
        <v>0.85200048199041356</v>
      </c>
    </row>
  </sheetData>
  <hyperlinks>
    <hyperlink ref="A1" location="Main!A1" display="Main" xr:uid="{675C28B4-B87A-45B6-9322-D8D923EC0B4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Grenci</dc:creator>
  <cp:lastModifiedBy>Michael Grenci</cp:lastModifiedBy>
  <dcterms:created xsi:type="dcterms:W3CDTF">2015-06-05T18:17:20Z</dcterms:created>
  <dcterms:modified xsi:type="dcterms:W3CDTF">2023-08-12T14:02:18Z</dcterms:modified>
</cp:coreProperties>
</file>