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micha\Investing\models\Neuroscience\"/>
    </mc:Choice>
  </mc:AlternateContent>
  <xr:revisionPtr revIDLastSave="0" documentId="13_ncr:1_{CA808992-683F-4818-97F5-632E264ABB92}" xr6:coauthVersionLast="47" xr6:coauthVersionMax="47" xr10:uidLastSave="{00000000-0000-0000-0000-000000000000}"/>
  <bookViews>
    <workbookView xWindow="9970" yWindow="1260" windowWidth="22740" windowHeight="19090" activeTab="1" xr2:uid="{00000000-000D-0000-FFFF-FFFF00000000}"/>
  </bookViews>
  <sheets>
    <sheet name="Main" sheetId="1" r:id="rId1"/>
    <sheet name="Model" sheetId="2" r:id="rId2"/>
    <sheet name="KarX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3" i="2" l="1"/>
  <c r="Y3" i="2" s="1"/>
  <c r="Z3" i="2" s="1"/>
  <c r="AA3" i="2" s="1"/>
  <c r="W3" i="2"/>
  <c r="W20" i="2" s="1"/>
  <c r="L19" i="2"/>
  <c r="K19" i="2"/>
  <c r="I19" i="2"/>
  <c r="H19" i="2"/>
  <c r="G19" i="2"/>
  <c r="F19" i="2"/>
  <c r="E19" i="2"/>
  <c r="D19" i="2"/>
  <c r="J19" i="2"/>
  <c r="L18" i="2"/>
  <c r="K18" i="2"/>
  <c r="I18" i="2"/>
  <c r="H18" i="2"/>
  <c r="G18" i="2"/>
  <c r="F18" i="2"/>
  <c r="E18" i="2"/>
  <c r="D18" i="2"/>
  <c r="J18" i="2"/>
  <c r="V20" i="2"/>
  <c r="U20" i="2"/>
  <c r="T20" i="2"/>
  <c r="S20" i="2"/>
  <c r="AD29" i="2"/>
  <c r="AD25" i="2"/>
  <c r="AC3" i="2" l="1"/>
  <c r="J41" i="2"/>
  <c r="J44" i="2" s="1"/>
  <c r="J30" i="2"/>
  <c r="J29" i="2" s="1"/>
  <c r="R11" i="2" s="1"/>
  <c r="V4" i="2"/>
  <c r="V5" i="2" s="1"/>
  <c r="U4" i="2"/>
  <c r="U8" i="2" s="1"/>
  <c r="T4" i="2"/>
  <c r="T8" i="2" s="1"/>
  <c r="S4" i="2"/>
  <c r="R4" i="2"/>
  <c r="R5" i="2" s="1"/>
  <c r="R6" i="2" s="1"/>
  <c r="R24" i="2" s="1"/>
  <c r="L7" i="2"/>
  <c r="L21" i="2" s="1"/>
  <c r="L8" i="2"/>
  <c r="L22" i="2"/>
  <c r="K8" i="2"/>
  <c r="Q8" i="2" s="1"/>
  <c r="K7" i="2"/>
  <c r="K21" i="2" s="1"/>
  <c r="I22" i="2"/>
  <c r="H22" i="2"/>
  <c r="G22" i="2"/>
  <c r="J22" i="2"/>
  <c r="G21" i="2"/>
  <c r="H21" i="2"/>
  <c r="I21" i="2"/>
  <c r="J21" i="2"/>
  <c r="P16" i="2"/>
  <c r="P13" i="2"/>
  <c r="P8" i="2"/>
  <c r="P7" i="2"/>
  <c r="P5" i="2"/>
  <c r="P4" i="2"/>
  <c r="P6" i="2" s="1"/>
  <c r="Q16" i="2"/>
  <c r="Q13" i="2"/>
  <c r="Q5" i="2"/>
  <c r="Q4" i="2"/>
  <c r="Q6" i="2" s="1"/>
  <c r="P2" i="2"/>
  <c r="Q2" i="2" s="1"/>
  <c r="R2" i="2" s="1"/>
  <c r="S2" i="2" s="1"/>
  <c r="T2" i="2" s="1"/>
  <c r="U2" i="2" s="1"/>
  <c r="V2" i="2" s="1"/>
  <c r="W2" i="2" s="1"/>
  <c r="X2" i="2" s="1"/>
  <c r="Y2" i="2" s="1"/>
  <c r="Z2" i="2" s="1"/>
  <c r="AA2" i="2" s="1"/>
  <c r="G6" i="2"/>
  <c r="G9" i="2"/>
  <c r="G11" i="2"/>
  <c r="D11" i="2"/>
  <c r="D9" i="2"/>
  <c r="D6" i="2"/>
  <c r="D10" i="2" s="1"/>
  <c r="D12" i="2" s="1"/>
  <c r="D14" i="2" s="1"/>
  <c r="D15" i="2" s="1"/>
  <c r="H11" i="2"/>
  <c r="P11" i="2" s="1"/>
  <c r="H9" i="2"/>
  <c r="H6" i="2"/>
  <c r="C11" i="2"/>
  <c r="C9" i="2"/>
  <c r="C6" i="2"/>
  <c r="E11" i="2"/>
  <c r="E9" i="2"/>
  <c r="E6" i="2"/>
  <c r="E10" i="2" s="1"/>
  <c r="E12" i="2" s="1"/>
  <c r="E14" i="2" s="1"/>
  <c r="E15" i="2" s="1"/>
  <c r="I11" i="2"/>
  <c r="I6" i="2"/>
  <c r="I9" i="2"/>
  <c r="F11" i="2"/>
  <c r="F6" i="2"/>
  <c r="F9" i="2"/>
  <c r="J11" i="2"/>
  <c r="J9" i="2"/>
  <c r="J10" i="2" s="1"/>
  <c r="J12" i="2" s="1"/>
  <c r="J14" i="2" s="1"/>
  <c r="J15" i="2" s="1"/>
  <c r="Q12" i="1"/>
  <c r="Q11" i="1"/>
  <c r="Q10" i="1"/>
  <c r="Q9" i="1"/>
  <c r="K22" i="2" l="1"/>
  <c r="K9" i="2"/>
  <c r="K10" i="2" s="1"/>
  <c r="K12" i="2" s="1"/>
  <c r="K14" i="2" s="1"/>
  <c r="P9" i="2"/>
  <c r="P10" i="2" s="1"/>
  <c r="P12" i="2" s="1"/>
  <c r="P14" i="2" s="1"/>
  <c r="P15" i="2" s="1"/>
  <c r="Q22" i="2"/>
  <c r="R8" i="2"/>
  <c r="R22" i="2" s="1"/>
  <c r="V8" i="2"/>
  <c r="V7" i="2"/>
  <c r="L9" i="2"/>
  <c r="L10" i="2" s="1"/>
  <c r="L12" i="2" s="1"/>
  <c r="L14" i="2" s="1"/>
  <c r="Q11" i="2"/>
  <c r="J37" i="2"/>
  <c r="V25" i="2"/>
  <c r="V6" i="2"/>
  <c r="V24" i="2" s="1"/>
  <c r="U5" i="2"/>
  <c r="U6" i="2" s="1"/>
  <c r="U24" i="2" s="1"/>
  <c r="T5" i="2"/>
  <c r="T6" i="2" s="1"/>
  <c r="T24" i="2" s="1"/>
  <c r="S5" i="2"/>
  <c r="S6" i="2" s="1"/>
  <c r="S24" i="2" s="1"/>
  <c r="Q7" i="2"/>
  <c r="Q9" i="2"/>
  <c r="Q10" i="2" s="1"/>
  <c r="F10" i="2"/>
  <c r="F12" i="2" s="1"/>
  <c r="F14" i="2" s="1"/>
  <c r="F15" i="2" s="1"/>
  <c r="G10" i="2"/>
  <c r="G12" i="2" s="1"/>
  <c r="G14" i="2" s="1"/>
  <c r="G15" i="2" s="1"/>
  <c r="H10" i="2"/>
  <c r="H12" i="2" s="1"/>
  <c r="H14" i="2" s="1"/>
  <c r="H15" i="2" s="1"/>
  <c r="C10" i="2"/>
  <c r="C12" i="2" s="1"/>
  <c r="C14" i="2" s="1"/>
  <c r="C15" i="2" s="1"/>
  <c r="I10" i="2"/>
  <c r="I12" i="2" s="1"/>
  <c r="I14" i="2" s="1"/>
  <c r="I15" i="2" s="1"/>
  <c r="R26" i="2" l="1"/>
  <c r="Q12" i="2"/>
  <c r="Q14" i="2" s="1"/>
  <c r="Q15" i="2" s="1"/>
  <c r="S8" i="2"/>
  <c r="S26" i="2" s="1"/>
  <c r="Q21" i="2"/>
  <c r="R7" i="2"/>
  <c r="X20" i="2"/>
  <c r="W4" i="2"/>
  <c r="W5" i="2" s="1"/>
  <c r="S7" i="2" l="1"/>
  <c r="R25" i="2"/>
  <c r="R21" i="2"/>
  <c r="R9" i="2"/>
  <c r="R10" i="2" s="1"/>
  <c r="R12" i="2" s="1"/>
  <c r="R13" i="2" s="1"/>
  <c r="R27" i="2" s="1"/>
  <c r="S22" i="2"/>
  <c r="W8" i="2"/>
  <c r="W7" i="2"/>
  <c r="W6" i="2"/>
  <c r="W24" i="2" s="1"/>
  <c r="Y20" i="2"/>
  <c r="X4" i="2"/>
  <c r="T26" i="2"/>
  <c r="T22" i="2"/>
  <c r="X5" i="2" l="1"/>
  <c r="X8" i="2"/>
  <c r="R14" i="2"/>
  <c r="R29" i="2" s="1"/>
  <c r="S11" i="2" s="1"/>
  <c r="X7" i="2"/>
  <c r="W25" i="2"/>
  <c r="W21" i="2"/>
  <c r="T7" i="2"/>
  <c r="S21" i="2"/>
  <c r="S25" i="2"/>
  <c r="S9" i="2"/>
  <c r="S10" i="2" s="1"/>
  <c r="X6" i="2"/>
  <c r="X24" i="2" s="1"/>
  <c r="Z20" i="2"/>
  <c r="Y4" i="2"/>
  <c r="U26" i="2"/>
  <c r="U22" i="2"/>
  <c r="Y7" i="2" l="1"/>
  <c r="Y5" i="2"/>
  <c r="Y6" i="2" s="1"/>
  <c r="Y24" i="2" s="1"/>
  <c r="Y8" i="2"/>
  <c r="S12" i="2"/>
  <c r="S13" i="2" s="1"/>
  <c r="S27" i="2" s="1"/>
  <c r="U7" i="2"/>
  <c r="T21" i="2"/>
  <c r="T25" i="2"/>
  <c r="T9" i="2"/>
  <c r="T10" i="2" s="1"/>
  <c r="X21" i="2"/>
  <c r="X25" i="2"/>
  <c r="Z4" i="2"/>
  <c r="V26" i="2"/>
  <c r="V22" i="2"/>
  <c r="V9" i="2"/>
  <c r="V10" i="2" s="1"/>
  <c r="S14" i="2" l="1"/>
  <c r="S29" i="2" s="1"/>
  <c r="T11" i="2" s="1"/>
  <c r="T12" i="2" s="1"/>
  <c r="T13" i="2" s="1"/>
  <c r="T27" i="2" s="1"/>
  <c r="Z7" i="2"/>
  <c r="Z5" i="2"/>
  <c r="Z6" i="2" s="1"/>
  <c r="Z24" i="2" s="1"/>
  <c r="Z8" i="2"/>
  <c r="AA4" i="2"/>
  <c r="AA20" i="2"/>
  <c r="U25" i="2"/>
  <c r="U21" i="2"/>
  <c r="V21" i="2"/>
  <c r="U9" i="2"/>
  <c r="U10" i="2" s="1"/>
  <c r="Y21" i="2"/>
  <c r="Y25" i="2"/>
  <c r="W26" i="2"/>
  <c r="W22" i="2"/>
  <c r="W9" i="2"/>
  <c r="W10" i="2" s="1"/>
  <c r="AA5" i="2" l="1"/>
  <c r="AA6" i="2" s="1"/>
  <c r="AA24" i="2" s="1"/>
  <c r="AA8" i="2"/>
  <c r="AA7" i="2"/>
  <c r="T14" i="2"/>
  <c r="T29" i="2" s="1"/>
  <c r="U11" i="2" s="1"/>
  <c r="U12" i="2" s="1"/>
  <c r="U13" i="2" s="1"/>
  <c r="U27" i="2" s="1"/>
  <c r="AA25" i="2"/>
  <c r="AA21" i="2"/>
  <c r="Z21" i="2"/>
  <c r="Z25" i="2"/>
  <c r="X26" i="2"/>
  <c r="X22" i="2"/>
  <c r="X9" i="2"/>
  <c r="X10" i="2" s="1"/>
  <c r="U14" i="2" l="1"/>
  <c r="Y22" i="2"/>
  <c r="Y26" i="2"/>
  <c r="Y9" i="2"/>
  <c r="Y10" i="2" s="1"/>
  <c r="U29" i="2" l="1"/>
  <c r="V11" i="2" s="1"/>
  <c r="V12" i="2" s="1"/>
  <c r="Z22" i="2"/>
  <c r="Z26" i="2"/>
  <c r="Z9" i="2"/>
  <c r="Z10" i="2" s="1"/>
  <c r="V13" i="2" l="1"/>
  <c r="V27" i="2" s="1"/>
  <c r="AA22" i="2"/>
  <c r="AA26" i="2"/>
  <c r="AA9" i="2"/>
  <c r="AA10" i="2" s="1"/>
  <c r="V14" i="2" l="1"/>
  <c r="V29" i="2" l="1"/>
  <c r="W11" i="2" s="1"/>
  <c r="W12" i="2" l="1"/>
  <c r="W13" i="2" s="1"/>
  <c r="W14" i="2" l="1"/>
  <c r="W27" i="2"/>
  <c r="W29" i="2" l="1"/>
  <c r="X11" i="2" s="1"/>
  <c r="X12" i="2" s="1"/>
  <c r="X13" i="2" s="1"/>
  <c r="X14" i="2" l="1"/>
  <c r="X27" i="2"/>
  <c r="X29" i="2" l="1"/>
  <c r="Y11" i="2" s="1"/>
  <c r="Y12" i="2" s="1"/>
  <c r="Y13" i="2" s="1"/>
  <c r="Y27" i="2" s="1"/>
  <c r="Y14" i="2" l="1"/>
  <c r="Y29" i="2" s="1"/>
  <c r="Z11" i="2" l="1"/>
  <c r="Z12" i="2" s="1"/>
  <c r="Z13" i="2" l="1"/>
  <c r="Z27" i="2" s="1"/>
  <c r="Z14" i="2" l="1"/>
  <c r="Z29" i="2" s="1"/>
  <c r="AA11" i="2" l="1"/>
  <c r="AA12" i="2" s="1"/>
  <c r="AA13" i="2" l="1"/>
  <c r="AA27" i="2" s="1"/>
  <c r="AA14" i="2" l="1"/>
  <c r="AB14" i="2" l="1"/>
  <c r="AC14" i="2" s="1"/>
  <c r="AD14" i="2" s="1"/>
  <c r="AE14" i="2" s="1"/>
  <c r="AF14" i="2" s="1"/>
  <c r="AG14" i="2" s="1"/>
  <c r="AH14" i="2" s="1"/>
  <c r="AI14" i="2" s="1"/>
  <c r="AJ14" i="2" s="1"/>
  <c r="AK14" i="2" s="1"/>
  <c r="AL14" i="2" s="1"/>
  <c r="AM14" i="2" s="1"/>
  <c r="AN14" i="2" s="1"/>
  <c r="AO14" i="2" s="1"/>
  <c r="AP14" i="2" s="1"/>
  <c r="AQ14" i="2" s="1"/>
  <c r="AR14" i="2" s="1"/>
  <c r="AS14" i="2" s="1"/>
  <c r="AT14" i="2" s="1"/>
  <c r="AU14" i="2" s="1"/>
  <c r="AV14" i="2" s="1"/>
  <c r="AW14" i="2" s="1"/>
  <c r="AX14" i="2" s="1"/>
  <c r="AY14" i="2" s="1"/>
  <c r="AZ14" i="2" s="1"/>
  <c r="BA14" i="2" s="1"/>
  <c r="BB14" i="2" s="1"/>
  <c r="BC14" i="2" s="1"/>
  <c r="BD14" i="2" s="1"/>
  <c r="BE14" i="2" s="1"/>
  <c r="BF14" i="2" s="1"/>
  <c r="BG14" i="2" s="1"/>
  <c r="BH14" i="2" s="1"/>
  <c r="BI14" i="2" s="1"/>
  <c r="BJ14" i="2" s="1"/>
  <c r="BK14" i="2" s="1"/>
  <c r="BL14" i="2" s="1"/>
  <c r="BM14" i="2" s="1"/>
  <c r="BN14" i="2" s="1"/>
  <c r="BO14" i="2" s="1"/>
  <c r="BP14" i="2" s="1"/>
  <c r="BQ14" i="2" s="1"/>
  <c r="BR14" i="2" s="1"/>
  <c r="BS14" i="2" s="1"/>
  <c r="BT14" i="2" s="1"/>
  <c r="BU14" i="2" s="1"/>
  <c r="BV14" i="2" s="1"/>
  <c r="BW14" i="2" s="1"/>
  <c r="BX14" i="2" s="1"/>
  <c r="BY14" i="2" s="1"/>
  <c r="BZ14" i="2" s="1"/>
  <c r="CA14" i="2" s="1"/>
  <c r="CB14" i="2" s="1"/>
  <c r="CC14" i="2" s="1"/>
  <c r="CD14" i="2" s="1"/>
  <c r="CE14" i="2" s="1"/>
  <c r="CF14" i="2" s="1"/>
  <c r="CG14" i="2" s="1"/>
  <c r="CH14" i="2" s="1"/>
  <c r="CI14" i="2" s="1"/>
  <c r="CJ14" i="2" s="1"/>
  <c r="CK14" i="2" s="1"/>
  <c r="CL14" i="2" s="1"/>
  <c r="CM14" i="2" s="1"/>
  <c r="CN14" i="2" s="1"/>
  <c r="CO14" i="2" s="1"/>
  <c r="CP14" i="2" s="1"/>
  <c r="CQ14" i="2" s="1"/>
  <c r="CR14" i="2" s="1"/>
  <c r="CS14" i="2" s="1"/>
  <c r="CT14" i="2" s="1"/>
  <c r="CU14" i="2" s="1"/>
  <c r="CV14" i="2" s="1"/>
  <c r="CW14" i="2" s="1"/>
  <c r="CX14" i="2" s="1"/>
  <c r="CY14" i="2" s="1"/>
  <c r="CZ14" i="2" s="1"/>
  <c r="DA14" i="2" s="1"/>
  <c r="DB14" i="2" s="1"/>
  <c r="DC14" i="2" s="1"/>
  <c r="DD14" i="2" s="1"/>
  <c r="DE14" i="2" s="1"/>
  <c r="DF14" i="2" s="1"/>
  <c r="DG14" i="2" s="1"/>
  <c r="DH14" i="2" s="1"/>
  <c r="DI14" i="2" s="1"/>
  <c r="DJ14" i="2" s="1"/>
  <c r="DK14" i="2" s="1"/>
  <c r="DL14" i="2" s="1"/>
  <c r="DM14" i="2" s="1"/>
  <c r="DN14" i="2" s="1"/>
  <c r="DO14" i="2" s="1"/>
  <c r="DP14" i="2" s="1"/>
  <c r="DQ14" i="2" s="1"/>
  <c r="DR14" i="2" s="1"/>
  <c r="DS14" i="2" s="1"/>
  <c r="DT14" i="2" s="1"/>
  <c r="DU14" i="2" s="1"/>
  <c r="DV14" i="2" s="1"/>
  <c r="DW14" i="2" s="1"/>
  <c r="DX14" i="2" s="1"/>
  <c r="DY14" i="2" s="1"/>
  <c r="DZ14" i="2" s="1"/>
  <c r="EA14" i="2" s="1"/>
  <c r="EB14" i="2" s="1"/>
  <c r="EC14" i="2" s="1"/>
  <c r="ED14" i="2" s="1"/>
  <c r="EE14" i="2" s="1"/>
  <c r="EF14" i="2" s="1"/>
  <c r="EG14" i="2" s="1"/>
  <c r="EH14" i="2" s="1"/>
  <c r="EI14" i="2" s="1"/>
  <c r="EJ14" i="2" s="1"/>
  <c r="EK14" i="2" s="1"/>
  <c r="EL14" i="2" s="1"/>
  <c r="EM14" i="2" s="1"/>
  <c r="EN14" i="2" s="1"/>
  <c r="EO14" i="2" s="1"/>
  <c r="EP14" i="2" s="1"/>
  <c r="EQ14" i="2" s="1"/>
  <c r="ER14" i="2" s="1"/>
  <c r="ES14" i="2" s="1"/>
  <c r="ET14" i="2" s="1"/>
  <c r="EU14" i="2" s="1"/>
  <c r="EV14" i="2" s="1"/>
  <c r="EW14" i="2" s="1"/>
  <c r="EX14" i="2" s="1"/>
  <c r="EY14" i="2" s="1"/>
  <c r="EZ14" i="2" s="1"/>
  <c r="FA14" i="2" s="1"/>
  <c r="FB14" i="2" s="1"/>
  <c r="FC14" i="2" s="1"/>
  <c r="FD14" i="2" s="1"/>
  <c r="FE14" i="2" s="1"/>
  <c r="FF14" i="2" s="1"/>
  <c r="FG14" i="2" s="1"/>
  <c r="FH14" i="2" s="1"/>
  <c r="FI14" i="2" s="1"/>
  <c r="FJ14" i="2" s="1"/>
  <c r="FK14" i="2" s="1"/>
  <c r="FL14" i="2" s="1"/>
  <c r="FM14" i="2" s="1"/>
  <c r="FN14" i="2" s="1"/>
  <c r="FO14" i="2" s="1"/>
  <c r="FP14" i="2" s="1"/>
  <c r="FQ14" i="2" s="1"/>
  <c r="FR14" i="2" s="1"/>
  <c r="FS14" i="2" s="1"/>
  <c r="FT14" i="2" s="1"/>
  <c r="FU14" i="2" s="1"/>
  <c r="FV14" i="2" s="1"/>
  <c r="FW14" i="2" s="1"/>
  <c r="FX14" i="2" s="1"/>
  <c r="FY14" i="2" s="1"/>
  <c r="AA29" i="2"/>
  <c r="AD24" i="2" l="1"/>
  <c r="AD26" i="2" s="1"/>
  <c r="AD28" i="2" s="1"/>
  <c r="AE29" i="2" s="1"/>
</calcChain>
</file>

<file path=xl/sharedStrings.xml><?xml version="1.0" encoding="utf-8"?>
<sst xmlns="http://schemas.openxmlformats.org/spreadsheetml/2006/main" count="73" uniqueCount="67">
  <si>
    <t xml:space="preserve">Price </t>
  </si>
  <si>
    <t>S/O</t>
  </si>
  <si>
    <t xml:space="preserve">MC </t>
  </si>
  <si>
    <t>Cash</t>
  </si>
  <si>
    <t xml:space="preserve">Debt </t>
  </si>
  <si>
    <t xml:space="preserve">EV </t>
  </si>
  <si>
    <t>Q223</t>
  </si>
  <si>
    <t>Main</t>
  </si>
  <si>
    <t>Q321</t>
  </si>
  <si>
    <t>Q421</t>
  </si>
  <si>
    <t>Q122</t>
  </si>
  <si>
    <t>Q222</t>
  </si>
  <si>
    <t>Q322</t>
  </si>
  <si>
    <t>Q422</t>
  </si>
  <si>
    <t>Q123</t>
  </si>
  <si>
    <t>Q323</t>
  </si>
  <si>
    <t>Q423</t>
  </si>
  <si>
    <t>Revenue</t>
  </si>
  <si>
    <t xml:space="preserve">COGS </t>
  </si>
  <si>
    <t>Gross Profit</t>
  </si>
  <si>
    <t>R&amp;D</t>
  </si>
  <si>
    <t>G&amp;A</t>
  </si>
  <si>
    <t xml:space="preserve">Operating Expenses </t>
  </si>
  <si>
    <t>Operating Income</t>
  </si>
  <si>
    <t>Other Income</t>
  </si>
  <si>
    <t>Pretax Income</t>
  </si>
  <si>
    <t xml:space="preserve">Taxes </t>
  </si>
  <si>
    <t>Net Income</t>
  </si>
  <si>
    <t xml:space="preserve">EPS </t>
  </si>
  <si>
    <t xml:space="preserve">Shares </t>
  </si>
  <si>
    <t>KarXT</t>
  </si>
  <si>
    <t>R&amp;D y/y</t>
  </si>
  <si>
    <t>G&amp;A y/y</t>
  </si>
  <si>
    <t>Gross Margin</t>
  </si>
  <si>
    <t xml:space="preserve">R&amp;D % </t>
  </si>
  <si>
    <t xml:space="preserve">G&amp;A % </t>
  </si>
  <si>
    <t xml:space="preserve">Tax Rate </t>
  </si>
  <si>
    <t xml:space="preserve">Net Cash </t>
  </si>
  <si>
    <t xml:space="preserve">Cash </t>
  </si>
  <si>
    <t>A/R</t>
  </si>
  <si>
    <t xml:space="preserve">Prepaids &amp; OCA </t>
  </si>
  <si>
    <t>Deferred Offering</t>
  </si>
  <si>
    <t>Operating lease assets</t>
  </si>
  <si>
    <t xml:space="preserve">PP&amp;E </t>
  </si>
  <si>
    <t>ONCA</t>
  </si>
  <si>
    <t>Assets</t>
  </si>
  <si>
    <t>A/P</t>
  </si>
  <si>
    <t>Accrued expenses</t>
  </si>
  <si>
    <t>ONCL</t>
  </si>
  <si>
    <t xml:space="preserve">S/E </t>
  </si>
  <si>
    <t xml:space="preserve">L + S/E </t>
  </si>
  <si>
    <t xml:space="preserve">ROIC </t>
  </si>
  <si>
    <t xml:space="preserve">Maturity </t>
  </si>
  <si>
    <t xml:space="preserve">Discount </t>
  </si>
  <si>
    <t xml:space="preserve">NPV </t>
  </si>
  <si>
    <t>Net NPV</t>
  </si>
  <si>
    <t xml:space="preserve">Share </t>
  </si>
  <si>
    <t xml:space="preserve">Current </t>
  </si>
  <si>
    <t>https://www.pharmavoice.com/news/karuna-approval-blockbuster-KarXT-schizophrenia/646568/</t>
  </si>
  <si>
    <t>2.4 billion by 2028</t>
  </si>
  <si>
    <t>6.8 billion in peak global sales</t>
  </si>
  <si>
    <t>KarXT y/y</t>
  </si>
  <si>
    <t xml:space="preserve">Brand </t>
  </si>
  <si>
    <t xml:space="preserve">Generic </t>
  </si>
  <si>
    <t>Indiciation</t>
  </si>
  <si>
    <t xml:space="preserve">R&amp;D seq </t>
  </si>
  <si>
    <t>G&amp;A 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</si>
</sst>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3" fontId="0" fillId="0" borderId="0" xfId="0" applyNumberFormat="1"/>
    <xf numFmtId="0" fontId="3" fillId="0" borderId="0" xfId="2"/>
    <xf numFmtId="4" fontId="0" fillId="0" borderId="0" xfId="0" applyNumberFormat="1"/>
    <xf numFmtId="9" fontId="0" fillId="0" borderId="0" xfId="1" applyFont="1"/>
    <xf numFmtId="3" fontId="0" fillId="0" borderId="0" xfId="1" applyNumberFormat="1" applyFont="1"/>
    <xf numFmtId="0" fontId="2" fillId="0" borderId="0" xfId="0" applyFont="1"/>
    <xf numFmtId="3" fontId="2" fillId="0" borderId="0" xfId="0" applyNumberFormat="1" applyFont="1"/>
    <xf numFmtId="4" fontId="2" fillId="0" borderId="0" xfId="0" applyNumberFormat="1" applyFont="1"/>
    <xf numFmtId="9" fontId="2" fillId="0" borderId="0" xfId="1" applyFon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101600</xdr:rowOff>
    </xdr:from>
    <xdr:to>
      <xdr:col>10</xdr:col>
      <xdr:colOff>19050</xdr:colOff>
      <xdr:row>44</xdr:row>
      <xdr:rowOff>50800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6834503C-994C-C5BB-E4A5-369ABB97F9D9}"/>
            </a:ext>
          </a:extLst>
        </xdr:cNvPr>
        <xdr:cNvCxnSpPr/>
      </xdr:nvCxnSpPr>
      <xdr:spPr>
        <a:xfrm>
          <a:off x="6597650" y="101600"/>
          <a:ext cx="19050" cy="7499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6350</xdr:colOff>
      <xdr:row>0</xdr:row>
      <xdr:rowOff>57150</xdr:rowOff>
    </xdr:from>
    <xdr:to>
      <xdr:col>17</xdr:col>
      <xdr:colOff>12700</xdr:colOff>
      <xdr:row>33</xdr:row>
      <xdr:rowOff>158750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A5564923-D987-C1AA-3F08-2CBBA2F90299}"/>
            </a:ext>
          </a:extLst>
        </xdr:cNvPr>
        <xdr:cNvCxnSpPr/>
      </xdr:nvCxnSpPr>
      <xdr:spPr>
        <a:xfrm flipH="1">
          <a:off x="10871200" y="57150"/>
          <a:ext cx="6350" cy="5810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7:R18"/>
  <sheetViews>
    <sheetView topLeftCell="F1" workbookViewId="0">
      <selection activeCell="G6" sqref="G6"/>
    </sheetView>
  </sheetViews>
  <sheetFormatPr defaultRowHeight="14.5" x14ac:dyDescent="0.35"/>
  <sheetData>
    <row r="7" spans="7:18" x14ac:dyDescent="0.35">
      <c r="P7" t="s">
        <v>0</v>
      </c>
      <c r="Q7">
        <v>179.67</v>
      </c>
    </row>
    <row r="8" spans="7:18" x14ac:dyDescent="0.35">
      <c r="P8" t="s">
        <v>1</v>
      </c>
      <c r="Q8" s="1">
        <v>37.667845</v>
      </c>
      <c r="R8" t="s">
        <v>6</v>
      </c>
    </row>
    <row r="9" spans="7:18" x14ac:dyDescent="0.35">
      <c r="P9" t="s">
        <v>2</v>
      </c>
      <c r="Q9" s="1">
        <f>Q7*Q8</f>
        <v>6767.7817111499999</v>
      </c>
    </row>
    <row r="10" spans="7:18" x14ac:dyDescent="0.35">
      <c r="P10" t="s">
        <v>3</v>
      </c>
      <c r="Q10" s="1">
        <f>263.603+1170.874+2.033</f>
        <v>1436.51</v>
      </c>
      <c r="R10" t="s">
        <v>6</v>
      </c>
    </row>
    <row r="11" spans="7:18" x14ac:dyDescent="0.35">
      <c r="P11" t="s">
        <v>4</v>
      </c>
      <c r="Q11" s="1">
        <f>1.997+13.833</f>
        <v>15.83</v>
      </c>
      <c r="R11" t="s">
        <v>6</v>
      </c>
    </row>
    <row r="12" spans="7:18" x14ac:dyDescent="0.35">
      <c r="P12" t="s">
        <v>5</v>
      </c>
      <c r="Q12" s="1">
        <f>Q9-Q10+Q11</f>
        <v>5347.1017111499996</v>
      </c>
    </row>
    <row r="16" spans="7:18" x14ac:dyDescent="0.35">
      <c r="G16" t="s">
        <v>58</v>
      </c>
    </row>
    <row r="17" spans="8:8" x14ac:dyDescent="0.35">
      <c r="H17" t="s">
        <v>59</v>
      </c>
    </row>
    <row r="18" spans="8:8" x14ac:dyDescent="0.35">
      <c r="H18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1985F-B2BA-429C-A9A8-FAE32736CB2E}">
  <dimension ref="A1:FY44"/>
  <sheetViews>
    <sheetView tabSelected="1" workbookViewId="0">
      <pane xSplit="2" ySplit="2" topLeftCell="M3" activePane="bottomRight" state="frozen"/>
      <selection pane="topRight" activeCell="C1" sqref="C1"/>
      <selection pane="bottomLeft" activeCell="A3" sqref="A3"/>
      <selection pane="bottomRight" activeCell="AD22" sqref="AD22"/>
    </sheetView>
  </sheetViews>
  <sheetFormatPr defaultRowHeight="14.5" x14ac:dyDescent="0.35"/>
  <cols>
    <col min="1" max="1" width="5.08984375" bestFit="1" customWidth="1"/>
    <col min="2" max="2" width="19.54296875" bestFit="1" customWidth="1"/>
    <col min="3" max="16384" width="8.7265625" style="1"/>
  </cols>
  <sheetData>
    <row r="1" spans="1:181" customFormat="1" x14ac:dyDescent="0.35">
      <c r="A1" s="2" t="s">
        <v>7</v>
      </c>
    </row>
    <row r="2" spans="1:181" customFormat="1" x14ac:dyDescent="0.35"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6</v>
      </c>
      <c r="K2" t="s">
        <v>15</v>
      </c>
      <c r="L2" t="s">
        <v>16</v>
      </c>
      <c r="O2">
        <v>2021</v>
      </c>
      <c r="P2">
        <f>O2+1</f>
        <v>2022</v>
      </c>
      <c r="Q2">
        <f t="shared" ref="Q2:AA2" si="0">P2+1</f>
        <v>2023</v>
      </c>
      <c r="R2">
        <f t="shared" si="0"/>
        <v>2024</v>
      </c>
      <c r="S2">
        <f t="shared" si="0"/>
        <v>2025</v>
      </c>
      <c r="T2">
        <f t="shared" si="0"/>
        <v>2026</v>
      </c>
      <c r="U2">
        <f t="shared" si="0"/>
        <v>2027</v>
      </c>
      <c r="V2">
        <f t="shared" si="0"/>
        <v>2028</v>
      </c>
      <c r="W2">
        <f t="shared" si="0"/>
        <v>2029</v>
      </c>
      <c r="X2">
        <f t="shared" si="0"/>
        <v>2030</v>
      </c>
      <c r="Y2">
        <f t="shared" si="0"/>
        <v>2031</v>
      </c>
      <c r="Z2">
        <f t="shared" si="0"/>
        <v>2032</v>
      </c>
      <c r="AA2">
        <f t="shared" si="0"/>
        <v>2033</v>
      </c>
    </row>
    <row r="3" spans="1:181" x14ac:dyDescent="0.35">
      <c r="B3" t="s">
        <v>30</v>
      </c>
      <c r="R3" s="1">
        <v>200</v>
      </c>
      <c r="S3" s="1">
        <v>600</v>
      </c>
      <c r="T3" s="1">
        <v>1000</v>
      </c>
      <c r="U3" s="1">
        <v>1400</v>
      </c>
      <c r="V3" s="1">
        <v>2000</v>
      </c>
      <c r="W3" s="1">
        <f>V3*1.01</f>
        <v>2020</v>
      </c>
      <c r="X3" s="1">
        <f t="shared" ref="X3:AA3" si="1">W3*1.01</f>
        <v>2040.2</v>
      </c>
      <c r="Y3" s="1">
        <f t="shared" si="1"/>
        <v>2060.6019999999999</v>
      </c>
      <c r="Z3" s="1">
        <f t="shared" si="1"/>
        <v>2081.20802</v>
      </c>
      <c r="AA3" s="1">
        <f t="shared" si="1"/>
        <v>2102.0201001999999</v>
      </c>
      <c r="AC3" s="1">
        <f>SUM(R3:AA3)</f>
        <v>15504.030120199999</v>
      </c>
    </row>
    <row r="4" spans="1:181" x14ac:dyDescent="0.35">
      <c r="B4" t="s">
        <v>17</v>
      </c>
      <c r="C4" s="1">
        <v>0</v>
      </c>
      <c r="D4" s="1">
        <v>36.963999999999999</v>
      </c>
      <c r="E4" s="1">
        <v>0</v>
      </c>
      <c r="F4" s="1">
        <v>5.2779999999999996</v>
      </c>
      <c r="G4" s="1">
        <v>8.1000000000000003E-2</v>
      </c>
      <c r="H4" s="1">
        <v>5.2779999999999996</v>
      </c>
      <c r="I4" s="1">
        <v>0.65400000000000003</v>
      </c>
      <c r="J4" s="1">
        <v>0</v>
      </c>
      <c r="K4" s="1">
        <v>0</v>
      </c>
      <c r="L4" s="1">
        <v>0</v>
      </c>
      <c r="P4" s="1">
        <f>SUM(E4:H4)</f>
        <v>10.637</v>
      </c>
      <c r="Q4" s="1">
        <f>SUM(I4:L4)</f>
        <v>0.65400000000000003</v>
      </c>
      <c r="R4" s="1">
        <f>R3</f>
        <v>200</v>
      </c>
      <c r="S4" s="1">
        <f t="shared" ref="S4:V4" si="2">S3</f>
        <v>600</v>
      </c>
      <c r="T4" s="1">
        <f t="shared" si="2"/>
        <v>1000</v>
      </c>
      <c r="U4" s="1">
        <f t="shared" si="2"/>
        <v>1400</v>
      </c>
      <c r="V4" s="1">
        <f t="shared" si="2"/>
        <v>2000</v>
      </c>
      <c r="W4" s="1">
        <f t="shared" ref="W4" si="3">W3</f>
        <v>2020</v>
      </c>
      <c r="X4" s="1">
        <f t="shared" ref="X4" si="4">X3</f>
        <v>2040.2</v>
      </c>
      <c r="Y4" s="1">
        <f t="shared" ref="Y4" si="5">Y3</f>
        <v>2060.6019999999999</v>
      </c>
      <c r="Z4" s="1">
        <f t="shared" ref="Z4" si="6">Z3</f>
        <v>2081.20802</v>
      </c>
      <c r="AA4" s="1">
        <f t="shared" ref="AA4" si="7">AA3</f>
        <v>2102.0201001999999</v>
      </c>
    </row>
    <row r="5" spans="1:181" x14ac:dyDescent="0.35">
      <c r="B5" t="s">
        <v>18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P5" s="1">
        <f>SUM(E5:H5)</f>
        <v>0</v>
      </c>
      <c r="Q5" s="1">
        <f>SUM(I5:L5)</f>
        <v>0</v>
      </c>
      <c r="R5" s="1">
        <f>R4*0.2</f>
        <v>40</v>
      </c>
      <c r="S5" s="1">
        <f t="shared" ref="S5:U5" si="8">S4*0.2</f>
        <v>120</v>
      </c>
      <c r="T5" s="1">
        <f t="shared" si="8"/>
        <v>200</v>
      </c>
      <c r="U5" s="1">
        <f t="shared" si="8"/>
        <v>280</v>
      </c>
      <c r="V5" s="1">
        <f>V4*0.18</f>
        <v>360</v>
      </c>
      <c r="W5" s="1">
        <f t="shared" ref="W5:X5" si="9">W4*0.18</f>
        <v>363.59999999999997</v>
      </c>
      <c r="X5" s="1">
        <f t="shared" si="9"/>
        <v>367.23599999999999</v>
      </c>
      <c r="Y5" s="1">
        <f>Y4*0.15</f>
        <v>309.09029999999996</v>
      </c>
      <c r="Z5" s="1">
        <f t="shared" ref="Z5:AA5" si="10">Z4*0.15</f>
        <v>312.18120299999998</v>
      </c>
      <c r="AA5" s="1">
        <f t="shared" si="10"/>
        <v>315.30301502999998</v>
      </c>
    </row>
    <row r="6" spans="1:181" x14ac:dyDescent="0.35">
      <c r="B6" t="s">
        <v>19</v>
      </c>
      <c r="C6" s="1">
        <f t="shared" ref="C6:I6" si="11">C4-C5</f>
        <v>0</v>
      </c>
      <c r="D6" s="1">
        <f t="shared" si="11"/>
        <v>36.963999999999999</v>
      </c>
      <c r="E6" s="1">
        <f t="shared" si="11"/>
        <v>0</v>
      </c>
      <c r="F6" s="1">
        <f t="shared" si="11"/>
        <v>5.2779999999999996</v>
      </c>
      <c r="G6" s="1">
        <f t="shared" si="11"/>
        <v>8.1000000000000003E-2</v>
      </c>
      <c r="H6" s="1">
        <f t="shared" si="11"/>
        <v>5.2779999999999996</v>
      </c>
      <c r="I6" s="1">
        <f t="shared" si="11"/>
        <v>0.65400000000000003</v>
      </c>
      <c r="J6" s="1">
        <v>0</v>
      </c>
      <c r="K6" s="1">
        <v>0</v>
      </c>
      <c r="L6" s="1">
        <v>0</v>
      </c>
      <c r="P6" s="1">
        <f>P4-P5</f>
        <v>10.637</v>
      </c>
      <c r="Q6" s="1">
        <f>Q4-Q5</f>
        <v>0.65400000000000003</v>
      </c>
      <c r="R6" s="1">
        <f t="shared" ref="R6:V6" si="12">R4-R5</f>
        <v>160</v>
      </c>
      <c r="S6" s="1">
        <f t="shared" si="12"/>
        <v>480</v>
      </c>
      <c r="T6" s="1">
        <f t="shared" si="12"/>
        <v>800</v>
      </c>
      <c r="U6" s="1">
        <f t="shared" si="12"/>
        <v>1120</v>
      </c>
      <c r="V6" s="1">
        <f t="shared" si="12"/>
        <v>1640</v>
      </c>
      <c r="W6" s="1">
        <f t="shared" ref="W6" si="13">W4-W5</f>
        <v>1656.4</v>
      </c>
      <c r="X6" s="1">
        <f t="shared" ref="X6" si="14">X4-X5</f>
        <v>1672.9639999999999</v>
      </c>
      <c r="Y6" s="1">
        <f t="shared" ref="Y6" si="15">Y4-Y5</f>
        <v>1751.5117</v>
      </c>
      <c r="Z6" s="1">
        <f t="shared" ref="Z6" si="16">Z4-Z5</f>
        <v>1769.0268169999999</v>
      </c>
      <c r="AA6" s="1">
        <f t="shared" ref="AA6" si="17">AA4-AA5</f>
        <v>1786.7170851699998</v>
      </c>
    </row>
    <row r="7" spans="1:181" x14ac:dyDescent="0.35">
      <c r="B7" t="s">
        <v>20</v>
      </c>
      <c r="C7" s="1">
        <v>38.774999999999999</v>
      </c>
      <c r="D7" s="1">
        <v>45.091999999999999</v>
      </c>
      <c r="E7" s="1">
        <v>43.805999999999997</v>
      </c>
      <c r="F7" s="1">
        <v>52.487000000000002</v>
      </c>
      <c r="G7" s="1">
        <v>61.95</v>
      </c>
      <c r="H7" s="1">
        <v>66.004000000000005</v>
      </c>
      <c r="I7" s="1">
        <v>85.466999999999999</v>
      </c>
      <c r="J7" s="1">
        <v>92.49</v>
      </c>
      <c r="K7" s="1">
        <f>G7*1.5</f>
        <v>92.925000000000011</v>
      </c>
      <c r="L7" s="1">
        <f>H7*1.3</f>
        <v>85.805200000000013</v>
      </c>
      <c r="P7" s="1">
        <f>SUM(E7:H7)</f>
        <v>224.24700000000001</v>
      </c>
      <c r="Q7" s="1">
        <f>SUM(I7:L7)</f>
        <v>356.68720000000002</v>
      </c>
      <c r="R7" s="1">
        <f>Q7*1.05</f>
        <v>374.52156000000002</v>
      </c>
      <c r="S7" s="1">
        <f t="shared" ref="S7:T7" si="18">R7*1.05</f>
        <v>393.24763800000005</v>
      </c>
      <c r="T7" s="1">
        <f t="shared" si="18"/>
        <v>412.91001990000007</v>
      </c>
      <c r="U7" s="1">
        <f>T7*0.95</f>
        <v>392.26451890500005</v>
      </c>
      <c r="V7" s="1">
        <f>V4*0.25</f>
        <v>500</v>
      </c>
      <c r="W7" s="1">
        <f t="shared" ref="W7:X7" si="19">W4*0.25</f>
        <v>505</v>
      </c>
      <c r="X7" s="1">
        <f t="shared" si="19"/>
        <v>510.05</v>
      </c>
      <c r="Y7" s="1">
        <f>Y4*0.22</f>
        <v>453.33243999999996</v>
      </c>
      <c r="Z7" s="1">
        <f t="shared" ref="Z7" si="20">Z4*0.22</f>
        <v>457.86576439999999</v>
      </c>
      <c r="AA7" s="1">
        <f>AA4*0.2</f>
        <v>420.40402003999998</v>
      </c>
    </row>
    <row r="8" spans="1:181" x14ac:dyDescent="0.35">
      <c r="B8" t="s">
        <v>21</v>
      </c>
      <c r="C8" s="1">
        <v>12.393000000000001</v>
      </c>
      <c r="D8" s="1">
        <v>20.062999999999999</v>
      </c>
      <c r="E8" s="1">
        <v>14.788</v>
      </c>
      <c r="F8" s="1">
        <v>17.843</v>
      </c>
      <c r="G8" s="1">
        <v>19.125</v>
      </c>
      <c r="H8" s="1">
        <v>24.31</v>
      </c>
      <c r="I8" s="1">
        <v>24.253</v>
      </c>
      <c r="J8" s="1">
        <v>27.417000000000002</v>
      </c>
      <c r="K8" s="1">
        <f>G8*1.4</f>
        <v>26.774999999999999</v>
      </c>
      <c r="L8" s="1">
        <f>H8*1.2</f>
        <v>29.171999999999997</v>
      </c>
      <c r="P8" s="1">
        <f>SUM(E8:H8)</f>
        <v>76.066000000000003</v>
      </c>
      <c r="Q8" s="1">
        <f>SUM(I8:L8)</f>
        <v>107.61699999999999</v>
      </c>
      <c r="R8" s="1">
        <f>Q8*1.1</f>
        <v>118.37869999999999</v>
      </c>
      <c r="S8" s="1">
        <f>R8*1.1</f>
        <v>130.21657000000002</v>
      </c>
      <c r="T8" s="1">
        <f>T4*0.22</f>
        <v>220</v>
      </c>
      <c r="U8" s="1">
        <f t="shared" ref="U8:W8" si="21">U4*0.22</f>
        <v>308</v>
      </c>
      <c r="V8" s="1">
        <f t="shared" si="21"/>
        <v>440</v>
      </c>
      <c r="W8" s="1">
        <f t="shared" si="21"/>
        <v>444.4</v>
      </c>
      <c r="X8" s="1">
        <f>X4*0.2</f>
        <v>408.04</v>
      </c>
      <c r="Y8" s="1">
        <f t="shared" ref="Y8:Z8" si="22">Y4*0.2</f>
        <v>412.12040000000002</v>
      </c>
      <c r="Z8" s="1">
        <f t="shared" si="22"/>
        <v>416.24160400000005</v>
      </c>
      <c r="AA8" s="1">
        <f>AA4*0.18</f>
        <v>378.36361803599999</v>
      </c>
    </row>
    <row r="9" spans="1:181" x14ac:dyDescent="0.35">
      <c r="B9" t="s">
        <v>22</v>
      </c>
      <c r="C9" s="1">
        <f t="shared" ref="C9:J9" si="23">SUM(C7:C8)</f>
        <v>51.167999999999999</v>
      </c>
      <c r="D9" s="1">
        <f t="shared" si="23"/>
        <v>65.155000000000001</v>
      </c>
      <c r="E9" s="1">
        <f t="shared" si="23"/>
        <v>58.593999999999994</v>
      </c>
      <c r="F9" s="1">
        <f t="shared" si="23"/>
        <v>70.33</v>
      </c>
      <c r="G9" s="1">
        <f t="shared" si="23"/>
        <v>81.075000000000003</v>
      </c>
      <c r="H9" s="1">
        <f t="shared" si="23"/>
        <v>90.314000000000007</v>
      </c>
      <c r="I9" s="1">
        <f t="shared" si="23"/>
        <v>109.72</v>
      </c>
      <c r="J9" s="1">
        <f t="shared" si="23"/>
        <v>119.907</v>
      </c>
      <c r="K9" s="1">
        <f t="shared" ref="K9:L9" si="24">SUM(K7:K8)</f>
        <v>119.70000000000002</v>
      </c>
      <c r="L9" s="1">
        <f t="shared" si="24"/>
        <v>114.97720000000001</v>
      </c>
      <c r="P9" s="1">
        <f>SUM(P7:P8)</f>
        <v>300.31299999999999</v>
      </c>
      <c r="Q9" s="1">
        <f>SUM(Q7:Q8)</f>
        <v>464.30420000000004</v>
      </c>
      <c r="R9" s="1">
        <f t="shared" ref="R9:V9" si="25">SUM(R7:R8)</f>
        <v>492.90026</v>
      </c>
      <c r="S9" s="1">
        <f t="shared" si="25"/>
        <v>523.4642080000001</v>
      </c>
      <c r="T9" s="1">
        <f t="shared" si="25"/>
        <v>632.91001990000007</v>
      </c>
      <c r="U9" s="1">
        <f t="shared" si="25"/>
        <v>700.26451890500005</v>
      </c>
      <c r="V9" s="1">
        <f t="shared" si="25"/>
        <v>940</v>
      </c>
      <c r="W9" s="1">
        <f t="shared" ref="W9" si="26">SUM(W7:W8)</f>
        <v>949.4</v>
      </c>
      <c r="X9" s="1">
        <f t="shared" ref="X9" si="27">SUM(X7:X8)</f>
        <v>918.09</v>
      </c>
      <c r="Y9" s="1">
        <f t="shared" ref="Y9" si="28">SUM(Y7:Y8)</f>
        <v>865.45283999999992</v>
      </c>
      <c r="Z9" s="1">
        <f t="shared" ref="Z9" si="29">SUM(Z7:Z8)</f>
        <v>874.10736840000004</v>
      </c>
      <c r="AA9" s="1">
        <f t="shared" ref="AA9" si="30">SUM(AA7:AA8)</f>
        <v>798.76763807599991</v>
      </c>
    </row>
    <row r="10" spans="1:181" x14ac:dyDescent="0.35">
      <c r="B10" t="s">
        <v>23</v>
      </c>
      <c r="C10" s="1">
        <f t="shared" ref="C10:J10" si="31">C6-C9</f>
        <v>-51.167999999999999</v>
      </c>
      <c r="D10" s="1">
        <f t="shared" si="31"/>
        <v>-28.191000000000003</v>
      </c>
      <c r="E10" s="1">
        <f t="shared" si="31"/>
        <v>-58.593999999999994</v>
      </c>
      <c r="F10" s="1">
        <f t="shared" si="31"/>
        <v>-65.051999999999992</v>
      </c>
      <c r="G10" s="1">
        <f t="shared" si="31"/>
        <v>-80.994</v>
      </c>
      <c r="H10" s="1">
        <f t="shared" si="31"/>
        <v>-85.036000000000001</v>
      </c>
      <c r="I10" s="1">
        <f t="shared" si="31"/>
        <v>-109.066</v>
      </c>
      <c r="J10" s="1">
        <f t="shared" si="31"/>
        <v>-119.907</v>
      </c>
      <c r="K10" s="1">
        <f t="shared" ref="K10:L10" si="32">K6-K9</f>
        <v>-119.70000000000002</v>
      </c>
      <c r="L10" s="1">
        <f t="shared" si="32"/>
        <v>-114.97720000000001</v>
      </c>
      <c r="P10" s="1">
        <f>P6-P9</f>
        <v>-289.67599999999999</v>
      </c>
      <c r="Q10" s="1">
        <f>Q6-Q9</f>
        <v>-463.65020000000004</v>
      </c>
      <c r="R10" s="1">
        <f t="shared" ref="R10:V10" si="33">R6-R9</f>
        <v>-332.90026</v>
      </c>
      <c r="S10" s="1">
        <f t="shared" si="33"/>
        <v>-43.464208000000099</v>
      </c>
      <c r="T10" s="1">
        <f t="shared" si="33"/>
        <v>167.08998009999993</v>
      </c>
      <c r="U10" s="1">
        <f t="shared" si="33"/>
        <v>419.73548109499995</v>
      </c>
      <c r="V10" s="1">
        <f t="shared" si="33"/>
        <v>700</v>
      </c>
      <c r="W10" s="1">
        <f t="shared" ref="W10" si="34">W6-W9</f>
        <v>707.00000000000011</v>
      </c>
      <c r="X10" s="1">
        <f t="shared" ref="X10" si="35">X6-X9</f>
        <v>754.87399999999991</v>
      </c>
      <c r="Y10" s="1">
        <f t="shared" ref="Y10" si="36">Y6-Y9</f>
        <v>886.0588600000001</v>
      </c>
      <c r="Z10" s="1">
        <f t="shared" ref="Z10" si="37">Z6-Z9</f>
        <v>894.9194485999999</v>
      </c>
      <c r="AA10" s="1">
        <f t="shared" ref="AA10" si="38">AA6-AA9</f>
        <v>987.94944709399988</v>
      </c>
    </row>
    <row r="11" spans="1:181" x14ac:dyDescent="0.35">
      <c r="B11" t="s">
        <v>24</v>
      </c>
      <c r="C11" s="1">
        <f>0.114+0.122</f>
        <v>0.23599999999999999</v>
      </c>
      <c r="D11" s="1">
        <f>0.139+0.123+-0.025</f>
        <v>0.23700000000000002</v>
      </c>
      <c r="E11" s="1">
        <f>0.237+0.139</f>
        <v>0.376</v>
      </c>
      <c r="F11" s="1">
        <f>0.49+0.147</f>
        <v>0.63700000000000001</v>
      </c>
      <c r="G11" s="1">
        <f>3.884+0.147</f>
        <v>4.0309999999999997</v>
      </c>
      <c r="H11" s="1">
        <f>9.567+0.147</f>
        <v>9.7140000000000004</v>
      </c>
      <c r="I11" s="1">
        <f>11.345+0.147</f>
        <v>11.492000000000001</v>
      </c>
      <c r="J11" s="1">
        <f>16.597+0.147</f>
        <v>16.744</v>
      </c>
      <c r="K11" s="1">
        <v>20</v>
      </c>
      <c r="L11" s="1">
        <v>25</v>
      </c>
      <c r="P11" s="1">
        <f>SUM(E11:H11)</f>
        <v>14.757999999999999</v>
      </c>
      <c r="Q11" s="1">
        <f>SUM(I11:L11)</f>
        <v>73.236000000000004</v>
      </c>
      <c r="R11" s="1">
        <f>J29*AD21</f>
        <v>42.621000000000002</v>
      </c>
      <c r="S11" s="1">
        <f>R29*$AD$21</f>
        <v>35.218878870000005</v>
      </c>
      <c r="T11" s="1">
        <f t="shared" ref="T11:AA11" si="39">S29*$AD$21</f>
        <v>35.008622977184999</v>
      </c>
      <c r="U11" s="1">
        <f t="shared" si="39"/>
        <v>40.162137355653208</v>
      </c>
      <c r="V11" s="1">
        <f t="shared" si="39"/>
        <v>51.889526626144871</v>
      </c>
      <c r="W11" s="1">
        <f t="shared" si="39"/>
        <v>71.062709555111567</v>
      </c>
      <c r="X11" s="1">
        <f t="shared" si="39"/>
        <v>90.90330864876691</v>
      </c>
      <c r="Y11" s="1">
        <f t="shared" si="39"/>
        <v>112.47063001931046</v>
      </c>
      <c r="Z11" s="1">
        <f t="shared" si="39"/>
        <v>137.93313201480288</v>
      </c>
      <c r="AA11" s="1">
        <f t="shared" si="39"/>
        <v>164.27087282048035</v>
      </c>
    </row>
    <row r="12" spans="1:181" x14ac:dyDescent="0.35">
      <c r="B12" t="s">
        <v>25</v>
      </c>
      <c r="C12" s="1">
        <f t="shared" ref="C12:J12" si="40">C10+C11</f>
        <v>-50.932000000000002</v>
      </c>
      <c r="D12" s="1">
        <f t="shared" si="40"/>
        <v>-27.954000000000004</v>
      </c>
      <c r="E12" s="1">
        <f t="shared" si="40"/>
        <v>-58.217999999999996</v>
      </c>
      <c r="F12" s="1">
        <f t="shared" si="40"/>
        <v>-64.414999999999992</v>
      </c>
      <c r="G12" s="1">
        <f t="shared" si="40"/>
        <v>-76.962999999999994</v>
      </c>
      <c r="H12" s="1">
        <f t="shared" si="40"/>
        <v>-75.322000000000003</v>
      </c>
      <c r="I12" s="1">
        <f t="shared" si="40"/>
        <v>-97.573999999999998</v>
      </c>
      <c r="J12" s="1">
        <f t="shared" si="40"/>
        <v>-103.163</v>
      </c>
      <c r="K12" s="1">
        <f t="shared" ref="K12:L12" si="41">K10+K11</f>
        <v>-99.700000000000017</v>
      </c>
      <c r="L12" s="1">
        <f t="shared" si="41"/>
        <v>-89.977200000000011</v>
      </c>
      <c r="P12" s="1">
        <f>P10+P11</f>
        <v>-274.91800000000001</v>
      </c>
      <c r="Q12" s="1">
        <f>Q10+Q11</f>
        <v>-390.41420000000005</v>
      </c>
      <c r="R12" s="1">
        <f>R10+R11</f>
        <v>-290.27926000000002</v>
      </c>
      <c r="S12" s="1">
        <f t="shared" ref="S12:AA12" si="42">S10+S11</f>
        <v>-8.2453291300000942</v>
      </c>
      <c r="T12" s="1">
        <f t="shared" si="42"/>
        <v>202.09860307718492</v>
      </c>
      <c r="U12" s="1">
        <f t="shared" si="42"/>
        <v>459.89761845065317</v>
      </c>
      <c r="V12" s="1">
        <f t="shared" si="42"/>
        <v>751.88952662614486</v>
      </c>
      <c r="W12" s="1">
        <f t="shared" si="42"/>
        <v>778.06270955511172</v>
      </c>
      <c r="X12" s="1">
        <f t="shared" si="42"/>
        <v>845.77730864876685</v>
      </c>
      <c r="Y12" s="1">
        <f t="shared" si="42"/>
        <v>998.52949001931051</v>
      </c>
      <c r="Z12" s="1">
        <f t="shared" si="42"/>
        <v>1032.8525806148027</v>
      </c>
      <c r="AA12" s="1">
        <f t="shared" si="42"/>
        <v>1152.2203199144801</v>
      </c>
    </row>
    <row r="13" spans="1:181" x14ac:dyDescent="0.35">
      <c r="B13" t="s">
        <v>26</v>
      </c>
      <c r="C13" s="1">
        <v>0</v>
      </c>
      <c r="D13" s="1">
        <v>6.0000000000000001E-3</v>
      </c>
      <c r="E13" s="1">
        <v>0</v>
      </c>
      <c r="F13" s="1">
        <v>0.52800000000000002</v>
      </c>
      <c r="G13" s="1">
        <v>0</v>
      </c>
      <c r="H13" s="1">
        <v>0.89</v>
      </c>
      <c r="I13" s="1">
        <v>0</v>
      </c>
      <c r="J13" s="1">
        <v>0</v>
      </c>
      <c r="K13" s="1">
        <v>0</v>
      </c>
      <c r="L13" s="1">
        <v>0</v>
      </c>
      <c r="P13" s="1">
        <f>SUM(E13:H13)</f>
        <v>1.4180000000000001</v>
      </c>
      <c r="Q13" s="1">
        <f>SUM(I13:L13)</f>
        <v>0</v>
      </c>
      <c r="R13" s="1">
        <f>R12*0.15</f>
        <v>-43.541889000000005</v>
      </c>
      <c r="S13" s="1">
        <f t="shared" ref="S13:V13" si="43">S12*0.15</f>
        <v>-1.2367993695000141</v>
      </c>
      <c r="T13" s="1">
        <f t="shared" si="43"/>
        <v>30.314790461577736</v>
      </c>
      <c r="U13" s="1">
        <f t="shared" si="43"/>
        <v>68.984642767597975</v>
      </c>
      <c r="V13" s="1">
        <f t="shared" si="43"/>
        <v>112.78342899392173</v>
      </c>
      <c r="W13" s="1">
        <f t="shared" ref="W13" si="44">W12*0.15</f>
        <v>116.70940643326675</v>
      </c>
      <c r="X13" s="1">
        <f t="shared" ref="X13" si="45">X12*0.15</f>
        <v>126.86659629731503</v>
      </c>
      <c r="Y13" s="1">
        <f t="shared" ref="Y13" si="46">Y12*0.15</f>
        <v>149.77942350289658</v>
      </c>
      <c r="Z13" s="1">
        <f t="shared" ref="Z13" si="47">Z12*0.15</f>
        <v>154.9278870922204</v>
      </c>
      <c r="AA13" s="1">
        <f t="shared" ref="AA13" si="48">AA12*0.15</f>
        <v>172.83304798717202</v>
      </c>
    </row>
    <row r="14" spans="1:181" s="7" customFormat="1" x14ac:dyDescent="0.35">
      <c r="A14" s="6"/>
      <c r="B14" s="6" t="s">
        <v>27</v>
      </c>
      <c r="C14" s="7">
        <f t="shared" ref="C14:J14" si="49">C12-C13</f>
        <v>-50.932000000000002</v>
      </c>
      <c r="D14" s="7">
        <f t="shared" si="49"/>
        <v>-27.960000000000004</v>
      </c>
      <c r="E14" s="7">
        <f t="shared" si="49"/>
        <v>-58.217999999999996</v>
      </c>
      <c r="F14" s="7">
        <f t="shared" si="49"/>
        <v>-64.942999999999998</v>
      </c>
      <c r="G14" s="7">
        <f t="shared" si="49"/>
        <v>-76.962999999999994</v>
      </c>
      <c r="H14" s="7">
        <f t="shared" si="49"/>
        <v>-76.212000000000003</v>
      </c>
      <c r="I14" s="7">
        <f t="shared" si="49"/>
        <v>-97.573999999999998</v>
      </c>
      <c r="J14" s="7">
        <f t="shared" si="49"/>
        <v>-103.163</v>
      </c>
      <c r="K14" s="7">
        <f t="shared" ref="K14:L14" si="50">K12-K13</f>
        <v>-99.700000000000017</v>
      </c>
      <c r="L14" s="7">
        <f t="shared" si="50"/>
        <v>-89.977200000000011</v>
      </c>
      <c r="P14" s="7">
        <f>P12-P13</f>
        <v>-276.33600000000001</v>
      </c>
      <c r="Q14" s="7">
        <f>Q12-Q13</f>
        <v>-390.41420000000005</v>
      </c>
      <c r="R14" s="7">
        <f t="shared" ref="R14:V14" si="51">R12-R13</f>
        <v>-246.73737100000002</v>
      </c>
      <c r="S14" s="7">
        <f t="shared" si="51"/>
        <v>-7.00852976050008</v>
      </c>
      <c r="T14" s="7">
        <f t="shared" si="51"/>
        <v>171.78381261560719</v>
      </c>
      <c r="U14" s="7">
        <f t="shared" si="51"/>
        <v>390.91297568305521</v>
      </c>
      <c r="V14" s="7">
        <f t="shared" si="51"/>
        <v>639.10609763222317</v>
      </c>
      <c r="W14" s="7">
        <f t="shared" ref="W14" si="52">W12-W13</f>
        <v>661.35330312184499</v>
      </c>
      <c r="X14" s="7">
        <f t="shared" ref="X14" si="53">X12-X13</f>
        <v>718.91071235145182</v>
      </c>
      <c r="Y14" s="7">
        <f t="shared" ref="Y14" si="54">Y12-Y13</f>
        <v>848.75006651641388</v>
      </c>
      <c r="Z14" s="7">
        <f t="shared" ref="Z14" si="55">Z12-Z13</f>
        <v>877.92469352258229</v>
      </c>
      <c r="AA14" s="7">
        <f t="shared" ref="AA14" si="56">AA12-AA13</f>
        <v>979.38727192730812</v>
      </c>
      <c r="AB14" s="7">
        <f>AA14*(1+$AD$22)</f>
        <v>969.59339920803507</v>
      </c>
      <c r="AC14" s="7">
        <f t="shared" ref="AC14:CN14" si="57">AB14*(1+$AD$22)</f>
        <v>959.89746521595475</v>
      </c>
      <c r="AD14" s="7">
        <f t="shared" si="57"/>
        <v>950.29849056379521</v>
      </c>
      <c r="AE14" s="7">
        <f t="shared" si="57"/>
        <v>940.79550565815725</v>
      </c>
      <c r="AF14" s="7">
        <f t="shared" si="57"/>
        <v>931.38755060157564</v>
      </c>
      <c r="AG14" s="7">
        <f t="shared" si="57"/>
        <v>922.07367509555991</v>
      </c>
      <c r="AH14" s="7">
        <f t="shared" si="57"/>
        <v>912.85293834460435</v>
      </c>
      <c r="AI14" s="7">
        <f t="shared" si="57"/>
        <v>903.72440896115825</v>
      </c>
      <c r="AJ14" s="7">
        <f t="shared" si="57"/>
        <v>894.68716487154666</v>
      </c>
      <c r="AK14" s="7">
        <f t="shared" si="57"/>
        <v>885.74029322283116</v>
      </c>
      <c r="AL14" s="7">
        <f t="shared" si="57"/>
        <v>876.88289029060286</v>
      </c>
      <c r="AM14" s="7">
        <f t="shared" si="57"/>
        <v>868.11406138769678</v>
      </c>
      <c r="AN14" s="7">
        <f t="shared" si="57"/>
        <v>859.43292077381977</v>
      </c>
      <c r="AO14" s="7">
        <f t="shared" si="57"/>
        <v>850.83859156608162</v>
      </c>
      <c r="AP14" s="7">
        <f t="shared" si="57"/>
        <v>842.33020565042079</v>
      </c>
      <c r="AQ14" s="7">
        <f t="shared" si="57"/>
        <v>833.90690359391658</v>
      </c>
      <c r="AR14" s="7">
        <f t="shared" si="57"/>
        <v>825.56783455797745</v>
      </c>
      <c r="AS14" s="7">
        <f t="shared" si="57"/>
        <v>817.31215621239767</v>
      </c>
      <c r="AT14" s="7">
        <f t="shared" si="57"/>
        <v>809.13903465027363</v>
      </c>
      <c r="AU14" s="7">
        <f t="shared" si="57"/>
        <v>801.04764430377088</v>
      </c>
      <c r="AV14" s="7">
        <f t="shared" si="57"/>
        <v>793.03716786073312</v>
      </c>
      <c r="AW14" s="7">
        <f t="shared" si="57"/>
        <v>785.10679618212578</v>
      </c>
      <c r="AX14" s="7">
        <f t="shared" si="57"/>
        <v>777.25572822030449</v>
      </c>
      <c r="AY14" s="7">
        <f t="shared" si="57"/>
        <v>769.48317093810147</v>
      </c>
      <c r="AZ14" s="7">
        <f t="shared" si="57"/>
        <v>761.78833922872047</v>
      </c>
      <c r="BA14" s="7">
        <f t="shared" si="57"/>
        <v>754.17045583643323</v>
      </c>
      <c r="BB14" s="7">
        <f t="shared" si="57"/>
        <v>746.62875127806888</v>
      </c>
      <c r="BC14" s="7">
        <f t="shared" si="57"/>
        <v>739.16246376528818</v>
      </c>
      <c r="BD14" s="7">
        <f t="shared" si="57"/>
        <v>731.77083912763533</v>
      </c>
      <c r="BE14" s="7">
        <f t="shared" si="57"/>
        <v>724.45313073635896</v>
      </c>
      <c r="BF14" s="7">
        <f t="shared" si="57"/>
        <v>717.2085994289954</v>
      </c>
      <c r="BG14" s="7">
        <f t="shared" si="57"/>
        <v>710.0365134347054</v>
      </c>
      <c r="BH14" s="7">
        <f t="shared" si="57"/>
        <v>702.93614830035835</v>
      </c>
      <c r="BI14" s="7">
        <f t="shared" si="57"/>
        <v>695.90678681735471</v>
      </c>
      <c r="BJ14" s="7">
        <f t="shared" si="57"/>
        <v>688.94771894918119</v>
      </c>
      <c r="BK14" s="7">
        <f t="shared" si="57"/>
        <v>682.05824175968939</v>
      </c>
      <c r="BL14" s="7">
        <f t="shared" si="57"/>
        <v>675.23765934209246</v>
      </c>
      <c r="BM14" s="7">
        <f t="shared" si="57"/>
        <v>668.48528274867158</v>
      </c>
      <c r="BN14" s="7">
        <f t="shared" si="57"/>
        <v>661.8004299211849</v>
      </c>
      <c r="BO14" s="7">
        <f t="shared" si="57"/>
        <v>655.18242562197304</v>
      </c>
      <c r="BP14" s="7">
        <f t="shared" si="57"/>
        <v>648.63060136575325</v>
      </c>
      <c r="BQ14" s="7">
        <f t="shared" si="57"/>
        <v>642.1442953520957</v>
      </c>
      <c r="BR14" s="7">
        <f t="shared" si="57"/>
        <v>635.72285239857479</v>
      </c>
      <c r="BS14" s="7">
        <f t="shared" si="57"/>
        <v>629.36562387458901</v>
      </c>
      <c r="BT14" s="7">
        <f t="shared" si="57"/>
        <v>623.07196763584307</v>
      </c>
      <c r="BU14" s="7">
        <f t="shared" si="57"/>
        <v>616.84124795948458</v>
      </c>
      <c r="BV14" s="7">
        <f t="shared" si="57"/>
        <v>610.67283547988973</v>
      </c>
      <c r="BW14" s="7">
        <f t="shared" si="57"/>
        <v>604.56610712509087</v>
      </c>
      <c r="BX14" s="7">
        <f t="shared" si="57"/>
        <v>598.52044605383992</v>
      </c>
      <c r="BY14" s="7">
        <f t="shared" si="57"/>
        <v>592.53524159330152</v>
      </c>
      <c r="BZ14" s="7">
        <f t="shared" si="57"/>
        <v>586.60988917736847</v>
      </c>
      <c r="CA14" s="7">
        <f t="shared" si="57"/>
        <v>580.74379028559474</v>
      </c>
      <c r="CB14" s="7">
        <f t="shared" si="57"/>
        <v>574.93635238273873</v>
      </c>
      <c r="CC14" s="7">
        <f t="shared" si="57"/>
        <v>569.18698885891138</v>
      </c>
      <c r="CD14" s="7">
        <f t="shared" si="57"/>
        <v>563.49511897032221</v>
      </c>
      <c r="CE14" s="7">
        <f t="shared" si="57"/>
        <v>557.86016778061901</v>
      </c>
      <c r="CF14" s="7">
        <f t="shared" si="57"/>
        <v>552.2815661028128</v>
      </c>
      <c r="CG14" s="7">
        <f t="shared" si="57"/>
        <v>546.75875044178463</v>
      </c>
      <c r="CH14" s="7">
        <f t="shared" si="57"/>
        <v>541.29116293736672</v>
      </c>
      <c r="CI14" s="7">
        <f t="shared" si="57"/>
        <v>535.87825130799308</v>
      </c>
      <c r="CJ14" s="7">
        <f t="shared" si="57"/>
        <v>530.51946879491311</v>
      </c>
      <c r="CK14" s="7">
        <f t="shared" si="57"/>
        <v>525.21427410696401</v>
      </c>
      <c r="CL14" s="7">
        <f t="shared" si="57"/>
        <v>519.96213136589438</v>
      </c>
      <c r="CM14" s="7">
        <f t="shared" si="57"/>
        <v>514.76251005223548</v>
      </c>
      <c r="CN14" s="7">
        <f t="shared" si="57"/>
        <v>509.61488495171312</v>
      </c>
      <c r="CO14" s="7">
        <f t="shared" ref="CO14:EZ14" si="58">CN14*(1+$AD$22)</f>
        <v>504.51873610219599</v>
      </c>
      <c r="CP14" s="7">
        <f t="shared" si="58"/>
        <v>499.473548741174</v>
      </c>
      <c r="CQ14" s="7">
        <f t="shared" si="58"/>
        <v>494.47881325376227</v>
      </c>
      <c r="CR14" s="7">
        <f t="shared" si="58"/>
        <v>489.53402512122466</v>
      </c>
      <c r="CS14" s="7">
        <f t="shared" si="58"/>
        <v>484.63868487001241</v>
      </c>
      <c r="CT14" s="7">
        <f t="shared" si="58"/>
        <v>479.79229802131226</v>
      </c>
      <c r="CU14" s="7">
        <f t="shared" si="58"/>
        <v>474.99437504109915</v>
      </c>
      <c r="CV14" s="7">
        <f t="shared" si="58"/>
        <v>470.24443129068817</v>
      </c>
      <c r="CW14" s="7">
        <f t="shared" si="58"/>
        <v>465.54198697778128</v>
      </c>
      <c r="CX14" s="7">
        <f t="shared" si="58"/>
        <v>460.88656710800348</v>
      </c>
      <c r="CY14" s="7">
        <f t="shared" si="58"/>
        <v>456.27770143692345</v>
      </c>
      <c r="CZ14" s="7">
        <f t="shared" si="58"/>
        <v>451.71492442255419</v>
      </c>
      <c r="DA14" s="7">
        <f t="shared" si="58"/>
        <v>447.19777517832864</v>
      </c>
      <c r="DB14" s="7">
        <f t="shared" si="58"/>
        <v>442.72579742654534</v>
      </c>
      <c r="DC14" s="7">
        <f t="shared" si="58"/>
        <v>438.2985394522799</v>
      </c>
      <c r="DD14" s="7">
        <f t="shared" si="58"/>
        <v>433.91555405775711</v>
      </c>
      <c r="DE14" s="7">
        <f t="shared" si="58"/>
        <v>429.57639851717954</v>
      </c>
      <c r="DF14" s="7">
        <f t="shared" si="58"/>
        <v>425.28063453200775</v>
      </c>
      <c r="DG14" s="7">
        <f t="shared" si="58"/>
        <v>421.02782818668766</v>
      </c>
      <c r="DH14" s="7">
        <f t="shared" si="58"/>
        <v>416.81754990482079</v>
      </c>
      <c r="DI14" s="7">
        <f t="shared" si="58"/>
        <v>412.64937440577256</v>
      </c>
      <c r="DJ14" s="7">
        <f t="shared" si="58"/>
        <v>408.52288066171485</v>
      </c>
      <c r="DK14" s="7">
        <f t="shared" si="58"/>
        <v>404.43765185509773</v>
      </c>
      <c r="DL14" s="7">
        <f t="shared" si="58"/>
        <v>400.39327533654676</v>
      </c>
      <c r="DM14" s="7">
        <f t="shared" si="58"/>
        <v>396.3893425831813</v>
      </c>
      <c r="DN14" s="7">
        <f t="shared" si="58"/>
        <v>392.42544915734948</v>
      </c>
      <c r="DO14" s="7">
        <f t="shared" si="58"/>
        <v>388.50119466577598</v>
      </c>
      <c r="DP14" s="7">
        <f t="shared" si="58"/>
        <v>384.61618271911823</v>
      </c>
      <c r="DQ14" s="7">
        <f t="shared" si="58"/>
        <v>380.77002089192706</v>
      </c>
      <c r="DR14" s="7">
        <f t="shared" si="58"/>
        <v>376.96232068300776</v>
      </c>
      <c r="DS14" s="7">
        <f t="shared" si="58"/>
        <v>373.19269747617767</v>
      </c>
      <c r="DT14" s="7">
        <f t="shared" si="58"/>
        <v>369.46077050141588</v>
      </c>
      <c r="DU14" s="7">
        <f t="shared" si="58"/>
        <v>365.76616279640172</v>
      </c>
      <c r="DV14" s="7">
        <f t="shared" si="58"/>
        <v>362.10850116843767</v>
      </c>
      <c r="DW14" s="7">
        <f t="shared" si="58"/>
        <v>358.48741615675328</v>
      </c>
      <c r="DX14" s="7">
        <f t="shared" si="58"/>
        <v>354.90254199518574</v>
      </c>
      <c r="DY14" s="7">
        <f t="shared" si="58"/>
        <v>351.35351657523387</v>
      </c>
      <c r="DZ14" s="7">
        <f t="shared" si="58"/>
        <v>347.83998140948154</v>
      </c>
      <c r="EA14" s="7">
        <f t="shared" si="58"/>
        <v>344.36158159538672</v>
      </c>
      <c r="EB14" s="7">
        <f t="shared" si="58"/>
        <v>340.91796577943285</v>
      </c>
      <c r="EC14" s="7">
        <f t="shared" si="58"/>
        <v>337.50878612163854</v>
      </c>
      <c r="ED14" s="7">
        <f t="shared" si="58"/>
        <v>334.13369826042214</v>
      </c>
      <c r="EE14" s="7">
        <f t="shared" si="58"/>
        <v>330.79236127781792</v>
      </c>
      <c r="EF14" s="7">
        <f t="shared" si="58"/>
        <v>327.48443766503976</v>
      </c>
      <c r="EG14" s="7">
        <f t="shared" si="58"/>
        <v>324.20959328838939</v>
      </c>
      <c r="EH14" s="7">
        <f t="shared" si="58"/>
        <v>320.96749735550549</v>
      </c>
      <c r="EI14" s="7">
        <f t="shared" si="58"/>
        <v>317.7578223819504</v>
      </c>
      <c r="EJ14" s="7">
        <f t="shared" si="58"/>
        <v>314.58024415813088</v>
      </c>
      <c r="EK14" s="7">
        <f t="shared" si="58"/>
        <v>311.43444171654954</v>
      </c>
      <c r="EL14" s="7">
        <f t="shared" si="58"/>
        <v>308.32009729938403</v>
      </c>
      <c r="EM14" s="7">
        <f t="shared" si="58"/>
        <v>305.23689632639019</v>
      </c>
      <c r="EN14" s="7">
        <f t="shared" si="58"/>
        <v>302.18452736312628</v>
      </c>
      <c r="EO14" s="7">
        <f t="shared" si="58"/>
        <v>299.16268208949504</v>
      </c>
      <c r="EP14" s="7">
        <f t="shared" si="58"/>
        <v>296.17105526860007</v>
      </c>
      <c r="EQ14" s="7">
        <f t="shared" si="58"/>
        <v>293.20934471591409</v>
      </c>
      <c r="ER14" s="7">
        <f t="shared" si="58"/>
        <v>290.27725126875492</v>
      </c>
      <c r="ES14" s="7">
        <f t="shared" si="58"/>
        <v>287.37447875606739</v>
      </c>
      <c r="ET14" s="7">
        <f t="shared" si="58"/>
        <v>284.50073396850672</v>
      </c>
      <c r="EU14" s="7">
        <f t="shared" si="58"/>
        <v>281.65572662882164</v>
      </c>
      <c r="EV14" s="7">
        <f t="shared" si="58"/>
        <v>278.83916936253343</v>
      </c>
      <c r="EW14" s="7">
        <f t="shared" si="58"/>
        <v>276.0507776689081</v>
      </c>
      <c r="EX14" s="7">
        <f t="shared" si="58"/>
        <v>273.29026989221899</v>
      </c>
      <c r="EY14" s="7">
        <f t="shared" si="58"/>
        <v>270.55736719329678</v>
      </c>
      <c r="EZ14" s="7">
        <f t="shared" si="58"/>
        <v>267.85179352136379</v>
      </c>
      <c r="FA14" s="7">
        <f t="shared" ref="FA14:FY14" si="59">EZ14*(1+$AD$22)</f>
        <v>265.17327558615017</v>
      </c>
      <c r="FB14" s="7">
        <f t="shared" si="59"/>
        <v>262.52154283028864</v>
      </c>
      <c r="FC14" s="7">
        <f t="shared" si="59"/>
        <v>259.89632740198573</v>
      </c>
      <c r="FD14" s="7">
        <f t="shared" si="59"/>
        <v>257.29736412796586</v>
      </c>
      <c r="FE14" s="7">
        <f t="shared" si="59"/>
        <v>254.72439048668619</v>
      </c>
      <c r="FF14" s="7">
        <f t="shared" si="59"/>
        <v>252.17714658181933</v>
      </c>
      <c r="FG14" s="7">
        <f t="shared" si="59"/>
        <v>249.65537511600112</v>
      </c>
      <c r="FH14" s="7">
        <f t="shared" si="59"/>
        <v>247.15882136484112</v>
      </c>
      <c r="FI14" s="7">
        <f t="shared" si="59"/>
        <v>244.68723315119271</v>
      </c>
      <c r="FJ14" s="7">
        <f t="shared" si="59"/>
        <v>242.24036081968077</v>
      </c>
      <c r="FK14" s="7">
        <f t="shared" si="59"/>
        <v>239.81795721148396</v>
      </c>
      <c r="FL14" s="7">
        <f t="shared" si="59"/>
        <v>237.4197776393691</v>
      </c>
      <c r="FM14" s="7">
        <f t="shared" si="59"/>
        <v>235.04557986297542</v>
      </c>
      <c r="FN14" s="7">
        <f t="shared" si="59"/>
        <v>232.69512406434566</v>
      </c>
      <c r="FO14" s="7">
        <f t="shared" si="59"/>
        <v>230.3681728237022</v>
      </c>
      <c r="FP14" s="7">
        <f t="shared" si="59"/>
        <v>228.06449109546517</v>
      </c>
      <c r="FQ14" s="7">
        <f t="shared" si="59"/>
        <v>225.78384618451051</v>
      </c>
      <c r="FR14" s="7">
        <f t="shared" si="59"/>
        <v>223.52600772266541</v>
      </c>
      <c r="FS14" s="7">
        <f t="shared" si="59"/>
        <v>221.29074764543876</v>
      </c>
      <c r="FT14" s="7">
        <f t="shared" si="59"/>
        <v>219.07784016898438</v>
      </c>
      <c r="FU14" s="7">
        <f t="shared" si="59"/>
        <v>216.88706176729454</v>
      </c>
      <c r="FV14" s="7">
        <f t="shared" si="59"/>
        <v>214.71819114962159</v>
      </c>
      <c r="FW14" s="7">
        <f t="shared" si="59"/>
        <v>212.57100923812538</v>
      </c>
      <c r="FX14" s="7">
        <f t="shared" si="59"/>
        <v>210.44529914574412</v>
      </c>
      <c r="FY14" s="7">
        <f t="shared" si="59"/>
        <v>208.34084615428668</v>
      </c>
    </row>
    <row r="15" spans="1:181" x14ac:dyDescent="0.35">
      <c r="B15" t="s">
        <v>28</v>
      </c>
      <c r="C15" s="1">
        <f t="shared" ref="C15:J15" si="60">C14/C16</f>
        <v>-1.7222880514930718</v>
      </c>
      <c r="D15" s="1">
        <f t="shared" si="60"/>
        <v>-0.94177379118988824</v>
      </c>
      <c r="E15" s="1">
        <f t="shared" si="60"/>
        <v>-1.9532334488393108</v>
      </c>
      <c r="F15" s="1">
        <f t="shared" si="60"/>
        <v>-2.1722731738462095</v>
      </c>
      <c r="G15" s="1">
        <f t="shared" si="60"/>
        <v>-2.3791380232983834</v>
      </c>
      <c r="H15" s="1">
        <f t="shared" si="60"/>
        <v>-2.2150670481252468</v>
      </c>
      <c r="I15" s="1">
        <f t="shared" si="60"/>
        <v>-2.8037987688905632</v>
      </c>
      <c r="J15" s="1">
        <f t="shared" si="60"/>
        <v>-2.7492069211057055</v>
      </c>
      <c r="P15" s="3">
        <f>P14/P16</f>
        <v>-9.2914752489928834</v>
      </c>
      <c r="Q15" s="3">
        <f>Q14/Q16</f>
        <v>-10.404209074357544</v>
      </c>
    </row>
    <row r="16" spans="1:181" x14ac:dyDescent="0.35">
      <c r="B16" t="s">
        <v>29</v>
      </c>
      <c r="C16" s="1">
        <v>29.572289000000001</v>
      </c>
      <c r="D16" s="1">
        <v>29.688658</v>
      </c>
      <c r="E16" s="1">
        <v>29.805961</v>
      </c>
      <c r="F16" s="1">
        <v>29.896332000000001</v>
      </c>
      <c r="G16" s="1">
        <v>32.349111000000001</v>
      </c>
      <c r="H16" s="1">
        <v>34.406182000000001</v>
      </c>
      <c r="I16" s="1">
        <v>34.800643000000001</v>
      </c>
      <c r="J16" s="1">
        <v>37.524639999999998</v>
      </c>
      <c r="P16" s="1">
        <f>AVERAGE(C16:F16)</f>
        <v>29.74081</v>
      </c>
      <c r="Q16" s="1">
        <f>J16</f>
        <v>37.524639999999998</v>
      </c>
    </row>
    <row r="18" spans="1:31" x14ac:dyDescent="0.35">
      <c r="B18" t="s">
        <v>65</v>
      </c>
      <c r="D18" s="4">
        <f t="shared" ref="D18:I18" si="61">(D7-C7)/C7</f>
        <v>0.1629142488716957</v>
      </c>
      <c r="E18" s="4">
        <f t="shared" si="61"/>
        <v>-2.8519471303113664E-2</v>
      </c>
      <c r="F18" s="4">
        <f t="shared" si="61"/>
        <v>0.1981692005661326</v>
      </c>
      <c r="G18" s="4">
        <f t="shared" si="61"/>
        <v>0.18029226284603808</v>
      </c>
      <c r="H18" s="4">
        <f t="shared" si="61"/>
        <v>6.5439870863599703E-2</v>
      </c>
      <c r="I18" s="4">
        <f t="shared" si="61"/>
        <v>0.29487606811708372</v>
      </c>
      <c r="J18" s="4">
        <f>(J7-I7)/I7</f>
        <v>8.2172066411597411E-2</v>
      </c>
      <c r="K18" s="4">
        <f t="shared" ref="K18:L18" si="62">(K7-J7)/J7</f>
        <v>4.7032111579632012E-3</v>
      </c>
      <c r="L18" s="4">
        <f t="shared" si="62"/>
        <v>-7.6618778584880254E-2</v>
      </c>
    </row>
    <row r="19" spans="1:31" x14ac:dyDescent="0.35">
      <c r="B19" t="s">
        <v>66</v>
      </c>
      <c r="D19" s="4">
        <f t="shared" ref="D19:I19" si="63">(D8-C8)/C8</f>
        <v>0.61889776486726356</v>
      </c>
      <c r="E19" s="4">
        <f t="shared" si="63"/>
        <v>-0.26292179634152413</v>
      </c>
      <c r="F19" s="4">
        <f t="shared" si="63"/>
        <v>0.2065864214227752</v>
      </c>
      <c r="G19" s="4">
        <f t="shared" si="63"/>
        <v>7.1848904332231123E-2</v>
      </c>
      <c r="H19" s="4">
        <f t="shared" si="63"/>
        <v>0.27111111111111103</v>
      </c>
      <c r="I19" s="4">
        <f t="shared" si="63"/>
        <v>-2.3447141094199344E-3</v>
      </c>
      <c r="J19" s="4">
        <f>(J8-I8)/I8</f>
        <v>0.1304580876592587</v>
      </c>
      <c r="K19" s="4">
        <f t="shared" ref="K19:L19" si="64">(K8-J8)/J8</f>
        <v>-2.3416128679286684E-2</v>
      </c>
      <c r="L19" s="4">
        <f t="shared" si="64"/>
        <v>8.9523809523809478E-2</v>
      </c>
    </row>
    <row r="20" spans="1:31" x14ac:dyDescent="0.35">
      <c r="B20" t="s">
        <v>61</v>
      </c>
      <c r="S20" s="4">
        <f>(S3-R3)/R3</f>
        <v>2</v>
      </c>
      <c r="T20" s="4">
        <f t="shared" ref="T20:AA20" si="65">(T3-S3)/S3</f>
        <v>0.66666666666666663</v>
      </c>
      <c r="U20" s="4">
        <f t="shared" si="65"/>
        <v>0.4</v>
      </c>
      <c r="V20" s="4">
        <f t="shared" si="65"/>
        <v>0.42857142857142855</v>
      </c>
      <c r="W20" s="4">
        <f t="shared" si="65"/>
        <v>0.01</v>
      </c>
      <c r="X20" s="4">
        <f t="shared" si="65"/>
        <v>1.0000000000000023E-2</v>
      </c>
      <c r="Y20" s="4">
        <f t="shared" si="65"/>
        <v>9.99999999999991E-3</v>
      </c>
      <c r="Z20" s="4">
        <f t="shared" si="65"/>
        <v>1.0000000000000083E-2</v>
      </c>
      <c r="AA20" s="4">
        <f t="shared" si="65"/>
        <v>9.9999999999999308E-3</v>
      </c>
    </row>
    <row r="21" spans="1:31" x14ac:dyDescent="0.35">
      <c r="B21" t="s">
        <v>31</v>
      </c>
      <c r="G21" s="4">
        <f>(G7-C7)/C7</f>
        <v>0.59767891682785312</v>
      </c>
      <c r="H21" s="4">
        <f>(H7-D7)/D7</f>
        <v>0.46376297347644829</v>
      </c>
      <c r="I21" s="4">
        <f>(I7-E7)/E7</f>
        <v>0.95103410491713469</v>
      </c>
      <c r="J21" s="4">
        <f>(J7-F7)/F7</f>
        <v>0.76215062777449638</v>
      </c>
      <c r="K21" s="4">
        <f t="shared" ref="K21:L21" si="66">(K7-G7)/G7</f>
        <v>0.50000000000000011</v>
      </c>
      <c r="L21" s="4">
        <f t="shared" si="66"/>
        <v>0.3000000000000001</v>
      </c>
      <c r="Q21" s="4">
        <f>(Q7-P7)/P7</f>
        <v>0.59059965127738612</v>
      </c>
      <c r="R21" s="4">
        <f t="shared" ref="R21:AA21" si="67">(R7-Q7)/Q7</f>
        <v>5.000000000000001E-2</v>
      </c>
      <c r="S21" s="4">
        <f t="shared" si="67"/>
        <v>5.0000000000000079E-2</v>
      </c>
      <c r="T21" s="4">
        <f t="shared" si="67"/>
        <v>5.0000000000000031E-2</v>
      </c>
      <c r="U21" s="4">
        <f t="shared" si="67"/>
        <v>-5.0000000000000044E-2</v>
      </c>
      <c r="V21" s="4">
        <f t="shared" si="67"/>
        <v>0.2746500789715618</v>
      </c>
      <c r="W21" s="4">
        <f t="shared" si="67"/>
        <v>0.01</v>
      </c>
      <c r="X21" s="4">
        <f t="shared" si="67"/>
        <v>1.0000000000000023E-2</v>
      </c>
      <c r="Y21" s="4">
        <f t="shared" si="67"/>
        <v>-0.11120000000000009</v>
      </c>
      <c r="Z21" s="4">
        <f t="shared" si="67"/>
        <v>1.0000000000000059E-2</v>
      </c>
      <c r="AA21" s="4">
        <f t="shared" si="67"/>
        <v>-8.1818181818181845E-2</v>
      </c>
      <c r="AC21" s="1" t="s">
        <v>51</v>
      </c>
      <c r="AD21" s="4">
        <v>0.03</v>
      </c>
    </row>
    <row r="22" spans="1:31" x14ac:dyDescent="0.35">
      <c r="B22" t="s">
        <v>32</v>
      </c>
      <c r="G22" s="4">
        <f t="shared" ref="G22:I22" si="68">(G8-C8)/C8</f>
        <v>0.54320987654320985</v>
      </c>
      <c r="H22" s="4">
        <f t="shared" si="68"/>
        <v>0.21168319792653142</v>
      </c>
      <c r="I22" s="4">
        <f t="shared" si="68"/>
        <v>0.64004598322964568</v>
      </c>
      <c r="J22" s="4">
        <f>(J8-F8)/F8</f>
        <v>0.53656896261839382</v>
      </c>
      <c r="K22" s="4">
        <f t="shared" ref="K22:L22" si="69">(K8-G8)/G8</f>
        <v>0.39999999999999991</v>
      </c>
      <c r="L22" s="4">
        <f t="shared" si="69"/>
        <v>0.19999999999999993</v>
      </c>
      <c r="Q22" s="4">
        <f>(Q8-P8)/P8</f>
        <v>0.41478452922462056</v>
      </c>
      <c r="R22" s="4">
        <f t="shared" ref="R22:AA22" si="70">(R8-Q8)/Q8</f>
        <v>0.10000000000000005</v>
      </c>
      <c r="S22" s="4">
        <f t="shared" si="70"/>
        <v>0.1000000000000002</v>
      </c>
      <c r="T22" s="4">
        <f t="shared" si="70"/>
        <v>0.68949312671958696</v>
      </c>
      <c r="U22" s="4">
        <f t="shared" si="70"/>
        <v>0.4</v>
      </c>
      <c r="V22" s="4">
        <f t="shared" si="70"/>
        <v>0.42857142857142855</v>
      </c>
      <c r="W22" s="4">
        <f t="shared" si="70"/>
        <v>9.9999999999999482E-3</v>
      </c>
      <c r="X22" s="4">
        <f t="shared" si="70"/>
        <v>-8.1818181818181721E-2</v>
      </c>
      <c r="Y22" s="4">
        <f t="shared" si="70"/>
        <v>9.9999999999999933E-3</v>
      </c>
      <c r="Z22" s="4">
        <f t="shared" si="70"/>
        <v>1.0000000000000083E-2</v>
      </c>
      <c r="AA22" s="4">
        <f t="shared" si="70"/>
        <v>-9.1000000000000136E-2</v>
      </c>
      <c r="AC22" s="1" t="s">
        <v>52</v>
      </c>
      <c r="AD22" s="4">
        <v>-0.01</v>
      </c>
    </row>
    <row r="23" spans="1:31" x14ac:dyDescent="0.35">
      <c r="G23" s="5"/>
      <c r="H23" s="5"/>
      <c r="I23" s="5"/>
      <c r="J23" s="5"/>
      <c r="AC23" s="1" t="s">
        <v>53</v>
      </c>
      <c r="AD23" s="4">
        <v>0.12</v>
      </c>
    </row>
    <row r="24" spans="1:31" x14ac:dyDescent="0.35">
      <c r="B24" t="s">
        <v>33</v>
      </c>
      <c r="R24" s="4">
        <f>R6/R4</f>
        <v>0.8</v>
      </c>
      <c r="S24" s="4">
        <f t="shared" ref="S24:AA24" si="71">S6/S4</f>
        <v>0.8</v>
      </c>
      <c r="T24" s="4">
        <f t="shared" si="71"/>
        <v>0.8</v>
      </c>
      <c r="U24" s="4">
        <f t="shared" si="71"/>
        <v>0.8</v>
      </c>
      <c r="V24" s="4">
        <f t="shared" si="71"/>
        <v>0.82</v>
      </c>
      <c r="W24" s="4">
        <f t="shared" si="71"/>
        <v>0.82000000000000006</v>
      </c>
      <c r="X24" s="4">
        <f t="shared" si="71"/>
        <v>0.82</v>
      </c>
      <c r="Y24" s="4">
        <f t="shared" si="71"/>
        <v>0.85000000000000009</v>
      </c>
      <c r="Z24" s="4">
        <f t="shared" si="71"/>
        <v>0.85</v>
      </c>
      <c r="AA24" s="4">
        <f t="shared" si="71"/>
        <v>0.85</v>
      </c>
      <c r="AC24" s="1" t="s">
        <v>54</v>
      </c>
      <c r="AD24" s="1">
        <f>NPV(AD23,R14:FY14)</f>
        <v>4543.8525241297466</v>
      </c>
    </row>
    <row r="25" spans="1:31" x14ac:dyDescent="0.35">
      <c r="B25" t="s">
        <v>34</v>
      </c>
      <c r="R25" s="4">
        <f>R7/R4</f>
        <v>1.8726078000000002</v>
      </c>
      <c r="S25" s="4">
        <f t="shared" ref="S25:AA25" si="72">S7/S4</f>
        <v>0.65541273000000011</v>
      </c>
      <c r="T25" s="4">
        <f t="shared" si="72"/>
        <v>0.41291001990000009</v>
      </c>
      <c r="U25" s="4">
        <f t="shared" si="72"/>
        <v>0.28018894207500006</v>
      </c>
      <c r="V25" s="4">
        <f t="shared" si="72"/>
        <v>0.25</v>
      </c>
      <c r="W25" s="4">
        <f t="shared" si="72"/>
        <v>0.25</v>
      </c>
      <c r="X25" s="4">
        <f t="shared" si="72"/>
        <v>0.25</v>
      </c>
      <c r="Y25" s="4">
        <f t="shared" si="72"/>
        <v>0.22</v>
      </c>
      <c r="Z25" s="4">
        <f t="shared" si="72"/>
        <v>0.22</v>
      </c>
      <c r="AA25" s="4">
        <f t="shared" si="72"/>
        <v>0.2</v>
      </c>
      <c r="AC25" s="1" t="s">
        <v>38</v>
      </c>
      <c r="AD25" s="1">
        <f>Main!Q10-Main!Q11</f>
        <v>1420.68</v>
      </c>
    </row>
    <row r="26" spans="1:31" x14ac:dyDescent="0.35">
      <c r="B26" t="s">
        <v>35</v>
      </c>
      <c r="R26" s="4">
        <f>R8/R4</f>
        <v>0.59189349999999996</v>
      </c>
      <c r="S26" s="4">
        <f t="shared" ref="S26:AA26" si="73">S8/S4</f>
        <v>0.2170276166666667</v>
      </c>
      <c r="T26" s="4">
        <f t="shared" si="73"/>
        <v>0.22</v>
      </c>
      <c r="U26" s="4">
        <f t="shared" si="73"/>
        <v>0.22</v>
      </c>
      <c r="V26" s="4">
        <f t="shared" si="73"/>
        <v>0.22</v>
      </c>
      <c r="W26" s="4">
        <f t="shared" si="73"/>
        <v>0.22</v>
      </c>
      <c r="X26" s="4">
        <f t="shared" si="73"/>
        <v>0.2</v>
      </c>
      <c r="Y26" s="4">
        <f t="shared" si="73"/>
        <v>0.2</v>
      </c>
      <c r="Z26" s="4">
        <f t="shared" si="73"/>
        <v>0.2</v>
      </c>
      <c r="AA26" s="4">
        <f t="shared" si="73"/>
        <v>0.18</v>
      </c>
      <c r="AC26" s="1" t="s">
        <v>55</v>
      </c>
      <c r="AD26" s="1">
        <f>AD24+AD25</f>
        <v>5964.5325241297469</v>
      </c>
    </row>
    <row r="27" spans="1:31" x14ac:dyDescent="0.35">
      <c r="B27" t="s">
        <v>36</v>
      </c>
      <c r="R27" s="4">
        <f>R13/R12</f>
        <v>0.15</v>
      </c>
      <c r="S27" s="4">
        <f t="shared" ref="S27:AA27" si="74">S13/S12</f>
        <v>0.15</v>
      </c>
      <c r="T27" s="4">
        <f t="shared" si="74"/>
        <v>0.15</v>
      </c>
      <c r="U27" s="4">
        <f t="shared" si="74"/>
        <v>0.15</v>
      </c>
      <c r="V27" s="4">
        <f t="shared" si="74"/>
        <v>0.15</v>
      </c>
      <c r="W27" s="4">
        <f t="shared" si="74"/>
        <v>0.15</v>
      </c>
      <c r="X27" s="4">
        <f t="shared" si="74"/>
        <v>0.15</v>
      </c>
      <c r="Y27" s="4">
        <f t="shared" si="74"/>
        <v>0.15</v>
      </c>
      <c r="Z27" s="4">
        <f t="shared" si="74"/>
        <v>0.15</v>
      </c>
      <c r="AA27" s="4">
        <f t="shared" si="74"/>
        <v>0.15</v>
      </c>
    </row>
    <row r="28" spans="1:31" x14ac:dyDescent="0.35">
      <c r="AC28" s="1" t="s">
        <v>56</v>
      </c>
      <c r="AD28" s="3">
        <f>AD26/Main!Q8</f>
        <v>158.34546744390997</v>
      </c>
    </row>
    <row r="29" spans="1:31" s="7" customFormat="1" x14ac:dyDescent="0.35">
      <c r="A29" s="6"/>
      <c r="B29" s="6" t="s">
        <v>37</v>
      </c>
      <c r="J29" s="7">
        <f>J30-J41</f>
        <v>1420.7</v>
      </c>
      <c r="R29" s="7">
        <f>J29+R14</f>
        <v>1173.9626290000001</v>
      </c>
      <c r="S29" s="7">
        <f>R29+S14</f>
        <v>1166.9540992395</v>
      </c>
      <c r="T29" s="7">
        <f t="shared" ref="T29:AA29" si="75">S29+T14</f>
        <v>1338.7379118551071</v>
      </c>
      <c r="U29" s="7">
        <f t="shared" si="75"/>
        <v>1729.6508875381624</v>
      </c>
      <c r="V29" s="7">
        <f t="shared" si="75"/>
        <v>2368.7569851703856</v>
      </c>
      <c r="W29" s="7">
        <f t="shared" si="75"/>
        <v>3030.1102882922305</v>
      </c>
      <c r="X29" s="7">
        <f t="shared" si="75"/>
        <v>3749.0210006436823</v>
      </c>
      <c r="Y29" s="7">
        <f t="shared" si="75"/>
        <v>4597.7710671600962</v>
      </c>
      <c r="Z29" s="7">
        <f t="shared" si="75"/>
        <v>5475.6957606826782</v>
      </c>
      <c r="AA29" s="7">
        <f t="shared" si="75"/>
        <v>6455.0830326099858</v>
      </c>
      <c r="AC29" s="7" t="s">
        <v>57</v>
      </c>
      <c r="AD29" s="8">
        <f>Main!Q7</f>
        <v>179.67</v>
      </c>
      <c r="AE29" s="9">
        <f>(AD28-AD29)/AD29</f>
        <v>-0.11868721854561151</v>
      </c>
    </row>
    <row r="30" spans="1:31" x14ac:dyDescent="0.35">
      <c r="B30" t="s">
        <v>38</v>
      </c>
      <c r="J30" s="1">
        <f>263.603+1170.874+2.033</f>
        <v>1436.51</v>
      </c>
    </row>
    <row r="31" spans="1:31" x14ac:dyDescent="0.35">
      <c r="B31" t="s">
        <v>39</v>
      </c>
      <c r="J31" s="1">
        <v>0</v>
      </c>
    </row>
    <row r="32" spans="1:31" x14ac:dyDescent="0.35">
      <c r="B32" t="s">
        <v>40</v>
      </c>
      <c r="J32" s="1">
        <v>14.811999999999999</v>
      </c>
    </row>
    <row r="33" spans="2:10" x14ac:dyDescent="0.35">
      <c r="B33" t="s">
        <v>41</v>
      </c>
      <c r="J33" s="1">
        <v>0.625</v>
      </c>
    </row>
    <row r="34" spans="2:10" x14ac:dyDescent="0.35">
      <c r="B34" t="s">
        <v>42</v>
      </c>
      <c r="J34" s="1">
        <v>15.435</v>
      </c>
    </row>
    <row r="35" spans="2:10" x14ac:dyDescent="0.35">
      <c r="B35" t="s">
        <v>43</v>
      </c>
      <c r="J35" s="1">
        <v>4.1820000000000004</v>
      </c>
    </row>
    <row r="36" spans="2:10" x14ac:dyDescent="0.35">
      <c r="B36" t="s">
        <v>44</v>
      </c>
      <c r="J36" s="1">
        <v>0.53900000000000003</v>
      </c>
    </row>
    <row r="37" spans="2:10" x14ac:dyDescent="0.35">
      <c r="B37" t="s">
        <v>45</v>
      </c>
      <c r="J37" s="1">
        <f>SUM(J30:J36)</f>
        <v>1472.1029999999998</v>
      </c>
    </row>
    <row r="39" spans="2:10" x14ac:dyDescent="0.35">
      <c r="B39" t="s">
        <v>46</v>
      </c>
      <c r="J39" s="1">
        <v>1.1020000000000001</v>
      </c>
    </row>
    <row r="40" spans="2:10" x14ac:dyDescent="0.35">
      <c r="B40" t="s">
        <v>47</v>
      </c>
      <c r="J40" s="1">
        <v>35.524000000000001</v>
      </c>
    </row>
    <row r="41" spans="2:10" x14ac:dyDescent="0.35">
      <c r="B41" t="s">
        <v>4</v>
      </c>
      <c r="J41" s="1">
        <f>1.977+13.833</f>
        <v>15.81</v>
      </c>
    </row>
    <row r="42" spans="2:10" x14ac:dyDescent="0.35">
      <c r="B42" t="s">
        <v>48</v>
      </c>
      <c r="J42" s="1">
        <v>0.104</v>
      </c>
    </row>
    <row r="43" spans="2:10" x14ac:dyDescent="0.35">
      <c r="B43" t="s">
        <v>49</v>
      </c>
      <c r="J43" s="1">
        <v>1419.5630000000001</v>
      </c>
    </row>
    <row r="44" spans="2:10" x14ac:dyDescent="0.35">
      <c r="B44" t="s">
        <v>50</v>
      </c>
      <c r="J44" s="1">
        <f>SUM(J39:J43)</f>
        <v>1472.1030000000001</v>
      </c>
    </row>
  </sheetData>
  <hyperlinks>
    <hyperlink ref="A1" location="Main!A1" display="Main" xr:uid="{B5556D59-E516-4480-8375-6FCBE700AE5B}"/>
  </hyperlink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CEE4B-39BA-45AE-8B20-2959A3B33811}">
  <dimension ref="A1:B4"/>
  <sheetViews>
    <sheetView workbookViewId="0">
      <selection activeCell="B2" sqref="B2"/>
    </sheetView>
  </sheetViews>
  <sheetFormatPr defaultRowHeight="14.5" x14ac:dyDescent="0.35"/>
  <cols>
    <col min="1" max="1" width="5.08984375" bestFit="1" customWidth="1"/>
  </cols>
  <sheetData>
    <row r="1" spans="1:2" x14ac:dyDescent="0.35">
      <c r="A1" s="2" t="s">
        <v>7</v>
      </c>
    </row>
    <row r="2" spans="1:2" x14ac:dyDescent="0.35">
      <c r="B2" t="s">
        <v>62</v>
      </c>
    </row>
    <row r="3" spans="1:2" x14ac:dyDescent="0.35">
      <c r="B3" t="s">
        <v>63</v>
      </c>
    </row>
    <row r="4" spans="1:2" x14ac:dyDescent="0.35">
      <c r="B4" t="s">
        <v>64</v>
      </c>
    </row>
  </sheetData>
  <hyperlinks>
    <hyperlink ref="A1" location="Main!A1" display="Main" xr:uid="{37B22ABD-B46A-4651-9F08-83FE2840B5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Model</vt:lpstr>
      <vt:lpstr>KarXT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Grenci</dc:creator>
  <cp:lastModifiedBy>Michael Grenci</cp:lastModifiedBy>
  <dcterms:created xsi:type="dcterms:W3CDTF">2015-06-05T18:17:20Z</dcterms:created>
  <dcterms:modified xsi:type="dcterms:W3CDTF">2023-08-12T17:12:00Z</dcterms:modified>
</cp:coreProperties>
</file>