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micha\Investing\models\Neuroscience\SAVA\"/>
    </mc:Choice>
  </mc:AlternateContent>
  <xr:revisionPtr revIDLastSave="0" documentId="13_ncr:1_{B8C3872A-67DC-47C2-8EE6-A6BE7E5AB4A2}" xr6:coauthVersionLast="47" xr6:coauthVersionMax="47" xr10:uidLastSave="{00000000-0000-0000-0000-000000000000}"/>
  <bookViews>
    <workbookView xWindow="9970" yWindow="1260" windowWidth="22740" windowHeight="19090" activeTab="1" xr2:uid="{00000000-000D-0000-FFFF-FFFF00000000}"/>
  </bookViews>
  <sheets>
    <sheet name="Main" sheetId="1" r:id="rId1"/>
    <sheet name="Model" sheetId="2" r:id="rId2"/>
    <sheet name="Simufila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8" i="2" l="1"/>
  <c r="AF28" i="2"/>
  <c r="AC28" i="2"/>
  <c r="AC24" i="2"/>
  <c r="T22" i="2"/>
  <c r="S22" i="2"/>
  <c r="R6" i="2"/>
  <c r="R7" i="2" s="1"/>
  <c r="T5" i="2"/>
  <c r="T6" i="2" s="1"/>
  <c r="T7" i="2" s="1"/>
  <c r="S5" i="2"/>
  <c r="S6" i="2" s="1"/>
  <c r="S7" i="2" s="1"/>
  <c r="R5" i="2"/>
  <c r="U3" i="2"/>
  <c r="U22" i="2" s="1"/>
  <c r="X9" i="2"/>
  <c r="Y9" i="2" s="1"/>
  <c r="W9" i="2"/>
  <c r="V9" i="2"/>
  <c r="X21" i="2"/>
  <c r="W21" i="2"/>
  <c r="V21" i="2"/>
  <c r="U21" i="2"/>
  <c r="T21" i="2"/>
  <c r="S21" i="2"/>
  <c r="R21" i="2"/>
  <c r="U9" i="2"/>
  <c r="T9" i="2"/>
  <c r="S9" i="2"/>
  <c r="R9" i="2"/>
  <c r="X8" i="2"/>
  <c r="Y8" i="2" s="1"/>
  <c r="Z8" i="2" s="1"/>
  <c r="W8" i="2"/>
  <c r="W20" i="2"/>
  <c r="V20" i="2"/>
  <c r="U20" i="2"/>
  <c r="T20" i="2"/>
  <c r="S20" i="2"/>
  <c r="R20" i="2"/>
  <c r="V8" i="2"/>
  <c r="V10" i="2" s="1"/>
  <c r="U8" i="2"/>
  <c r="T8" i="2"/>
  <c r="T10" i="2" s="1"/>
  <c r="S8" i="2"/>
  <c r="R8" i="2"/>
  <c r="R10" i="2" s="1"/>
  <c r="Q21" i="2"/>
  <c r="S13" i="2"/>
  <c r="T13" i="2" s="1"/>
  <c r="U13" i="2" s="1"/>
  <c r="V13" i="2" s="1"/>
  <c r="W13" i="2" s="1"/>
  <c r="X13" i="2" s="1"/>
  <c r="Y13" i="2" s="1"/>
  <c r="Z13" i="2" s="1"/>
  <c r="R13" i="2"/>
  <c r="Q13" i="2"/>
  <c r="Q12" i="2"/>
  <c r="Q14" i="2" s="1"/>
  <c r="Q16" i="2" s="1"/>
  <c r="Q27" i="2" s="1"/>
  <c r="R12" i="2" s="1"/>
  <c r="P27" i="2"/>
  <c r="Q11" i="2"/>
  <c r="Q10" i="2"/>
  <c r="Q9" i="2"/>
  <c r="Q20" i="2"/>
  <c r="Q8" i="2"/>
  <c r="Q7" i="2"/>
  <c r="Q5" i="2"/>
  <c r="P21" i="2"/>
  <c r="P20" i="2"/>
  <c r="P17" i="2"/>
  <c r="P18" i="2"/>
  <c r="P16" i="2"/>
  <c r="P15" i="2"/>
  <c r="P14" i="2"/>
  <c r="P13" i="2"/>
  <c r="P12" i="2"/>
  <c r="P9" i="2"/>
  <c r="P10" i="2" s="1"/>
  <c r="P11" i="2" s="1"/>
  <c r="P8" i="2"/>
  <c r="P7" i="2"/>
  <c r="P6" i="2"/>
  <c r="P5" i="2"/>
  <c r="P4" i="2"/>
  <c r="P3" i="2"/>
  <c r="O17" i="2"/>
  <c r="O18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L16" i="2"/>
  <c r="K16" i="2"/>
  <c r="L14" i="2"/>
  <c r="K14" i="2"/>
  <c r="L11" i="2"/>
  <c r="K11" i="2"/>
  <c r="L10" i="2"/>
  <c r="K10" i="2"/>
  <c r="L9" i="2"/>
  <c r="K9" i="2"/>
  <c r="L21" i="2"/>
  <c r="K21" i="2"/>
  <c r="I21" i="2"/>
  <c r="H21" i="2"/>
  <c r="G21" i="2"/>
  <c r="J21" i="2"/>
  <c r="L8" i="2"/>
  <c r="K8" i="2"/>
  <c r="L20" i="2"/>
  <c r="K20" i="2"/>
  <c r="I20" i="2"/>
  <c r="H20" i="2"/>
  <c r="G20" i="2"/>
  <c r="J20" i="2"/>
  <c r="L7" i="2"/>
  <c r="K7" i="2"/>
  <c r="L5" i="2"/>
  <c r="K5" i="2"/>
  <c r="J5" i="2"/>
  <c r="J7" i="2" s="1"/>
  <c r="I5" i="2"/>
  <c r="H5" i="2"/>
  <c r="H7" i="2" s="1"/>
  <c r="G5" i="2"/>
  <c r="G7" i="2" s="1"/>
  <c r="G11" i="2" s="1"/>
  <c r="G14" i="2" s="1"/>
  <c r="G16" i="2" s="1"/>
  <c r="G17" i="2" s="1"/>
  <c r="F5" i="2"/>
  <c r="F7" i="2" s="1"/>
  <c r="E5" i="2"/>
  <c r="E7" i="2" s="1"/>
  <c r="E11" i="2" s="1"/>
  <c r="E14" i="2" s="1"/>
  <c r="E16" i="2" s="1"/>
  <c r="E17" i="2" s="1"/>
  <c r="D5" i="2"/>
  <c r="D7" i="2" s="1"/>
  <c r="C5" i="2"/>
  <c r="D10" i="2"/>
  <c r="H10" i="2"/>
  <c r="G38" i="2"/>
  <c r="G27" i="2" s="1"/>
  <c r="G33" i="2"/>
  <c r="C10" i="2"/>
  <c r="C7" i="2"/>
  <c r="C11" i="2" s="1"/>
  <c r="C14" i="2" s="1"/>
  <c r="C16" i="2" s="1"/>
  <c r="C17" i="2" s="1"/>
  <c r="G10" i="2"/>
  <c r="E10" i="2"/>
  <c r="I10" i="2"/>
  <c r="I7" i="2"/>
  <c r="I11" i="2" s="1"/>
  <c r="I14" i="2" s="1"/>
  <c r="I16" i="2" s="1"/>
  <c r="I17" i="2" s="1"/>
  <c r="I42" i="2"/>
  <c r="I33" i="2"/>
  <c r="I27" i="2"/>
  <c r="H38" i="2"/>
  <c r="H27" i="2" s="1"/>
  <c r="H42" i="2"/>
  <c r="H33" i="2"/>
  <c r="J27" i="2"/>
  <c r="J42" i="2"/>
  <c r="J33" i="2"/>
  <c r="F10" i="2"/>
  <c r="J10" i="2"/>
  <c r="O2" i="2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N9" i="1"/>
  <c r="N6" i="1"/>
  <c r="V3" i="2" l="1"/>
  <c r="U5" i="2"/>
  <c r="T11" i="2"/>
  <c r="R11" i="2"/>
  <c r="R14" i="2"/>
  <c r="R16" i="2" s="1"/>
  <c r="Z9" i="2"/>
  <c r="Z21" i="2" s="1"/>
  <c r="Y21" i="2"/>
  <c r="U10" i="2"/>
  <c r="S10" i="2"/>
  <c r="S11" i="2" s="1"/>
  <c r="J11" i="2"/>
  <c r="J14" i="2" s="1"/>
  <c r="J16" i="2" s="1"/>
  <c r="J17" i="2" s="1"/>
  <c r="G42" i="2"/>
  <c r="F11" i="2"/>
  <c r="F14" i="2" s="1"/>
  <c r="F16" i="2" s="1"/>
  <c r="F17" i="2" s="1"/>
  <c r="H11" i="2"/>
  <c r="H14" i="2" s="1"/>
  <c r="H16" i="2" s="1"/>
  <c r="H17" i="2" s="1"/>
  <c r="D11" i="2"/>
  <c r="D14" i="2" s="1"/>
  <c r="D16" i="2" s="1"/>
  <c r="D17" i="2" s="1"/>
  <c r="U6" i="2" l="1"/>
  <c r="U7" i="2"/>
  <c r="U11" i="2" s="1"/>
  <c r="W3" i="2"/>
  <c r="V22" i="2"/>
  <c r="V5" i="2"/>
  <c r="R27" i="2"/>
  <c r="S12" i="2" s="1"/>
  <c r="S14" i="2" s="1"/>
  <c r="S15" i="2" s="1"/>
  <c r="S16" i="2" s="1"/>
  <c r="W10" i="2"/>
  <c r="X20" i="2"/>
  <c r="V6" i="2" l="1"/>
  <c r="V7" i="2"/>
  <c r="V11" i="2" s="1"/>
  <c r="W22" i="2"/>
  <c r="W5" i="2"/>
  <c r="X3" i="2"/>
  <c r="S27" i="2"/>
  <c r="T12" i="2" s="1"/>
  <c r="T14" i="2" s="1"/>
  <c r="T15" i="2"/>
  <c r="T16" i="2" s="1"/>
  <c r="T27" i="2" s="1"/>
  <c r="U12" i="2" s="1"/>
  <c r="U14" i="2" s="1"/>
  <c r="U15" i="2" s="1"/>
  <c r="U16" i="2" s="1"/>
  <c r="U27" i="2" s="1"/>
  <c r="V12" i="2" s="1"/>
  <c r="V14" i="2" s="1"/>
  <c r="X10" i="2"/>
  <c r="Y20" i="2"/>
  <c r="X22" i="2" l="1"/>
  <c r="X5" i="2"/>
  <c r="Y3" i="2"/>
  <c r="W6" i="2"/>
  <c r="W7" i="2"/>
  <c r="W11" i="2" s="1"/>
  <c r="V15" i="2"/>
  <c r="V16" i="2" s="1"/>
  <c r="V27" i="2" s="1"/>
  <c r="W12" i="2" s="1"/>
  <c r="W14" i="2" s="1"/>
  <c r="Y10" i="2"/>
  <c r="Z3" i="2" l="1"/>
  <c r="Y22" i="2"/>
  <c r="Y5" i="2"/>
  <c r="X6" i="2"/>
  <c r="X7" i="2" s="1"/>
  <c r="X11" i="2" s="1"/>
  <c r="W15" i="2"/>
  <c r="W16" i="2" s="1"/>
  <c r="W27" i="2" s="1"/>
  <c r="X12" i="2" s="1"/>
  <c r="Z10" i="2"/>
  <c r="Z20" i="2"/>
  <c r="X14" i="2" l="1"/>
  <c r="Y6" i="2"/>
  <c r="Y7" i="2" s="1"/>
  <c r="Y11" i="2" s="1"/>
  <c r="Z22" i="2"/>
  <c r="Z5" i="2"/>
  <c r="X15" i="2"/>
  <c r="X16" i="2" s="1"/>
  <c r="X27" i="2" s="1"/>
  <c r="Y12" i="2" s="1"/>
  <c r="Y14" i="2" l="1"/>
  <c r="Z6" i="2"/>
  <c r="Z7" i="2" s="1"/>
  <c r="Z11" i="2" s="1"/>
  <c r="Y15" i="2"/>
  <c r="Y16" i="2" s="1"/>
  <c r="Y27" i="2" s="1"/>
  <c r="Z12" i="2" l="1"/>
  <c r="Z14" i="2" s="1"/>
  <c r="Z15" i="2" s="1"/>
  <c r="Z16" i="2" s="1"/>
  <c r="Z27" i="2" l="1"/>
  <c r="AA16" i="2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DO16" i="2" s="1"/>
  <c r="DP16" i="2" s="1"/>
  <c r="DQ16" i="2" s="1"/>
  <c r="DR16" i="2" s="1"/>
  <c r="DS16" i="2" s="1"/>
  <c r="DT16" i="2" s="1"/>
  <c r="DU16" i="2" s="1"/>
  <c r="DV16" i="2" s="1"/>
  <c r="DW16" i="2" s="1"/>
  <c r="DX16" i="2" s="1"/>
  <c r="DY16" i="2" s="1"/>
  <c r="DZ16" i="2" s="1"/>
  <c r="EA16" i="2" s="1"/>
  <c r="EB16" i="2" s="1"/>
  <c r="EC16" i="2" s="1"/>
  <c r="ED16" i="2" s="1"/>
  <c r="EE16" i="2" s="1"/>
  <c r="EF16" i="2" s="1"/>
  <c r="EG16" i="2" s="1"/>
  <c r="EH16" i="2" s="1"/>
  <c r="EI16" i="2" s="1"/>
  <c r="EJ16" i="2" s="1"/>
  <c r="EK16" i="2" s="1"/>
  <c r="EL16" i="2" s="1"/>
  <c r="EM16" i="2" s="1"/>
  <c r="EN16" i="2" s="1"/>
  <c r="EO16" i="2" s="1"/>
  <c r="EP16" i="2" s="1"/>
  <c r="EQ16" i="2" s="1"/>
  <c r="ER16" i="2" s="1"/>
  <c r="ES16" i="2" s="1"/>
  <c r="ET16" i="2" s="1"/>
  <c r="EU16" i="2" s="1"/>
  <c r="EV16" i="2" s="1"/>
  <c r="EW16" i="2" s="1"/>
  <c r="EX16" i="2" s="1"/>
  <c r="EY16" i="2" s="1"/>
  <c r="EZ16" i="2" s="1"/>
  <c r="FA16" i="2" s="1"/>
  <c r="FB16" i="2" s="1"/>
  <c r="FC16" i="2" s="1"/>
  <c r="FD16" i="2" s="1"/>
  <c r="FE16" i="2" s="1"/>
  <c r="FF16" i="2" s="1"/>
  <c r="FG16" i="2" s="1"/>
  <c r="FH16" i="2" s="1"/>
  <c r="FI16" i="2" s="1"/>
  <c r="FJ16" i="2" s="1"/>
  <c r="FK16" i="2" s="1"/>
  <c r="FL16" i="2" s="1"/>
  <c r="FM16" i="2" s="1"/>
  <c r="FN16" i="2" s="1"/>
  <c r="FO16" i="2" s="1"/>
  <c r="FP16" i="2" s="1"/>
  <c r="FQ16" i="2" s="1"/>
  <c r="FR16" i="2" s="1"/>
  <c r="FS16" i="2" s="1"/>
  <c r="FT16" i="2" s="1"/>
  <c r="FU16" i="2" s="1"/>
  <c r="FV16" i="2" s="1"/>
  <c r="FW16" i="2" s="1"/>
  <c r="FX16" i="2" s="1"/>
  <c r="FY16" i="2" s="1"/>
  <c r="FZ16" i="2" s="1"/>
  <c r="GA16" i="2" s="1"/>
  <c r="GB16" i="2" s="1"/>
  <c r="GC16" i="2" s="1"/>
  <c r="GD16" i="2" s="1"/>
  <c r="GE16" i="2" s="1"/>
  <c r="GF16" i="2" s="1"/>
  <c r="GG16" i="2" s="1"/>
  <c r="GH16" i="2" s="1"/>
  <c r="GI16" i="2" s="1"/>
  <c r="GJ16" i="2" s="1"/>
  <c r="GK16" i="2" s="1"/>
  <c r="GL16" i="2" s="1"/>
  <c r="AC23" i="2" s="1"/>
  <c r="AC25" i="2" s="1"/>
  <c r="AC27" i="2" s="1"/>
  <c r="AD28" i="2" s="1"/>
</calcChain>
</file>

<file path=xl/sharedStrings.xml><?xml version="1.0" encoding="utf-8"?>
<sst xmlns="http://schemas.openxmlformats.org/spreadsheetml/2006/main" count="76" uniqueCount="67">
  <si>
    <t>Price</t>
  </si>
  <si>
    <t>S/O</t>
  </si>
  <si>
    <t xml:space="preserve">MC </t>
  </si>
  <si>
    <t xml:space="preserve">Cash </t>
  </si>
  <si>
    <t xml:space="preserve">Debt </t>
  </si>
  <si>
    <t xml:space="preserve">EV </t>
  </si>
  <si>
    <t>Q223</t>
  </si>
  <si>
    <t>Main</t>
  </si>
  <si>
    <t>Q321</t>
  </si>
  <si>
    <t>Q421</t>
  </si>
  <si>
    <t>Q122</t>
  </si>
  <si>
    <t>Q222</t>
  </si>
  <si>
    <t>Q322</t>
  </si>
  <si>
    <t>Q422</t>
  </si>
  <si>
    <t>Q123</t>
  </si>
  <si>
    <t>Q323</t>
  </si>
  <si>
    <t>Q423</t>
  </si>
  <si>
    <t xml:space="preserve">Revenue </t>
  </si>
  <si>
    <t xml:space="preserve">COGS </t>
  </si>
  <si>
    <t>Gross Profit</t>
  </si>
  <si>
    <t xml:space="preserve">R&amp;D </t>
  </si>
  <si>
    <t xml:space="preserve">G&amp;A </t>
  </si>
  <si>
    <t>Operating Expenses</t>
  </si>
  <si>
    <t>Operating Income</t>
  </si>
  <si>
    <t>Interest Income</t>
  </si>
  <si>
    <t xml:space="preserve">Other Income </t>
  </si>
  <si>
    <t>Pretax Income</t>
  </si>
  <si>
    <t xml:space="preserve">Taxes </t>
  </si>
  <si>
    <t>Net Income</t>
  </si>
  <si>
    <t xml:space="preserve">EPS </t>
  </si>
  <si>
    <t xml:space="preserve">Shares </t>
  </si>
  <si>
    <t xml:space="preserve">Net Cash </t>
  </si>
  <si>
    <t xml:space="preserve">Prepaids &amp; OCA </t>
  </si>
  <si>
    <t xml:space="preserve">Operating lease </t>
  </si>
  <si>
    <t xml:space="preserve">PP&amp;E </t>
  </si>
  <si>
    <t>Intangibles</t>
  </si>
  <si>
    <t>Assets</t>
  </si>
  <si>
    <t xml:space="preserve">A/P &amp; Accrued </t>
  </si>
  <si>
    <t xml:space="preserve">Development </t>
  </si>
  <si>
    <t xml:space="preserve">Compensation </t>
  </si>
  <si>
    <t xml:space="preserve">OCL </t>
  </si>
  <si>
    <t xml:space="preserve">ONCL </t>
  </si>
  <si>
    <t>S/E</t>
  </si>
  <si>
    <t>L + S/E</t>
  </si>
  <si>
    <t>Simufilam</t>
  </si>
  <si>
    <t>SavaDx</t>
  </si>
  <si>
    <t>R&amp;D y/y</t>
  </si>
  <si>
    <t>G&amp;A y/y</t>
  </si>
  <si>
    <t xml:space="preserve">Brand </t>
  </si>
  <si>
    <t xml:space="preserve">Generic </t>
  </si>
  <si>
    <t xml:space="preserve">Indication </t>
  </si>
  <si>
    <t xml:space="preserve">Mild to Moderate Alzheimer's </t>
  </si>
  <si>
    <t>Clinical Trials</t>
  </si>
  <si>
    <t>Refocus-ALZ - NCT05026177</t>
  </si>
  <si>
    <t>Rethink-ALZ - NCT04994483</t>
  </si>
  <si>
    <t xml:space="preserve">Studies Completion - End 2024? </t>
  </si>
  <si>
    <t>PTI-125</t>
  </si>
  <si>
    <t xml:space="preserve">simufilam </t>
  </si>
  <si>
    <t xml:space="preserve">ROIC </t>
  </si>
  <si>
    <t>Simufilam y/y</t>
  </si>
  <si>
    <t xml:space="preserve">Maturity </t>
  </si>
  <si>
    <t xml:space="preserve">Discount </t>
  </si>
  <si>
    <t xml:space="preserve">NPV </t>
  </si>
  <si>
    <t xml:space="preserve">Net NPV </t>
  </si>
  <si>
    <t xml:space="preserve">Share </t>
  </si>
  <si>
    <t xml:space="preserve">Current </t>
  </si>
  <si>
    <t>Cash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</si>
</sst>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3" fillId="0" borderId="0" xfId="2"/>
    <xf numFmtId="9" fontId="0" fillId="0" borderId="0" xfId="1" applyFont="1"/>
    <xf numFmtId="4" fontId="0" fillId="0" borderId="0" xfId="0" applyNumberFormat="1"/>
    <xf numFmtId="0" fontId="2" fillId="0" borderId="0" xfId="0" applyFont="1"/>
    <xf numFmtId="3" fontId="2" fillId="0" borderId="0" xfId="0" applyNumberFormat="1" applyFont="1"/>
    <xf numFmtId="4" fontId="2" fillId="0" borderId="0" xfId="0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0</xdr:row>
      <xdr:rowOff>50800</xdr:rowOff>
    </xdr:from>
    <xdr:to>
      <xdr:col>10</xdr:col>
      <xdr:colOff>12700</xdr:colOff>
      <xdr:row>46</xdr:row>
      <xdr:rowOff>158750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58D25F2-0719-4604-4E2F-9D52F4DAB024}"/>
            </a:ext>
          </a:extLst>
        </xdr:cNvPr>
        <xdr:cNvCxnSpPr/>
      </xdr:nvCxnSpPr>
      <xdr:spPr>
        <a:xfrm>
          <a:off x="6464300" y="50800"/>
          <a:ext cx="6350" cy="8210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12700</xdr:colOff>
      <xdr:row>0</xdr:row>
      <xdr:rowOff>50800</xdr:rowOff>
    </xdr:from>
    <xdr:to>
      <xdr:col>16</xdr:col>
      <xdr:colOff>19050</xdr:colOff>
      <xdr:row>45</xdr:row>
      <xdr:rowOff>25400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14365E37-95BB-6BA0-8B7A-09FE155DCDC3}"/>
            </a:ext>
          </a:extLst>
        </xdr:cNvPr>
        <xdr:cNvCxnSpPr/>
      </xdr:nvCxnSpPr>
      <xdr:spPr>
        <a:xfrm flipH="1">
          <a:off x="10128250" y="50800"/>
          <a:ext cx="6350" cy="8261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O9"/>
  <sheetViews>
    <sheetView workbookViewId="0">
      <selection activeCell="D12" sqref="D12"/>
    </sheetView>
  </sheetViews>
  <sheetFormatPr defaultRowHeight="14.5" x14ac:dyDescent="0.35"/>
  <cols>
    <col min="3" max="3" width="9.08984375" bestFit="1" customWidth="1"/>
  </cols>
  <sheetData>
    <row r="4" spans="3:15" x14ac:dyDescent="0.35">
      <c r="C4" t="s">
        <v>44</v>
      </c>
      <c r="M4" t="s">
        <v>0</v>
      </c>
      <c r="N4">
        <v>17.920000000000002</v>
      </c>
    </row>
    <row r="5" spans="3:15" x14ac:dyDescent="0.35">
      <c r="C5" t="s">
        <v>45</v>
      </c>
      <c r="M5" t="s">
        <v>1</v>
      </c>
      <c r="N5" s="1">
        <v>41.969994</v>
      </c>
      <c r="O5" t="s">
        <v>6</v>
      </c>
    </row>
    <row r="6" spans="3:15" x14ac:dyDescent="0.35">
      <c r="M6" t="s">
        <v>2</v>
      </c>
      <c r="N6" s="1">
        <f>N4*N5</f>
        <v>752.10229248000007</v>
      </c>
    </row>
    <row r="7" spans="3:15" x14ac:dyDescent="0.35">
      <c r="M7" t="s">
        <v>3</v>
      </c>
      <c r="N7" s="1">
        <v>168.43799999999999</v>
      </c>
      <c r="O7" t="s">
        <v>6</v>
      </c>
    </row>
    <row r="8" spans="3:15" x14ac:dyDescent="0.35">
      <c r="M8" t="s">
        <v>4</v>
      </c>
      <c r="N8" s="1">
        <v>0</v>
      </c>
      <c r="O8" t="s">
        <v>6</v>
      </c>
    </row>
    <row r="9" spans="3:15" x14ac:dyDescent="0.35">
      <c r="M9" t="s">
        <v>5</v>
      </c>
      <c r="N9" s="1">
        <f>N6-N7+N8</f>
        <v>583.66429248000009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9117D-9A9B-42FF-BE85-B80E1DE5B23F}">
  <dimension ref="A1:GL4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:B4"/>
    </sheetView>
  </sheetViews>
  <sheetFormatPr defaultRowHeight="14.5" x14ac:dyDescent="0.35"/>
  <cols>
    <col min="1" max="1" width="5.08984375" bestFit="1" customWidth="1"/>
    <col min="2" max="2" width="17.453125" bestFit="1" customWidth="1"/>
    <col min="3" max="3" width="8.81640625" style="1" customWidth="1"/>
    <col min="4" max="16384" width="8.7265625" style="1"/>
  </cols>
  <sheetData>
    <row r="1" spans="1:194" customFormat="1" x14ac:dyDescent="0.35">
      <c r="A1" s="2" t="s">
        <v>7</v>
      </c>
    </row>
    <row r="2" spans="1:194" customFormat="1" x14ac:dyDescent="0.35"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6</v>
      </c>
      <c r="K2" t="s">
        <v>15</v>
      </c>
      <c r="L2" t="s">
        <v>16</v>
      </c>
      <c r="N2">
        <v>2021</v>
      </c>
      <c r="O2">
        <f>N2+1</f>
        <v>2022</v>
      </c>
      <c r="P2">
        <f t="shared" ref="P2:Z2" si="0">O2+1</f>
        <v>2023</v>
      </c>
      <c r="Q2">
        <f t="shared" si="0"/>
        <v>2024</v>
      </c>
      <c r="R2">
        <f t="shared" si="0"/>
        <v>2025</v>
      </c>
      <c r="S2">
        <f t="shared" si="0"/>
        <v>2026</v>
      </c>
      <c r="T2">
        <f t="shared" si="0"/>
        <v>2027</v>
      </c>
      <c r="U2">
        <f t="shared" si="0"/>
        <v>2028</v>
      </c>
      <c r="V2">
        <f t="shared" si="0"/>
        <v>2029</v>
      </c>
      <c r="W2">
        <f t="shared" si="0"/>
        <v>2030</v>
      </c>
      <c r="X2">
        <f t="shared" si="0"/>
        <v>2031</v>
      </c>
      <c r="Y2">
        <f t="shared" si="0"/>
        <v>2032</v>
      </c>
      <c r="Z2">
        <f t="shared" si="0"/>
        <v>2033</v>
      </c>
    </row>
    <row r="3" spans="1:194" customFormat="1" x14ac:dyDescent="0.35">
      <c r="B3" t="s">
        <v>44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O3">
        <f>SUM(E3:H3)</f>
        <v>0</v>
      </c>
      <c r="P3">
        <f>SUM(I3:L3)</f>
        <v>0</v>
      </c>
      <c r="Q3">
        <v>0</v>
      </c>
      <c r="R3">
        <v>100</v>
      </c>
      <c r="S3">
        <v>300</v>
      </c>
      <c r="T3">
        <v>550</v>
      </c>
      <c r="U3">
        <f>T3*1.2</f>
        <v>660</v>
      </c>
      <c r="V3">
        <f t="shared" ref="V3:Z3" si="1">U3*1.2</f>
        <v>792</v>
      </c>
      <c r="W3" s="1">
        <f t="shared" si="1"/>
        <v>950.4</v>
      </c>
      <c r="X3" s="1">
        <f>W3*1.01</f>
        <v>959.904</v>
      </c>
      <c r="Y3" s="1">
        <f t="shared" ref="Y3:Z3" si="2">X3*1.01</f>
        <v>969.50304000000006</v>
      </c>
      <c r="Z3" s="1">
        <f t="shared" si="2"/>
        <v>979.19807040000012</v>
      </c>
    </row>
    <row r="4" spans="1:194" customFormat="1" x14ac:dyDescent="0.35">
      <c r="B4" t="s">
        <v>45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O4">
        <f>SUM(E4:H4)</f>
        <v>0</v>
      </c>
      <c r="P4">
        <f>SUM(I4:L4)</f>
        <v>0</v>
      </c>
      <c r="Q4">
        <v>0</v>
      </c>
    </row>
    <row r="5" spans="1:194" x14ac:dyDescent="0.35">
      <c r="B5" t="s">
        <v>17</v>
      </c>
      <c r="C5" s="1">
        <f>SUM(C3:C4)</f>
        <v>0</v>
      </c>
      <c r="D5" s="1">
        <f t="shared" ref="D5:L5" si="3">SUM(D3:D4)</f>
        <v>0</v>
      </c>
      <c r="E5" s="1">
        <f t="shared" si="3"/>
        <v>0</v>
      </c>
      <c r="F5" s="1">
        <f t="shared" si="3"/>
        <v>0</v>
      </c>
      <c r="G5" s="1">
        <f t="shared" si="3"/>
        <v>0</v>
      </c>
      <c r="H5" s="1">
        <f t="shared" si="3"/>
        <v>0</v>
      </c>
      <c r="I5" s="1">
        <f t="shared" si="3"/>
        <v>0</v>
      </c>
      <c r="J5" s="1">
        <f t="shared" si="3"/>
        <v>0</v>
      </c>
      <c r="K5" s="1">
        <f t="shared" si="3"/>
        <v>0</v>
      </c>
      <c r="L5" s="1">
        <f t="shared" si="3"/>
        <v>0</v>
      </c>
      <c r="O5" s="1">
        <f>SUM(O3:O4)</f>
        <v>0</v>
      </c>
      <c r="P5" s="1">
        <f>SUM(P3:P4)</f>
        <v>0</v>
      </c>
      <c r="Q5" s="1">
        <f>SUM(Q3:Q4)</f>
        <v>0</v>
      </c>
      <c r="R5" s="1">
        <f t="shared" ref="R5:Z5" si="4">SUM(R3:R4)</f>
        <v>100</v>
      </c>
      <c r="S5" s="1">
        <f t="shared" si="4"/>
        <v>300</v>
      </c>
      <c r="T5" s="1">
        <f t="shared" si="4"/>
        <v>550</v>
      </c>
      <c r="U5" s="1">
        <f t="shared" si="4"/>
        <v>660</v>
      </c>
      <c r="V5" s="1">
        <f t="shared" si="4"/>
        <v>792</v>
      </c>
      <c r="W5" s="1">
        <f t="shared" si="4"/>
        <v>950.4</v>
      </c>
      <c r="X5" s="1">
        <f t="shared" si="4"/>
        <v>959.904</v>
      </c>
      <c r="Y5" s="1">
        <f t="shared" si="4"/>
        <v>969.50304000000006</v>
      </c>
      <c r="Z5" s="1">
        <f t="shared" si="4"/>
        <v>979.19807040000012</v>
      </c>
    </row>
    <row r="6" spans="1:194" x14ac:dyDescent="0.35">
      <c r="B6" t="s">
        <v>18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O6">
        <f>SUM(E6:H6)</f>
        <v>0</v>
      </c>
      <c r="P6">
        <f>SUM(I6:L6)</f>
        <v>0</v>
      </c>
      <c r="Q6" s="1">
        <v>0</v>
      </c>
      <c r="R6" s="1">
        <f>R5*0.1</f>
        <v>10</v>
      </c>
      <c r="S6" s="1">
        <f t="shared" ref="S6:Z6" si="5">S5*0.1</f>
        <v>30</v>
      </c>
      <c r="T6" s="1">
        <f t="shared" si="5"/>
        <v>55</v>
      </c>
      <c r="U6" s="1">
        <f t="shared" si="5"/>
        <v>66</v>
      </c>
      <c r="V6" s="1">
        <f t="shared" si="5"/>
        <v>79.2</v>
      </c>
      <c r="W6" s="1">
        <f t="shared" si="5"/>
        <v>95.04</v>
      </c>
      <c r="X6" s="1">
        <f t="shared" si="5"/>
        <v>95.990400000000008</v>
      </c>
      <c r="Y6" s="1">
        <f t="shared" si="5"/>
        <v>96.950304000000017</v>
      </c>
      <c r="Z6" s="1">
        <f t="shared" si="5"/>
        <v>97.919807040000023</v>
      </c>
    </row>
    <row r="7" spans="1:194" x14ac:dyDescent="0.35">
      <c r="B7" t="s">
        <v>19</v>
      </c>
      <c r="C7" s="1">
        <f>C5-C6</f>
        <v>0</v>
      </c>
      <c r="D7" s="1">
        <f>D5-D6</f>
        <v>0</v>
      </c>
      <c r="E7" s="1">
        <f>E5-E6</f>
        <v>0</v>
      </c>
      <c r="F7" s="1">
        <f>F5-F6</f>
        <v>0</v>
      </c>
      <c r="G7" s="1">
        <f>G5-G6</f>
        <v>0</v>
      </c>
      <c r="H7" s="1">
        <f>H5-H6</f>
        <v>0</v>
      </c>
      <c r="I7" s="1">
        <f>I5-I6</f>
        <v>0</v>
      </c>
      <c r="J7" s="1">
        <f>J5-J6</f>
        <v>0</v>
      </c>
      <c r="K7" s="1">
        <f t="shared" ref="K7:L7" si="6">K5-K6</f>
        <v>0</v>
      </c>
      <c r="L7" s="1">
        <f t="shared" si="6"/>
        <v>0</v>
      </c>
      <c r="O7" s="1">
        <f>O5-O6</f>
        <v>0</v>
      </c>
      <c r="P7" s="1">
        <f>P5-P6</f>
        <v>0</v>
      </c>
      <c r="Q7" s="1">
        <f>Q5-Q6</f>
        <v>0</v>
      </c>
      <c r="R7" s="1">
        <f t="shared" ref="R7:Z7" si="7">R5-R6</f>
        <v>90</v>
      </c>
      <c r="S7" s="1">
        <f t="shared" si="7"/>
        <v>270</v>
      </c>
      <c r="T7" s="1">
        <f t="shared" si="7"/>
        <v>495</v>
      </c>
      <c r="U7" s="1">
        <f t="shared" si="7"/>
        <v>594</v>
      </c>
      <c r="V7" s="1">
        <f t="shared" si="7"/>
        <v>712.8</v>
      </c>
      <c r="W7" s="1">
        <f t="shared" si="7"/>
        <v>855.36</v>
      </c>
      <c r="X7" s="1">
        <f t="shared" si="7"/>
        <v>863.91359999999997</v>
      </c>
      <c r="Y7" s="1">
        <f t="shared" si="7"/>
        <v>872.5527360000001</v>
      </c>
      <c r="Z7" s="1">
        <f t="shared" si="7"/>
        <v>881.2782633600001</v>
      </c>
    </row>
    <row r="8" spans="1:194" x14ac:dyDescent="0.35">
      <c r="B8" t="s">
        <v>20</v>
      </c>
      <c r="C8" s="1">
        <v>8.0410000000000004</v>
      </c>
      <c r="D8" s="1">
        <v>10.342000000000001</v>
      </c>
      <c r="E8" s="1">
        <v>14.906000000000001</v>
      </c>
      <c r="F8" s="1">
        <v>16.948</v>
      </c>
      <c r="G8" s="1">
        <v>18.526</v>
      </c>
      <c r="H8" s="1">
        <v>17.652000000000001</v>
      </c>
      <c r="I8" s="1">
        <v>22.12</v>
      </c>
      <c r="J8" s="1">
        <v>24.969000000000001</v>
      </c>
      <c r="K8" s="1">
        <f>G8*1.45</f>
        <v>26.8627</v>
      </c>
      <c r="L8" s="1">
        <f>H8*1.45</f>
        <v>25.595400000000001</v>
      </c>
      <c r="O8" s="1">
        <f>SUM(E8:H8)</f>
        <v>68.031999999999996</v>
      </c>
      <c r="P8" s="1">
        <f>SUM(I8:L8)</f>
        <v>99.5471</v>
      </c>
      <c r="Q8" s="1">
        <f>P8*1.35</f>
        <v>134.38858500000001</v>
      </c>
      <c r="R8" s="1">
        <f>Q8*1.25</f>
        <v>167.98573125000001</v>
      </c>
      <c r="S8" s="1">
        <f>R8*1.2</f>
        <v>201.58287750000002</v>
      </c>
      <c r="T8" s="1">
        <f>S8*1.1</f>
        <v>221.74116525000005</v>
      </c>
      <c r="U8" s="1">
        <f>T8*1.05</f>
        <v>232.82822351250007</v>
      </c>
      <c r="V8" s="1">
        <f t="shared" ref="V8:Z8" si="8">U8*1.05</f>
        <v>244.4696346881251</v>
      </c>
      <c r="W8" s="1">
        <f>V8*0.98</f>
        <v>239.58024199436258</v>
      </c>
      <c r="X8" s="1">
        <f t="shared" ref="X8:Z8" si="9">W8*0.98</f>
        <v>234.78863715447534</v>
      </c>
      <c r="Y8" s="1">
        <f t="shared" si="9"/>
        <v>230.09286441138582</v>
      </c>
      <c r="Z8" s="1">
        <f t="shared" si="9"/>
        <v>225.49100712315808</v>
      </c>
    </row>
    <row r="9" spans="1:194" x14ac:dyDescent="0.35">
      <c r="B9" t="s">
        <v>21</v>
      </c>
      <c r="C9" s="1">
        <v>1.712</v>
      </c>
      <c r="D9" s="1">
        <v>4.1020000000000003</v>
      </c>
      <c r="E9" s="1">
        <v>2.915</v>
      </c>
      <c r="F9" s="1">
        <v>2.9689999999999999</v>
      </c>
      <c r="G9" s="1">
        <v>2.819</v>
      </c>
      <c r="H9" s="1">
        <v>3.2850000000000001</v>
      </c>
      <c r="I9" s="1">
        <v>4.3920000000000003</v>
      </c>
      <c r="J9" s="1">
        <v>3.8079999999999998</v>
      </c>
      <c r="K9" s="1">
        <f>G9*1.3</f>
        <v>3.6646999999999998</v>
      </c>
      <c r="L9" s="1">
        <f>H9*1.3</f>
        <v>4.2705000000000002</v>
      </c>
      <c r="O9" s="1">
        <f>SUM(E9:H9)</f>
        <v>11.988</v>
      </c>
      <c r="P9" s="1">
        <f>SUM(I9:L9)</f>
        <v>16.135199999999998</v>
      </c>
      <c r="Q9" s="1">
        <f>P9*1.3</f>
        <v>20.975759999999998</v>
      </c>
      <c r="R9" s="1">
        <f>Q9*1.25</f>
        <v>26.219699999999996</v>
      </c>
      <c r="S9" s="1">
        <f>R9*1.2</f>
        <v>31.463639999999995</v>
      </c>
      <c r="T9" s="1">
        <f>S9*1.15</f>
        <v>36.183185999999992</v>
      </c>
      <c r="U9" s="1">
        <f>T9*1.1</f>
        <v>39.801504599999994</v>
      </c>
      <c r="V9" s="1">
        <f>U9*1.05</f>
        <v>41.791579829999996</v>
      </c>
      <c r="W9" s="1">
        <f>V9*0.98</f>
        <v>40.955748233399994</v>
      </c>
      <c r="X9" s="1">
        <f t="shared" ref="X9:Z9" si="10">W9*0.98</f>
        <v>40.136633268731991</v>
      </c>
      <c r="Y9" s="1">
        <f t="shared" si="10"/>
        <v>39.33390060335735</v>
      </c>
      <c r="Z9" s="1">
        <f t="shared" si="10"/>
        <v>38.5472225912902</v>
      </c>
    </row>
    <row r="10" spans="1:194" x14ac:dyDescent="0.35">
      <c r="B10" t="s">
        <v>22</v>
      </c>
      <c r="C10" s="1">
        <f>SUM(C8:C9)</f>
        <v>9.7530000000000001</v>
      </c>
      <c r="D10" s="1">
        <f>SUM(D8:D9)</f>
        <v>14.444000000000001</v>
      </c>
      <c r="E10" s="1">
        <f>SUM(E8:E9)</f>
        <v>17.821000000000002</v>
      </c>
      <c r="F10" s="1">
        <f>SUM(F8:F9)</f>
        <v>19.917000000000002</v>
      </c>
      <c r="G10" s="1">
        <f>SUM(G8:G9)</f>
        <v>21.344999999999999</v>
      </c>
      <c r="H10" s="1">
        <f>SUM(H8:H9)</f>
        <v>20.937000000000001</v>
      </c>
      <c r="I10" s="1">
        <f>SUM(I8:I9)</f>
        <v>26.512</v>
      </c>
      <c r="J10" s="1">
        <f>SUM(J8:J9)</f>
        <v>28.777000000000001</v>
      </c>
      <c r="K10" s="1">
        <f t="shared" ref="K10:L10" si="11">SUM(K8:K9)</f>
        <v>30.5274</v>
      </c>
      <c r="L10" s="1">
        <f t="shared" si="11"/>
        <v>29.865900000000003</v>
      </c>
      <c r="O10" s="1">
        <f t="shared" ref="O10:Q10" si="12">SUM(O8:O9)</f>
        <v>80.02</v>
      </c>
      <c r="P10" s="1">
        <f t="shared" si="12"/>
        <v>115.6823</v>
      </c>
      <c r="Q10" s="1">
        <f t="shared" si="12"/>
        <v>155.36434500000001</v>
      </c>
      <c r="R10" s="1">
        <f t="shared" ref="R10" si="13">SUM(R8:R9)</f>
        <v>194.20543125</v>
      </c>
      <c r="S10" s="1">
        <f t="shared" ref="S10" si="14">SUM(S8:S9)</f>
        <v>233.04651750000002</v>
      </c>
      <c r="T10" s="1">
        <f t="shared" ref="T10" si="15">SUM(T8:T9)</f>
        <v>257.92435125000003</v>
      </c>
      <c r="U10" s="1">
        <f t="shared" ref="U10" si="16">SUM(U8:U9)</f>
        <v>272.62972811250006</v>
      </c>
      <c r="V10" s="1">
        <f t="shared" ref="V10" si="17">SUM(V8:V9)</f>
        <v>286.26121451812509</v>
      </c>
      <c r="W10" s="1">
        <f t="shared" ref="W10" si="18">SUM(W8:W9)</f>
        <v>280.53599022776257</v>
      </c>
      <c r="X10" s="1">
        <f t="shared" ref="X10" si="19">SUM(X8:X9)</f>
        <v>274.92527042320734</v>
      </c>
      <c r="Y10" s="1">
        <f t="shared" ref="Y10" si="20">SUM(Y8:Y9)</f>
        <v>269.42676501474318</v>
      </c>
      <c r="Z10" s="1">
        <f t="shared" ref="Z10" si="21">SUM(Z8:Z9)</f>
        <v>264.03822971444828</v>
      </c>
    </row>
    <row r="11" spans="1:194" x14ac:dyDescent="0.35">
      <c r="B11" t="s">
        <v>23</v>
      </c>
      <c r="C11" s="1">
        <f>C7-C10</f>
        <v>-9.7530000000000001</v>
      </c>
      <c r="D11" s="1">
        <f>D7-D10</f>
        <v>-14.444000000000001</v>
      </c>
      <c r="E11" s="1">
        <f>E7-E10</f>
        <v>-17.821000000000002</v>
      </c>
      <c r="F11" s="1">
        <f>F7-F10</f>
        <v>-19.917000000000002</v>
      </c>
      <c r="G11" s="1">
        <f>G7-G10</f>
        <v>-21.344999999999999</v>
      </c>
      <c r="H11" s="1">
        <f>H7-H10</f>
        <v>-20.937000000000001</v>
      </c>
      <c r="I11" s="1">
        <f>I7-I10</f>
        <v>-26.512</v>
      </c>
      <c r="J11" s="1">
        <f>J7-J10</f>
        <v>-28.777000000000001</v>
      </c>
      <c r="K11" s="1">
        <f t="shared" ref="K11:L11" si="22">K7-K10</f>
        <v>-30.5274</v>
      </c>
      <c r="L11" s="1">
        <f t="shared" si="22"/>
        <v>-29.865900000000003</v>
      </c>
      <c r="O11" s="1">
        <f t="shared" ref="O11:Q11" si="23">O7-O10</f>
        <v>-80.02</v>
      </c>
      <c r="P11" s="1">
        <f t="shared" si="23"/>
        <v>-115.6823</v>
      </c>
      <c r="Q11" s="1">
        <f t="shared" si="23"/>
        <v>-155.36434500000001</v>
      </c>
      <c r="R11" s="1">
        <f t="shared" ref="R11" si="24">R7-R10</f>
        <v>-104.20543125</v>
      </c>
      <c r="S11" s="1">
        <f t="shared" ref="S11" si="25">S7-S10</f>
        <v>36.953482499999978</v>
      </c>
      <c r="T11" s="1">
        <f t="shared" ref="T11" si="26">T7-T10</f>
        <v>237.07564874999997</v>
      </c>
      <c r="U11" s="1">
        <f t="shared" ref="U11" si="27">U7-U10</f>
        <v>321.37027188749994</v>
      </c>
      <c r="V11" s="1">
        <f t="shared" ref="V11" si="28">V7-V10</f>
        <v>426.53878548187487</v>
      </c>
      <c r="W11" s="1">
        <f t="shared" ref="W11" si="29">W7-W10</f>
        <v>574.82400977223745</v>
      </c>
      <c r="X11" s="1">
        <f t="shared" ref="X11" si="30">X7-X10</f>
        <v>588.98832957679269</v>
      </c>
      <c r="Y11" s="1">
        <f t="shared" ref="Y11" si="31">Y7-Y10</f>
        <v>603.12597098525691</v>
      </c>
      <c r="Z11" s="1">
        <f t="shared" ref="Z11" si="32">Z7-Z10</f>
        <v>617.24003364555188</v>
      </c>
    </row>
    <row r="12" spans="1:194" x14ac:dyDescent="0.35">
      <c r="B12" t="s">
        <v>24</v>
      </c>
      <c r="C12" s="1">
        <v>1.4999999999999999E-2</v>
      </c>
      <c r="D12" s="1">
        <v>1.4E-2</v>
      </c>
      <c r="E12" s="1">
        <v>3.1E-2</v>
      </c>
      <c r="F12" s="1">
        <v>0.314</v>
      </c>
      <c r="G12" s="1">
        <v>0.878</v>
      </c>
      <c r="H12" s="1">
        <v>1.554</v>
      </c>
      <c r="I12" s="1">
        <v>2.0510000000000002</v>
      </c>
      <c r="J12" s="1">
        <v>2.198</v>
      </c>
      <c r="K12" s="1">
        <v>2.2999999999999998</v>
      </c>
      <c r="L12" s="1">
        <v>2.5</v>
      </c>
      <c r="O12" s="1">
        <f>SUM(E12:H12)</f>
        <v>2.7770000000000001</v>
      </c>
      <c r="P12" s="1">
        <f>SUM(I12:L12)</f>
        <v>9.0489999999999995</v>
      </c>
      <c r="Q12" s="1">
        <f>P27*AC20</f>
        <v>2.2648939999999995</v>
      </c>
      <c r="R12" s="1">
        <f>Q27*$AC$20</f>
        <v>-0.78044202000000074</v>
      </c>
      <c r="S12" s="1">
        <f t="shared" ref="S12:Z12" si="33">R27*$AC$20</f>
        <v>-2.8626738354000008</v>
      </c>
      <c r="T12" s="1">
        <f t="shared" si="33"/>
        <v>-2.3025329507664014</v>
      </c>
      <c r="U12" s="1">
        <f t="shared" si="33"/>
        <v>1.4692592453213362</v>
      </c>
      <c r="V12" s="1">
        <f t="shared" si="33"/>
        <v>6.6508852039114768</v>
      </c>
      <c r="W12" s="1">
        <f t="shared" si="33"/>
        <v>13.598923068372308</v>
      </c>
      <c r="X12" s="1">
        <f t="shared" si="33"/>
        <v>23.031543283984725</v>
      </c>
      <c r="Y12" s="1">
        <f t="shared" si="33"/>
        <v>32.842607204427956</v>
      </c>
      <c r="Z12" s="1">
        <f>Y27*$AC$20</f>
        <v>43.03778770786726</v>
      </c>
    </row>
    <row r="13" spans="1:194" x14ac:dyDescent="0.35">
      <c r="B13" t="s">
        <v>25</v>
      </c>
      <c r="C13" s="1">
        <v>0.17599999999999999</v>
      </c>
      <c r="D13" s="1">
        <v>0.25800000000000001</v>
      </c>
      <c r="E13" s="1">
        <v>0.26300000000000001</v>
      </c>
      <c r="F13" s="1">
        <v>0.27500000000000002</v>
      </c>
      <c r="G13" s="1">
        <v>0.21</v>
      </c>
      <c r="H13" s="1">
        <v>0.249</v>
      </c>
      <c r="I13" s="1">
        <v>0.19</v>
      </c>
      <c r="J13" s="1">
        <v>0.20300000000000001</v>
      </c>
      <c r="K13" s="1">
        <v>0.2</v>
      </c>
      <c r="L13" s="1">
        <v>0.2</v>
      </c>
      <c r="O13" s="1">
        <f>SUM(E13:H13)</f>
        <v>0.997</v>
      </c>
      <c r="P13" s="1">
        <f>SUM(I13:L13)</f>
        <v>0.79299999999999993</v>
      </c>
      <c r="Q13" s="1">
        <f>P13*1.05</f>
        <v>0.83265</v>
      </c>
      <c r="R13" s="1">
        <f t="shared" ref="R13:Z13" si="34">Q13*1.05</f>
        <v>0.87428250000000007</v>
      </c>
      <c r="S13" s="1">
        <f t="shared" si="34"/>
        <v>0.91799662500000012</v>
      </c>
      <c r="T13" s="1">
        <f t="shared" si="34"/>
        <v>0.9638964562500002</v>
      </c>
      <c r="U13" s="1">
        <f t="shared" si="34"/>
        <v>1.0120912790625003</v>
      </c>
      <c r="V13" s="1">
        <f t="shared" si="34"/>
        <v>1.0626958430156253</v>
      </c>
      <c r="W13" s="1">
        <f t="shared" si="34"/>
        <v>1.1158306351664065</v>
      </c>
      <c r="X13" s="1">
        <f t="shared" si="34"/>
        <v>1.1716221669247269</v>
      </c>
      <c r="Y13" s="1">
        <f t="shared" si="34"/>
        <v>1.2302032752709633</v>
      </c>
      <c r="Z13" s="1">
        <f t="shared" si="34"/>
        <v>1.2917134390345115</v>
      </c>
    </row>
    <row r="14" spans="1:194" x14ac:dyDescent="0.35">
      <c r="B14" t="s">
        <v>26</v>
      </c>
      <c r="C14" s="1">
        <f>C11+C12+C13</f>
        <v>-9.5619999999999994</v>
      </c>
      <c r="D14" s="1">
        <f>D11+D12+D13</f>
        <v>-14.172000000000001</v>
      </c>
      <c r="E14" s="1">
        <f>E11+E12+E13</f>
        <v>-17.527000000000001</v>
      </c>
      <c r="F14" s="1">
        <f>F11+F12+F13</f>
        <v>-19.328000000000003</v>
      </c>
      <c r="G14" s="1">
        <f>G11+G12+G13</f>
        <v>-20.256999999999998</v>
      </c>
      <c r="H14" s="1">
        <f>H11+H12+H13</f>
        <v>-19.134000000000004</v>
      </c>
      <c r="I14" s="1">
        <f>I11+I12+I13</f>
        <v>-24.270999999999997</v>
      </c>
      <c r="J14" s="1">
        <f>J11+J12+J13</f>
        <v>-26.376000000000001</v>
      </c>
      <c r="K14" s="1">
        <f t="shared" ref="K14:L14" si="35">K11+K12+K13</f>
        <v>-28.0274</v>
      </c>
      <c r="L14" s="1">
        <f t="shared" si="35"/>
        <v>-27.165900000000004</v>
      </c>
      <c r="O14" s="1">
        <f t="shared" ref="O14:Q14" si="36">O11+O12+O13</f>
        <v>-76.245999999999995</v>
      </c>
      <c r="P14" s="1">
        <f t="shared" si="36"/>
        <v>-105.84029999999998</v>
      </c>
      <c r="Q14" s="1">
        <f t="shared" si="36"/>
        <v>-152.26680100000002</v>
      </c>
      <c r="R14" s="1">
        <f t="shared" ref="R14" si="37">R11+R12+R13</f>
        <v>-104.11159076999999</v>
      </c>
      <c r="S14" s="1">
        <f t="shared" ref="S14" si="38">S11+S12+S13</f>
        <v>35.008805289599977</v>
      </c>
      <c r="T14" s="1">
        <f t="shared" ref="T14" si="39">T11+T12+T13</f>
        <v>235.73701225548359</v>
      </c>
      <c r="U14" s="1">
        <f t="shared" ref="U14" si="40">U11+U12+U13</f>
        <v>323.85162241188374</v>
      </c>
      <c r="V14" s="1">
        <f t="shared" ref="V14" si="41">V11+V12+V13</f>
        <v>434.25236652880193</v>
      </c>
      <c r="W14" s="1">
        <f t="shared" ref="W14" si="42">W11+W12+W13</f>
        <v>589.53876347577614</v>
      </c>
      <c r="X14" s="1">
        <f t="shared" ref="X14" si="43">X11+X12+X13</f>
        <v>613.19149502770222</v>
      </c>
      <c r="Y14" s="1">
        <f t="shared" ref="Y14" si="44">Y11+Y12+Y13</f>
        <v>637.1987814649558</v>
      </c>
      <c r="Z14" s="1">
        <f t="shared" ref="Z14" si="45">Z11+Z12+Z13</f>
        <v>661.56953479245362</v>
      </c>
    </row>
    <row r="15" spans="1:194" x14ac:dyDescent="0.35">
      <c r="B15" t="s">
        <v>27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O15" s="1">
        <f>SUM(E15:H15)</f>
        <v>0</v>
      </c>
      <c r="P15" s="1">
        <f>SUM(I15:L15)</f>
        <v>0</v>
      </c>
      <c r="Q15" s="1">
        <v>0</v>
      </c>
      <c r="R15" s="1">
        <v>0</v>
      </c>
      <c r="S15" s="1">
        <f>S14*0.2</f>
        <v>7.001761057919996</v>
      </c>
      <c r="T15" s="1">
        <f t="shared" ref="T15:Z15" si="46">T14*0.2</f>
        <v>47.147402451096724</v>
      </c>
      <c r="U15" s="1">
        <f t="shared" si="46"/>
        <v>64.770324482376751</v>
      </c>
      <c r="V15" s="1">
        <f t="shared" si="46"/>
        <v>86.850473305760389</v>
      </c>
      <c r="W15" s="1">
        <f t="shared" si="46"/>
        <v>117.90775269515524</v>
      </c>
      <c r="X15" s="1">
        <f t="shared" si="46"/>
        <v>122.63829900554045</v>
      </c>
      <c r="Y15" s="1">
        <f t="shared" si="46"/>
        <v>127.43975629299116</v>
      </c>
      <c r="Z15" s="1">
        <f t="shared" si="46"/>
        <v>132.31390695849072</v>
      </c>
    </row>
    <row r="16" spans="1:194" s="6" customFormat="1" x14ac:dyDescent="0.35">
      <c r="A16" s="5"/>
      <c r="B16" s="5" t="s">
        <v>28</v>
      </c>
      <c r="C16" s="6">
        <f>C14-C15</f>
        <v>-9.5619999999999994</v>
      </c>
      <c r="D16" s="6">
        <f>D14-D15</f>
        <v>-14.172000000000001</v>
      </c>
      <c r="E16" s="6">
        <f>E14-E15</f>
        <v>-17.527000000000001</v>
      </c>
      <c r="F16" s="6">
        <f>F14-F15</f>
        <v>-19.328000000000003</v>
      </c>
      <c r="G16" s="6">
        <f>G14-G15</f>
        <v>-20.256999999999998</v>
      </c>
      <c r="H16" s="6">
        <f>H14-H15</f>
        <v>-19.134000000000004</v>
      </c>
      <c r="I16" s="6">
        <f>I14-I15</f>
        <v>-24.270999999999997</v>
      </c>
      <c r="J16" s="6">
        <f>J14-J15</f>
        <v>-26.376000000000001</v>
      </c>
      <c r="K16" s="6">
        <f t="shared" ref="K16:L16" si="47">K14-K15</f>
        <v>-28.0274</v>
      </c>
      <c r="L16" s="6">
        <f t="shared" si="47"/>
        <v>-27.165900000000004</v>
      </c>
      <c r="O16" s="6">
        <f t="shared" ref="O16:Q16" si="48">O14-O15</f>
        <v>-76.245999999999995</v>
      </c>
      <c r="P16" s="6">
        <f t="shared" si="48"/>
        <v>-105.84029999999998</v>
      </c>
      <c r="Q16" s="6">
        <f t="shared" si="48"/>
        <v>-152.26680100000002</v>
      </c>
      <c r="R16" s="6">
        <f t="shared" ref="R16" si="49">R14-R15</f>
        <v>-104.11159076999999</v>
      </c>
      <c r="S16" s="6">
        <f t="shared" ref="S16" si="50">S14-S15</f>
        <v>28.007044231679981</v>
      </c>
      <c r="T16" s="6">
        <f t="shared" ref="T16" si="51">T14-T15</f>
        <v>188.58960980438687</v>
      </c>
      <c r="U16" s="6">
        <f t="shared" ref="U16" si="52">U14-U15</f>
        <v>259.081297929507</v>
      </c>
      <c r="V16" s="6">
        <f t="shared" ref="V16" si="53">V14-V15</f>
        <v>347.40189322304155</v>
      </c>
      <c r="W16" s="6">
        <f t="shared" ref="W16" si="54">W14-W15</f>
        <v>471.6310107806209</v>
      </c>
      <c r="X16" s="6">
        <f t="shared" ref="X16" si="55">X14-X15</f>
        <v>490.55319602216179</v>
      </c>
      <c r="Y16" s="6">
        <f t="shared" ref="Y16" si="56">Y14-Y15</f>
        <v>509.75902517196465</v>
      </c>
      <c r="Z16" s="6">
        <f t="shared" ref="Z16" si="57">Z14-Z15</f>
        <v>529.25562783396288</v>
      </c>
      <c r="AA16" s="6">
        <f>Z16*(1+$AC$21)</f>
        <v>523.96307155562329</v>
      </c>
      <c r="AB16" s="6">
        <f t="shared" ref="AB16:CM16" si="58">AA16*(1+$AC$21)</f>
        <v>518.72344084006704</v>
      </c>
      <c r="AC16" s="6">
        <f t="shared" si="58"/>
        <v>513.53620643166641</v>
      </c>
      <c r="AD16" s="6">
        <f t="shared" si="58"/>
        <v>508.40084436734975</v>
      </c>
      <c r="AE16" s="6">
        <f t="shared" si="58"/>
        <v>503.31683592367625</v>
      </c>
      <c r="AF16" s="6">
        <f t="shared" si="58"/>
        <v>498.2836675644395</v>
      </c>
      <c r="AG16" s="6">
        <f t="shared" si="58"/>
        <v>493.30083088879508</v>
      </c>
      <c r="AH16" s="6">
        <f t="shared" si="58"/>
        <v>488.36782257990711</v>
      </c>
      <c r="AI16" s="6">
        <f t="shared" si="58"/>
        <v>483.48414435410803</v>
      </c>
      <c r="AJ16" s="6">
        <f t="shared" si="58"/>
        <v>478.64930291056692</v>
      </c>
      <c r="AK16" s="6">
        <f t="shared" si="58"/>
        <v>473.86280988146126</v>
      </c>
      <c r="AL16" s="6">
        <f t="shared" si="58"/>
        <v>469.12418178264664</v>
      </c>
      <c r="AM16" s="6">
        <f t="shared" si="58"/>
        <v>464.43293996482015</v>
      </c>
      <c r="AN16" s="6">
        <f t="shared" si="58"/>
        <v>459.78861056517195</v>
      </c>
      <c r="AO16" s="6">
        <f t="shared" si="58"/>
        <v>455.19072445952025</v>
      </c>
      <c r="AP16" s="6">
        <f t="shared" si="58"/>
        <v>450.63881721492504</v>
      </c>
      <c r="AQ16" s="6">
        <f t="shared" si="58"/>
        <v>446.13242904277581</v>
      </c>
      <c r="AR16" s="6">
        <f t="shared" si="58"/>
        <v>441.67110475234807</v>
      </c>
      <c r="AS16" s="6">
        <f t="shared" si="58"/>
        <v>437.25439370482457</v>
      </c>
      <c r="AT16" s="6">
        <f t="shared" si="58"/>
        <v>432.88184976777632</v>
      </c>
      <c r="AU16" s="6">
        <f t="shared" si="58"/>
        <v>428.55303127009853</v>
      </c>
      <c r="AV16" s="6">
        <f t="shared" si="58"/>
        <v>424.26750095739754</v>
      </c>
      <c r="AW16" s="6">
        <f t="shared" si="58"/>
        <v>420.02482594782356</v>
      </c>
      <c r="AX16" s="6">
        <f t="shared" si="58"/>
        <v>415.8245776883453</v>
      </c>
      <c r="AY16" s="6">
        <f t="shared" si="58"/>
        <v>411.66633191146184</v>
      </c>
      <c r="AZ16" s="6">
        <f t="shared" si="58"/>
        <v>407.54966859234719</v>
      </c>
      <c r="BA16" s="6">
        <f t="shared" si="58"/>
        <v>403.47417190642369</v>
      </c>
      <c r="BB16" s="6">
        <f t="shared" si="58"/>
        <v>399.43943018735945</v>
      </c>
      <c r="BC16" s="6">
        <f t="shared" si="58"/>
        <v>395.44503588548582</v>
      </c>
      <c r="BD16" s="6">
        <f t="shared" si="58"/>
        <v>391.49058552663098</v>
      </c>
      <c r="BE16" s="6">
        <f t="shared" si="58"/>
        <v>387.57567967136464</v>
      </c>
      <c r="BF16" s="6">
        <f t="shared" si="58"/>
        <v>383.69992287465101</v>
      </c>
      <c r="BG16" s="6">
        <f t="shared" si="58"/>
        <v>379.86292364590452</v>
      </c>
      <c r="BH16" s="6">
        <f t="shared" si="58"/>
        <v>376.06429440944549</v>
      </c>
      <c r="BI16" s="6">
        <f t="shared" si="58"/>
        <v>372.30365146535104</v>
      </c>
      <c r="BJ16" s="6">
        <f t="shared" si="58"/>
        <v>368.58061495069751</v>
      </c>
      <c r="BK16" s="6">
        <f t="shared" si="58"/>
        <v>364.89480880119055</v>
      </c>
      <c r="BL16" s="6">
        <f t="shared" si="58"/>
        <v>361.24586071317862</v>
      </c>
      <c r="BM16" s="6">
        <f t="shared" si="58"/>
        <v>357.63340210604684</v>
      </c>
      <c r="BN16" s="6">
        <f t="shared" si="58"/>
        <v>354.05706808498638</v>
      </c>
      <c r="BO16" s="6">
        <f t="shared" si="58"/>
        <v>350.51649740413654</v>
      </c>
      <c r="BP16" s="6">
        <f t="shared" si="58"/>
        <v>347.01133243009519</v>
      </c>
      <c r="BQ16" s="6">
        <f t="shared" si="58"/>
        <v>343.54121910579426</v>
      </c>
      <c r="BR16" s="6">
        <f t="shared" si="58"/>
        <v>340.10580691473632</v>
      </c>
      <c r="BS16" s="6">
        <f t="shared" si="58"/>
        <v>336.70474884558894</v>
      </c>
      <c r="BT16" s="6">
        <f t="shared" si="58"/>
        <v>333.33770135713303</v>
      </c>
      <c r="BU16" s="6">
        <f t="shared" si="58"/>
        <v>330.00432434356168</v>
      </c>
      <c r="BV16" s="6">
        <f t="shared" si="58"/>
        <v>326.70428110012608</v>
      </c>
      <c r="BW16" s="6">
        <f t="shared" si="58"/>
        <v>323.43723828912482</v>
      </c>
      <c r="BX16" s="6">
        <f t="shared" si="58"/>
        <v>320.20286590623357</v>
      </c>
      <c r="BY16" s="6">
        <f t="shared" si="58"/>
        <v>317.00083724717121</v>
      </c>
      <c r="BZ16" s="6">
        <f t="shared" si="58"/>
        <v>313.83082887469948</v>
      </c>
      <c r="CA16" s="6">
        <f t="shared" si="58"/>
        <v>310.69252058595248</v>
      </c>
      <c r="CB16" s="6">
        <f t="shared" si="58"/>
        <v>307.58559538009297</v>
      </c>
      <c r="CC16" s="6">
        <f t="shared" si="58"/>
        <v>304.50973942629201</v>
      </c>
      <c r="CD16" s="6">
        <f t="shared" si="58"/>
        <v>301.46464203202908</v>
      </c>
      <c r="CE16" s="6">
        <f t="shared" si="58"/>
        <v>298.4499956117088</v>
      </c>
      <c r="CF16" s="6">
        <f t="shared" si="58"/>
        <v>295.46549565559172</v>
      </c>
      <c r="CG16" s="6">
        <f t="shared" si="58"/>
        <v>292.51084069903578</v>
      </c>
      <c r="CH16" s="6">
        <f t="shared" si="58"/>
        <v>289.58573229204541</v>
      </c>
      <c r="CI16" s="6">
        <f t="shared" si="58"/>
        <v>286.68987496912496</v>
      </c>
      <c r="CJ16" s="6">
        <f t="shared" si="58"/>
        <v>283.82297621943371</v>
      </c>
      <c r="CK16" s="6">
        <f t="shared" si="58"/>
        <v>280.9847464572394</v>
      </c>
      <c r="CL16" s="6">
        <f t="shared" si="58"/>
        <v>278.17489899266701</v>
      </c>
      <c r="CM16" s="6">
        <f t="shared" si="58"/>
        <v>275.39315000274036</v>
      </c>
      <c r="CN16" s="6">
        <f t="shared" ref="CN16:EY16" si="59">CM16*(1+$AC$21)</f>
        <v>272.63921850271294</v>
      </c>
      <c r="CO16" s="6">
        <f t="shared" si="59"/>
        <v>269.91282631768581</v>
      </c>
      <c r="CP16" s="6">
        <f t="shared" si="59"/>
        <v>267.21369805450894</v>
      </c>
      <c r="CQ16" s="6">
        <f t="shared" si="59"/>
        <v>264.54156107396386</v>
      </c>
      <c r="CR16" s="6">
        <f t="shared" si="59"/>
        <v>261.89614546322423</v>
      </c>
      <c r="CS16" s="6">
        <f t="shared" si="59"/>
        <v>259.27718400859197</v>
      </c>
      <c r="CT16" s="6">
        <f t="shared" si="59"/>
        <v>256.68441216850607</v>
      </c>
      <c r="CU16" s="6">
        <f t="shared" si="59"/>
        <v>254.11756804682102</v>
      </c>
      <c r="CV16" s="6">
        <f t="shared" si="59"/>
        <v>251.57639236635282</v>
      </c>
      <c r="CW16" s="6">
        <f t="shared" si="59"/>
        <v>249.06062844268928</v>
      </c>
      <c r="CX16" s="6">
        <f t="shared" si="59"/>
        <v>246.57002215826239</v>
      </c>
      <c r="CY16" s="6">
        <f t="shared" si="59"/>
        <v>244.10432193667975</v>
      </c>
      <c r="CZ16" s="6">
        <f t="shared" si="59"/>
        <v>241.66327871731295</v>
      </c>
      <c r="DA16" s="6">
        <f t="shared" si="59"/>
        <v>239.24664593013981</v>
      </c>
      <c r="DB16" s="6">
        <f t="shared" si="59"/>
        <v>236.8541794708384</v>
      </c>
      <c r="DC16" s="6">
        <f t="shared" si="59"/>
        <v>234.48563767613001</v>
      </c>
      <c r="DD16" s="6">
        <f t="shared" si="59"/>
        <v>232.14078129936871</v>
      </c>
      <c r="DE16" s="6">
        <f t="shared" si="59"/>
        <v>229.81937348637501</v>
      </c>
      <c r="DF16" s="6">
        <f t="shared" si="59"/>
        <v>227.52117975151126</v>
      </c>
      <c r="DG16" s="6">
        <f t="shared" si="59"/>
        <v>225.24596795399614</v>
      </c>
      <c r="DH16" s="6">
        <f t="shared" si="59"/>
        <v>222.99350827445619</v>
      </c>
      <c r="DI16" s="6">
        <f t="shared" si="59"/>
        <v>220.76357319171163</v>
      </c>
      <c r="DJ16" s="6">
        <f t="shared" si="59"/>
        <v>218.55593745979451</v>
      </c>
      <c r="DK16" s="6">
        <f t="shared" si="59"/>
        <v>216.37037808519656</v>
      </c>
      <c r="DL16" s="6">
        <f t="shared" si="59"/>
        <v>214.2066743043446</v>
      </c>
      <c r="DM16" s="6">
        <f t="shared" si="59"/>
        <v>212.06460756130116</v>
      </c>
      <c r="DN16" s="6">
        <f t="shared" si="59"/>
        <v>209.94396148568813</v>
      </c>
      <c r="DO16" s="6">
        <f t="shared" si="59"/>
        <v>207.84452187083124</v>
      </c>
      <c r="DP16" s="6">
        <f t="shared" si="59"/>
        <v>205.76607665212293</v>
      </c>
      <c r="DQ16" s="6">
        <f t="shared" si="59"/>
        <v>203.70841588560171</v>
      </c>
      <c r="DR16" s="6">
        <f t="shared" si="59"/>
        <v>201.67133172674568</v>
      </c>
      <c r="DS16" s="6">
        <f t="shared" si="59"/>
        <v>199.65461840947822</v>
      </c>
      <c r="DT16" s="6">
        <f t="shared" si="59"/>
        <v>197.65807222538342</v>
      </c>
      <c r="DU16" s="6">
        <f t="shared" si="59"/>
        <v>195.68149150312959</v>
      </c>
      <c r="DV16" s="6">
        <f t="shared" si="59"/>
        <v>193.7246765880983</v>
      </c>
      <c r="DW16" s="6">
        <f t="shared" si="59"/>
        <v>191.78742982221732</v>
      </c>
      <c r="DX16" s="6">
        <f t="shared" si="59"/>
        <v>189.86955552399513</v>
      </c>
      <c r="DY16" s="6">
        <f t="shared" si="59"/>
        <v>187.97085996875518</v>
      </c>
      <c r="DZ16" s="6">
        <f t="shared" si="59"/>
        <v>186.09115136906763</v>
      </c>
      <c r="EA16" s="6">
        <f t="shared" si="59"/>
        <v>184.23023985537696</v>
      </c>
      <c r="EB16" s="6">
        <f t="shared" si="59"/>
        <v>182.38793745682318</v>
      </c>
      <c r="EC16" s="6">
        <f t="shared" si="59"/>
        <v>180.56405808225495</v>
      </c>
      <c r="ED16" s="6">
        <f t="shared" si="59"/>
        <v>178.7584175014324</v>
      </c>
      <c r="EE16" s="6">
        <f t="shared" si="59"/>
        <v>176.97083332641807</v>
      </c>
      <c r="EF16" s="6">
        <f t="shared" si="59"/>
        <v>175.20112499315388</v>
      </c>
      <c r="EG16" s="6">
        <f t="shared" si="59"/>
        <v>173.44911374322234</v>
      </c>
      <c r="EH16" s="6">
        <f t="shared" si="59"/>
        <v>171.71462260579011</v>
      </c>
      <c r="EI16" s="6">
        <f t="shared" si="59"/>
        <v>169.99747637973221</v>
      </c>
      <c r="EJ16" s="6">
        <f t="shared" si="59"/>
        <v>168.29750161593489</v>
      </c>
      <c r="EK16" s="6">
        <f t="shared" si="59"/>
        <v>166.61452659977553</v>
      </c>
      <c r="EL16" s="6">
        <f t="shared" si="59"/>
        <v>164.94838133377777</v>
      </c>
      <c r="EM16" s="6">
        <f t="shared" si="59"/>
        <v>163.29889752043999</v>
      </c>
      <c r="EN16" s="6">
        <f t="shared" si="59"/>
        <v>161.6659085452356</v>
      </c>
      <c r="EO16" s="6">
        <f t="shared" si="59"/>
        <v>160.04924945978323</v>
      </c>
      <c r="EP16" s="6">
        <f t="shared" si="59"/>
        <v>158.4487569651854</v>
      </c>
      <c r="EQ16" s="6">
        <f t="shared" si="59"/>
        <v>156.86426939553354</v>
      </c>
      <c r="ER16" s="6">
        <f t="shared" si="59"/>
        <v>155.29562670157821</v>
      </c>
      <c r="ES16" s="6">
        <f t="shared" si="59"/>
        <v>153.74267043456243</v>
      </c>
      <c r="ET16" s="6">
        <f t="shared" si="59"/>
        <v>152.20524373021681</v>
      </c>
      <c r="EU16" s="6">
        <f t="shared" si="59"/>
        <v>150.68319129291464</v>
      </c>
      <c r="EV16" s="6">
        <f t="shared" si="59"/>
        <v>149.17635937998548</v>
      </c>
      <c r="EW16" s="6">
        <f t="shared" si="59"/>
        <v>147.68459578618564</v>
      </c>
      <c r="EX16" s="6">
        <f t="shared" si="59"/>
        <v>146.20774982832378</v>
      </c>
      <c r="EY16" s="6">
        <f t="shared" si="59"/>
        <v>144.74567233004055</v>
      </c>
      <c r="EZ16" s="6">
        <f t="shared" ref="EZ16:GL16" si="60">EY16*(1+$AC$21)</f>
        <v>143.29821560674014</v>
      </c>
      <c r="FA16" s="6">
        <f t="shared" si="60"/>
        <v>141.86523345067275</v>
      </c>
      <c r="FB16" s="6">
        <f t="shared" si="60"/>
        <v>140.44658111616602</v>
      </c>
      <c r="FC16" s="6">
        <f t="shared" si="60"/>
        <v>139.04211530500436</v>
      </c>
      <c r="FD16" s="6">
        <f t="shared" si="60"/>
        <v>137.6516941519543</v>
      </c>
      <c r="FE16" s="6">
        <f t="shared" si="60"/>
        <v>136.27517721043475</v>
      </c>
      <c r="FF16" s="6">
        <f t="shared" si="60"/>
        <v>134.91242543833039</v>
      </c>
      <c r="FG16" s="6">
        <f t="shared" si="60"/>
        <v>133.56330118394709</v>
      </c>
      <c r="FH16" s="6">
        <f t="shared" si="60"/>
        <v>132.22766817210763</v>
      </c>
      <c r="FI16" s="6">
        <f t="shared" si="60"/>
        <v>130.90539149038656</v>
      </c>
      <c r="FJ16" s="6">
        <f t="shared" si="60"/>
        <v>129.59633757548269</v>
      </c>
      <c r="FK16" s="6">
        <f t="shared" si="60"/>
        <v>128.30037419972786</v>
      </c>
      <c r="FL16" s="6">
        <f t="shared" si="60"/>
        <v>127.01737045773058</v>
      </c>
      <c r="FM16" s="6">
        <f t="shared" si="60"/>
        <v>125.74719675315328</v>
      </c>
      <c r="FN16" s="6">
        <f t="shared" si="60"/>
        <v>124.48972478562175</v>
      </c>
      <c r="FO16" s="6">
        <f t="shared" si="60"/>
        <v>123.24482753776553</v>
      </c>
      <c r="FP16" s="6">
        <f t="shared" si="60"/>
        <v>122.01237926238788</v>
      </c>
      <c r="FQ16" s="6">
        <f t="shared" si="60"/>
        <v>120.792255469764</v>
      </c>
      <c r="FR16" s="6">
        <f t="shared" si="60"/>
        <v>119.58433291506635</v>
      </c>
      <c r="FS16" s="6">
        <f t="shared" si="60"/>
        <v>118.38848958591569</v>
      </c>
      <c r="FT16" s="6">
        <f t="shared" si="60"/>
        <v>117.20460469005654</v>
      </c>
      <c r="FU16" s="6">
        <f t="shared" si="60"/>
        <v>116.03255864315598</v>
      </c>
      <c r="FV16" s="6">
        <f t="shared" si="60"/>
        <v>114.87223305672443</v>
      </c>
      <c r="FW16" s="6">
        <f t="shared" si="60"/>
        <v>113.72351072615719</v>
      </c>
      <c r="FX16" s="6">
        <f t="shared" si="60"/>
        <v>112.58627561889561</v>
      </c>
      <c r="FY16" s="6">
        <f t="shared" si="60"/>
        <v>111.46041286270666</v>
      </c>
      <c r="FZ16" s="6">
        <f t="shared" si="60"/>
        <v>110.3458087340796</v>
      </c>
      <c r="GA16" s="6">
        <f t="shared" si="60"/>
        <v>109.2423506467388</v>
      </c>
      <c r="GB16" s="6">
        <f t="shared" si="60"/>
        <v>108.14992714027142</v>
      </c>
      <c r="GC16" s="6">
        <f t="shared" si="60"/>
        <v>107.0684278688687</v>
      </c>
      <c r="GD16" s="6">
        <f t="shared" si="60"/>
        <v>105.99774359018001</v>
      </c>
      <c r="GE16" s="6">
        <f t="shared" si="60"/>
        <v>104.93776615427821</v>
      </c>
      <c r="GF16" s="6">
        <f t="shared" si="60"/>
        <v>103.88838849273543</v>
      </c>
      <c r="GG16" s="6">
        <f t="shared" si="60"/>
        <v>102.84950460780807</v>
      </c>
      <c r="GH16" s="6">
        <f t="shared" si="60"/>
        <v>101.82100956172999</v>
      </c>
      <c r="GI16" s="6">
        <f t="shared" si="60"/>
        <v>100.80279946611269</v>
      </c>
      <c r="GJ16" s="6">
        <f t="shared" si="60"/>
        <v>99.794771471451554</v>
      </c>
      <c r="GK16" s="6">
        <f t="shared" si="60"/>
        <v>98.796823756737041</v>
      </c>
      <c r="GL16" s="6">
        <f t="shared" si="60"/>
        <v>97.808855519169668</v>
      </c>
    </row>
    <row r="17" spans="1:33" x14ac:dyDescent="0.35">
      <c r="B17" t="s">
        <v>29</v>
      </c>
      <c r="C17" s="4">
        <f>C16/C18</f>
        <v>-0.23930725529944688</v>
      </c>
      <c r="D17" s="4">
        <f>D16/D18</f>
        <v>-0.35465465465465468</v>
      </c>
      <c r="E17" s="4">
        <f>E16/E18</f>
        <v>-0.43859166207897504</v>
      </c>
      <c r="F17" s="4">
        <f>F16/F18</f>
        <v>-0.48301886792452836</v>
      </c>
      <c r="G17" s="4">
        <f>G16/G18</f>
        <v>-0.50579275905118604</v>
      </c>
      <c r="H17" s="4">
        <f>H16/H18</f>
        <v>-0.46925812385039867</v>
      </c>
      <c r="I17" s="4">
        <f>I16/I18</f>
        <v>-0.58149452550372549</v>
      </c>
      <c r="J17" s="4">
        <f>J16/J18</f>
        <v>-0.63111047304572543</v>
      </c>
      <c r="O17" s="4">
        <f>O16/O18</f>
        <v>-1.8966430765786495</v>
      </c>
      <c r="P17" s="4">
        <f>P16/P18</f>
        <v>-2.5324886942789457</v>
      </c>
    </row>
    <row r="18" spans="1:33" x14ac:dyDescent="0.35">
      <c r="B18" t="s">
        <v>30</v>
      </c>
      <c r="C18" s="1">
        <v>39.957000000000001</v>
      </c>
      <c r="D18" s="1">
        <v>39.96</v>
      </c>
      <c r="E18" s="1">
        <v>39.962000000000003</v>
      </c>
      <c r="F18" s="1">
        <v>40.015000000000001</v>
      </c>
      <c r="G18" s="1">
        <v>40.049999999999997</v>
      </c>
      <c r="H18" s="1">
        <v>40.774999999999999</v>
      </c>
      <c r="I18" s="1">
        <v>41.738999999999997</v>
      </c>
      <c r="J18" s="1">
        <v>41.792999999999999</v>
      </c>
      <c r="O18" s="1">
        <f>AVERAGE(E18:H18)</f>
        <v>40.200499999999998</v>
      </c>
      <c r="P18" s="1">
        <f>J18</f>
        <v>41.792999999999999</v>
      </c>
    </row>
    <row r="20" spans="1:33" x14ac:dyDescent="0.35">
      <c r="B20" t="s">
        <v>46</v>
      </c>
      <c r="G20" s="3">
        <f t="shared" ref="G20:I20" si="61">(G8-C8)/C8</f>
        <v>1.3039422957343612</v>
      </c>
      <c r="H20" s="3">
        <f t="shared" si="61"/>
        <v>0.70682653258557337</v>
      </c>
      <c r="I20" s="3">
        <f t="shared" si="61"/>
        <v>0.48396618811216963</v>
      </c>
      <c r="J20" s="3">
        <f>(J8-F8)/F8</f>
        <v>0.473271182440406</v>
      </c>
      <c r="K20" s="3">
        <f t="shared" ref="K20:L20" si="62">(K8-G8)/G8</f>
        <v>0.45</v>
      </c>
      <c r="L20" s="3">
        <f t="shared" si="62"/>
        <v>0.45</v>
      </c>
      <c r="P20" s="3">
        <f>(P8-O8)/O8</f>
        <v>0.46323935794920046</v>
      </c>
      <c r="Q20" s="3">
        <f>(Q8-P8)/P8</f>
        <v>0.35000000000000003</v>
      </c>
      <c r="R20" s="3">
        <f t="shared" ref="R20:Z20" si="63">(R8-Q8)/Q8</f>
        <v>0.25000000000000006</v>
      </c>
      <c r="S20" s="3">
        <f t="shared" si="63"/>
        <v>0.20000000000000004</v>
      </c>
      <c r="T20" s="3">
        <f t="shared" si="63"/>
        <v>0.10000000000000013</v>
      </c>
      <c r="U20" s="3">
        <f t="shared" si="63"/>
        <v>5.0000000000000093E-2</v>
      </c>
      <c r="V20" s="3">
        <f t="shared" si="63"/>
        <v>5.0000000000000086E-2</v>
      </c>
      <c r="W20" s="3">
        <f t="shared" si="63"/>
        <v>-2.0000000000000059E-2</v>
      </c>
      <c r="X20" s="3">
        <f t="shared" si="63"/>
        <v>-1.9999999999999959E-2</v>
      </c>
      <c r="Y20" s="3">
        <f t="shared" si="63"/>
        <v>-2.0000000000000059E-2</v>
      </c>
      <c r="Z20" s="3">
        <f t="shared" si="63"/>
        <v>-2.0000000000000077E-2</v>
      </c>
      <c r="AB20" s="1" t="s">
        <v>58</v>
      </c>
      <c r="AC20" s="3">
        <v>0.02</v>
      </c>
    </row>
    <row r="21" spans="1:33" x14ac:dyDescent="0.35">
      <c r="B21" t="s">
        <v>47</v>
      </c>
      <c r="G21" s="3">
        <f t="shared" ref="G21:I21" si="64">(G9-C9)/C9</f>
        <v>0.64661214953271029</v>
      </c>
      <c r="H21" s="3">
        <f t="shared" si="64"/>
        <v>-0.19917113603120432</v>
      </c>
      <c r="I21" s="3">
        <f t="shared" si="64"/>
        <v>0.50668953687821627</v>
      </c>
      <c r="J21" s="3">
        <f>(J9-F9)/F9</f>
        <v>0.28258672953856517</v>
      </c>
      <c r="K21" s="3">
        <f t="shared" ref="K21:L21" si="65">(K9-G9)/G9</f>
        <v>0.3</v>
      </c>
      <c r="L21" s="3">
        <f t="shared" si="65"/>
        <v>0.3</v>
      </c>
      <c r="P21" s="3">
        <f>(P9-O9)/O9</f>
        <v>0.3459459459459458</v>
      </c>
      <c r="Q21" s="3">
        <f>(Q9-P9)/P9</f>
        <v>0.30000000000000004</v>
      </c>
      <c r="R21" s="3">
        <f t="shared" ref="R21:Z21" si="66">(R9-Q9)/Q9</f>
        <v>0.24999999999999994</v>
      </c>
      <c r="S21" s="3">
        <f t="shared" si="66"/>
        <v>0.19999999999999998</v>
      </c>
      <c r="T21" s="3">
        <f t="shared" si="66"/>
        <v>0.14999999999999994</v>
      </c>
      <c r="U21" s="3">
        <f t="shared" si="66"/>
        <v>0.10000000000000007</v>
      </c>
      <c r="V21" s="3">
        <f t="shared" si="66"/>
        <v>5.0000000000000065E-2</v>
      </c>
      <c r="W21" s="3">
        <f t="shared" si="66"/>
        <v>-2.0000000000000052E-2</v>
      </c>
      <c r="X21" s="3">
        <f t="shared" si="66"/>
        <v>-2.000000000000008E-2</v>
      </c>
      <c r="Y21" s="3">
        <f t="shared" si="66"/>
        <v>-2.0000000000000039E-2</v>
      </c>
      <c r="Z21" s="3">
        <f t="shared" si="66"/>
        <v>-2.0000000000000059E-2</v>
      </c>
      <c r="AB21" s="1" t="s">
        <v>60</v>
      </c>
      <c r="AC21" s="3">
        <v>-0.01</v>
      </c>
    </row>
    <row r="22" spans="1:33" x14ac:dyDescent="0.35">
      <c r="B22" t="s">
        <v>59</v>
      </c>
      <c r="S22" s="3">
        <f>(S3-R3)/R3</f>
        <v>2</v>
      </c>
      <c r="T22" s="3">
        <f t="shared" ref="T22:Z22" si="67">(T3-S3)/S3</f>
        <v>0.83333333333333337</v>
      </c>
      <c r="U22" s="3">
        <f t="shared" si="67"/>
        <v>0.2</v>
      </c>
      <c r="V22" s="3">
        <f t="shared" si="67"/>
        <v>0.2</v>
      </c>
      <c r="W22" s="3">
        <f t="shared" si="67"/>
        <v>0.19999999999999998</v>
      </c>
      <c r="X22" s="3">
        <f t="shared" si="67"/>
        <v>1.0000000000000021E-2</v>
      </c>
      <c r="Y22" s="3">
        <f t="shared" si="67"/>
        <v>1.0000000000000061E-2</v>
      </c>
      <c r="Z22" s="3">
        <f t="shared" si="67"/>
        <v>1.0000000000000066E-2</v>
      </c>
      <c r="AB22" s="1" t="s">
        <v>61</v>
      </c>
      <c r="AC22" s="3">
        <v>0.14000000000000001</v>
      </c>
    </row>
    <row r="23" spans="1:33" x14ac:dyDescent="0.35">
      <c r="AB23" s="1" t="s">
        <v>62</v>
      </c>
      <c r="AC23" s="1">
        <f>NPV(AC22,Q16:GL16)</f>
        <v>1811.9228553571547</v>
      </c>
    </row>
    <row r="24" spans="1:33" x14ac:dyDescent="0.35">
      <c r="AB24" s="1" t="s">
        <v>3</v>
      </c>
      <c r="AC24" s="1">
        <f>J27</f>
        <v>168.43799999999999</v>
      </c>
    </row>
    <row r="25" spans="1:33" x14ac:dyDescent="0.35">
      <c r="AB25" s="1" t="s">
        <v>63</v>
      </c>
      <c r="AC25" s="1">
        <f>AC23+AC24</f>
        <v>1980.3608553571548</v>
      </c>
    </row>
    <row r="27" spans="1:33" s="6" customFormat="1" x14ac:dyDescent="0.35">
      <c r="A27" s="5"/>
      <c r="B27" s="5" t="s">
        <v>31</v>
      </c>
      <c r="G27" s="6">
        <f>G28-G38</f>
        <v>174.49800000000002</v>
      </c>
      <c r="H27" s="6">
        <f>H28-H38</f>
        <v>200.87599999999998</v>
      </c>
      <c r="I27" s="6">
        <f>I28-I38</f>
        <v>187.46700000000001</v>
      </c>
      <c r="J27" s="6">
        <f>J28-J38</f>
        <v>168.43799999999999</v>
      </c>
      <c r="P27" s="6">
        <f>J27+K16+L16</f>
        <v>113.24469999999998</v>
      </c>
      <c r="Q27" s="6">
        <f>Q16+P27</f>
        <v>-39.022101000000035</v>
      </c>
      <c r="R27" s="6">
        <f>R16+Q27</f>
        <v>-143.13369177000004</v>
      </c>
      <c r="S27" s="6">
        <f t="shared" ref="S27:Z27" si="68">S16+R27</f>
        <v>-115.12664753832006</v>
      </c>
      <c r="T27" s="6">
        <f t="shared" si="68"/>
        <v>73.46296226606681</v>
      </c>
      <c r="U27" s="6">
        <f t="shared" si="68"/>
        <v>332.54426019557383</v>
      </c>
      <c r="V27" s="6">
        <f t="shared" si="68"/>
        <v>679.94615341861538</v>
      </c>
      <c r="W27" s="6">
        <f t="shared" si="68"/>
        <v>1151.5771641992362</v>
      </c>
      <c r="X27" s="6">
        <f t="shared" si="68"/>
        <v>1642.130360221398</v>
      </c>
      <c r="Y27" s="6">
        <f t="shared" si="68"/>
        <v>2151.8893853933628</v>
      </c>
      <c r="Z27" s="6">
        <f t="shared" si="68"/>
        <v>2681.1450132273258</v>
      </c>
      <c r="AB27" s="6" t="s">
        <v>64</v>
      </c>
      <c r="AC27" s="7">
        <f>AC25/Main!N5</f>
        <v>47.185159363071506</v>
      </c>
      <c r="AF27" s="6" t="s">
        <v>66</v>
      </c>
    </row>
    <row r="28" spans="1:33" x14ac:dyDescent="0.35">
      <c r="B28" t="s">
        <v>3</v>
      </c>
      <c r="G28" s="1">
        <v>174.66200000000001</v>
      </c>
      <c r="H28" s="1">
        <v>201.01499999999999</v>
      </c>
      <c r="I28" s="1">
        <v>187.46700000000001</v>
      </c>
      <c r="J28" s="1">
        <v>168.43799999999999</v>
      </c>
      <c r="AB28" s="1" t="s">
        <v>65</v>
      </c>
      <c r="AC28" s="4">
        <f>Main!N4</f>
        <v>17.920000000000002</v>
      </c>
      <c r="AD28" s="3">
        <f>(AC27-AC28)/AC28</f>
        <v>1.6331004108856864</v>
      </c>
      <c r="AF28" s="4">
        <f>AC24/Main!N5</f>
        <v>4.0132957846026853</v>
      </c>
      <c r="AG28" s="3">
        <f>(AF28-AC28)/AC28</f>
        <v>-0.77604376201993941</v>
      </c>
    </row>
    <row r="29" spans="1:33" x14ac:dyDescent="0.35">
      <c r="B29" t="s">
        <v>32</v>
      </c>
      <c r="G29" s="1">
        <v>8.61</v>
      </c>
      <c r="H29" s="1">
        <v>10.211</v>
      </c>
      <c r="I29" s="1">
        <v>7.532</v>
      </c>
      <c r="J29" s="1">
        <v>6.0949999999999998</v>
      </c>
    </row>
    <row r="30" spans="1:33" x14ac:dyDescent="0.35">
      <c r="B30" t="s">
        <v>33</v>
      </c>
      <c r="G30" s="1">
        <v>0.14399999999999999</v>
      </c>
      <c r="H30" s="1">
        <v>0.122</v>
      </c>
      <c r="I30" s="1">
        <v>0</v>
      </c>
      <c r="J30" s="1">
        <v>0</v>
      </c>
    </row>
    <row r="31" spans="1:33" x14ac:dyDescent="0.35">
      <c r="B31" t="s">
        <v>34</v>
      </c>
      <c r="G31" s="1">
        <v>23.13</v>
      </c>
      <c r="H31" s="1">
        <v>22.864000000000001</v>
      </c>
      <c r="I31" s="1">
        <v>22.609000000000002</v>
      </c>
      <c r="J31" s="1">
        <v>22.327999999999999</v>
      </c>
    </row>
    <row r="32" spans="1:33" x14ac:dyDescent="0.35">
      <c r="B32" t="s">
        <v>35</v>
      </c>
      <c r="G32" s="1">
        <v>0.74</v>
      </c>
      <c r="H32" s="1">
        <v>0.622</v>
      </c>
      <c r="I32" s="1">
        <v>0.503</v>
      </c>
      <c r="J32" s="1">
        <v>0.38700000000000001</v>
      </c>
    </row>
    <row r="33" spans="2:10" x14ac:dyDescent="0.35">
      <c r="B33" t="s">
        <v>36</v>
      </c>
      <c r="G33" s="1">
        <f>SUM(G28:G32)</f>
        <v>207.286</v>
      </c>
      <c r="H33" s="1">
        <f>SUM(H28:H32)</f>
        <v>234.83400000000003</v>
      </c>
      <c r="I33" s="1">
        <f>SUM(I28:I32)</f>
        <v>218.11100000000002</v>
      </c>
      <c r="J33" s="1">
        <f>SUM(J28:J32)</f>
        <v>197.24799999999999</v>
      </c>
    </row>
    <row r="35" spans="2:10" x14ac:dyDescent="0.35">
      <c r="B35" t="s">
        <v>37</v>
      </c>
      <c r="G35" s="1">
        <v>3.5339999999999998</v>
      </c>
      <c r="H35" s="1">
        <v>4.0170000000000003</v>
      </c>
      <c r="I35" s="1">
        <v>8.2420000000000009</v>
      </c>
      <c r="J35" s="1">
        <v>10.337999999999999</v>
      </c>
    </row>
    <row r="36" spans="2:10" x14ac:dyDescent="0.35">
      <c r="B36" t="s">
        <v>38</v>
      </c>
      <c r="G36" s="1">
        <v>4.0960000000000001</v>
      </c>
      <c r="H36" s="1">
        <v>2.2799999999999998</v>
      </c>
      <c r="I36" s="1">
        <v>5.2759999999999998</v>
      </c>
      <c r="J36" s="1">
        <v>7.0439999999999996</v>
      </c>
    </row>
    <row r="37" spans="2:10" x14ac:dyDescent="0.35">
      <c r="B37" t="s">
        <v>39</v>
      </c>
      <c r="G37" s="1">
        <v>0.16</v>
      </c>
      <c r="H37" s="1">
        <v>0.17</v>
      </c>
      <c r="I37" s="1">
        <v>0.21199999999999999</v>
      </c>
      <c r="J37" s="1">
        <v>0.22</v>
      </c>
    </row>
    <row r="38" spans="2:10" x14ac:dyDescent="0.35">
      <c r="B38" t="s">
        <v>4</v>
      </c>
      <c r="G38" s="1">
        <f>0.102+0.062</f>
        <v>0.16399999999999998</v>
      </c>
      <c r="H38" s="1">
        <f>0.104+0.035</f>
        <v>0.13900000000000001</v>
      </c>
      <c r="I38" s="1">
        <v>0</v>
      </c>
      <c r="J38" s="1">
        <v>0</v>
      </c>
    </row>
    <row r="39" spans="2:10" x14ac:dyDescent="0.35">
      <c r="B39" t="s">
        <v>40</v>
      </c>
      <c r="G39" s="1">
        <v>0.41599999999999998</v>
      </c>
      <c r="H39" s="1">
        <v>0.49199999999999999</v>
      </c>
      <c r="I39" s="1">
        <v>0.17899999999999999</v>
      </c>
      <c r="J39" s="1">
        <v>0.29299999999999998</v>
      </c>
    </row>
    <row r="40" spans="2:10" x14ac:dyDescent="0.35">
      <c r="B40" t="s">
        <v>41</v>
      </c>
      <c r="G40" s="1">
        <v>0.19700000000000001</v>
      </c>
      <c r="H40" s="1">
        <v>0.19700000000000001</v>
      </c>
      <c r="I40" s="1">
        <v>0.19700000000000001</v>
      </c>
      <c r="J40" s="1">
        <v>0</v>
      </c>
    </row>
    <row r="41" spans="2:10" x14ac:dyDescent="0.35">
      <c r="B41" t="s">
        <v>42</v>
      </c>
      <c r="G41" s="1">
        <v>198.71899999999999</v>
      </c>
      <c r="H41" s="1">
        <v>227.53899999999999</v>
      </c>
      <c r="I41" s="1">
        <v>204.005</v>
      </c>
      <c r="J41" s="1">
        <v>179.35300000000001</v>
      </c>
    </row>
    <row r="42" spans="2:10" x14ac:dyDescent="0.35">
      <c r="B42" t="s">
        <v>43</v>
      </c>
      <c r="G42" s="1">
        <f>SUM(G35:G41)</f>
        <v>207.286</v>
      </c>
      <c r="H42" s="1">
        <f>SUM(H35:H41)</f>
        <v>234.83399999999997</v>
      </c>
      <c r="I42" s="1">
        <f>SUM(I35:I41)</f>
        <v>218.11099999999999</v>
      </c>
      <c r="J42" s="1">
        <f>SUM(J35:J41)</f>
        <v>197.24799999999999</v>
      </c>
    </row>
  </sheetData>
  <hyperlinks>
    <hyperlink ref="A1" location="Main!A1" display="Main" xr:uid="{E1D4AEAD-FB16-47E5-8988-5E2DDFDC9A76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4A719-6DF8-4165-8DD2-1E6F859CE89B}">
  <dimension ref="A1:C17"/>
  <sheetViews>
    <sheetView workbookViewId="0">
      <selection activeCell="B5" sqref="B5"/>
    </sheetView>
  </sheetViews>
  <sheetFormatPr defaultRowHeight="14.5" x14ac:dyDescent="0.35"/>
  <cols>
    <col min="1" max="1" width="5.08984375" bestFit="1" customWidth="1"/>
    <col min="2" max="2" width="11.54296875" bestFit="1" customWidth="1"/>
  </cols>
  <sheetData>
    <row r="1" spans="1:3" x14ac:dyDescent="0.35">
      <c r="A1" s="2" t="s">
        <v>7</v>
      </c>
    </row>
    <row r="2" spans="1:3" x14ac:dyDescent="0.35">
      <c r="B2" t="s">
        <v>48</v>
      </c>
      <c r="C2" t="s">
        <v>56</v>
      </c>
    </row>
    <row r="3" spans="1:3" x14ac:dyDescent="0.35">
      <c r="B3" t="s">
        <v>49</v>
      </c>
      <c r="C3" t="s">
        <v>57</v>
      </c>
    </row>
    <row r="4" spans="1:3" x14ac:dyDescent="0.35">
      <c r="B4" t="s">
        <v>50</v>
      </c>
      <c r="C4" t="s">
        <v>51</v>
      </c>
    </row>
    <row r="12" spans="1:3" x14ac:dyDescent="0.35">
      <c r="B12" t="s">
        <v>52</v>
      </c>
    </row>
    <row r="14" spans="1:3" x14ac:dyDescent="0.35">
      <c r="C14" t="s">
        <v>53</v>
      </c>
    </row>
    <row r="15" spans="1:3" x14ac:dyDescent="0.35">
      <c r="C15" t="s">
        <v>54</v>
      </c>
    </row>
    <row r="17" spans="3:3" x14ac:dyDescent="0.35">
      <c r="C17" t="s">
        <v>55</v>
      </c>
    </row>
  </sheetData>
  <hyperlinks>
    <hyperlink ref="A1" location="Main!A1" display="Main" xr:uid="{2A3CFF06-DF6B-4C95-BB6F-2F078E194DA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Simufilam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Grenci</dc:creator>
  <cp:lastModifiedBy>Michael Grenci</cp:lastModifiedBy>
  <dcterms:created xsi:type="dcterms:W3CDTF">2015-06-05T18:17:20Z</dcterms:created>
  <dcterms:modified xsi:type="dcterms:W3CDTF">2023-08-12T19:36:53Z</dcterms:modified>
</cp:coreProperties>
</file>