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models\Mixed\"/>
    </mc:Choice>
  </mc:AlternateContent>
  <xr:revisionPtr revIDLastSave="0" documentId="13_ncr:1_{735F2256-C0FE-4CB3-BFD2-981DAED35614}" xr6:coauthVersionLast="47" xr6:coauthVersionMax="47" xr10:uidLastSave="{00000000-0000-0000-0000-000000000000}"/>
  <bookViews>
    <workbookView xWindow="14710" yWindow="360" windowWidth="20830" windowHeight="2073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J34" i="2"/>
  <c r="J33" i="2"/>
  <c r="C32" i="2"/>
  <c r="I31" i="2"/>
  <c r="H31" i="2"/>
  <c r="G31" i="2"/>
  <c r="J31" i="2"/>
  <c r="P29" i="2"/>
  <c r="P26" i="2"/>
  <c r="P23" i="2"/>
  <c r="P19" i="2"/>
  <c r="P18" i="2"/>
  <c r="P16" i="2"/>
  <c r="P15" i="2"/>
  <c r="O29" i="2"/>
  <c r="O26" i="2"/>
  <c r="O23" i="2"/>
  <c r="O19" i="2"/>
  <c r="O18" i="2"/>
  <c r="O16" i="2"/>
  <c r="O15" i="2"/>
  <c r="O17" i="2" s="1"/>
  <c r="D24" i="2"/>
  <c r="D21" i="2"/>
  <c r="D17" i="2"/>
  <c r="D32" i="2" s="1"/>
  <c r="H24" i="2"/>
  <c r="H20" i="2"/>
  <c r="H21" i="2"/>
  <c r="H17" i="2"/>
  <c r="H32" i="2" s="1"/>
  <c r="J97" i="2"/>
  <c r="J94" i="2"/>
  <c r="J93" i="2"/>
  <c r="J92" i="2"/>
  <c r="J91" i="2"/>
  <c r="J90" i="2"/>
  <c r="J89" i="2"/>
  <c r="J88" i="2"/>
  <c r="J85" i="2"/>
  <c r="J84" i="2"/>
  <c r="J83" i="2"/>
  <c r="J82" i="2"/>
  <c r="J81" i="2"/>
  <c r="J86" i="2" s="1"/>
  <c r="J68" i="2"/>
  <c r="J73" i="2"/>
  <c r="J78" i="2"/>
  <c r="J77" i="2"/>
  <c r="J76" i="2"/>
  <c r="J75" i="2"/>
  <c r="J74" i="2"/>
  <c r="J72" i="2"/>
  <c r="J71" i="2"/>
  <c r="J70" i="2"/>
  <c r="J69" i="2"/>
  <c r="J67" i="2"/>
  <c r="J66" i="2"/>
  <c r="J65" i="2"/>
  <c r="G53" i="2"/>
  <c r="G58" i="2" s="1"/>
  <c r="G42" i="2"/>
  <c r="G51" i="2"/>
  <c r="C24" i="2"/>
  <c r="C20" i="2"/>
  <c r="C21" i="2" s="1"/>
  <c r="C17" i="2"/>
  <c r="G24" i="2"/>
  <c r="G20" i="2"/>
  <c r="G21" i="2"/>
  <c r="G17" i="2"/>
  <c r="G32" i="2" s="1"/>
  <c r="I95" i="2"/>
  <c r="I86" i="2"/>
  <c r="I79" i="2"/>
  <c r="I53" i="2"/>
  <c r="I42" i="2"/>
  <c r="I41" i="2" s="1"/>
  <c r="E24" i="2"/>
  <c r="E21" i="2"/>
  <c r="E17" i="2"/>
  <c r="E32" i="2" s="1"/>
  <c r="I24" i="2"/>
  <c r="I20" i="2"/>
  <c r="I21" i="2" s="1"/>
  <c r="I17" i="2"/>
  <c r="I32" i="2" s="1"/>
  <c r="H53" i="2"/>
  <c r="H58" i="2"/>
  <c r="H42" i="2"/>
  <c r="H51" i="2" s="1"/>
  <c r="J53" i="2"/>
  <c r="J58" i="2" s="1"/>
  <c r="J42" i="2"/>
  <c r="J41" i="2" s="1"/>
  <c r="F24" i="2"/>
  <c r="F20" i="2"/>
  <c r="F21" i="2"/>
  <c r="F17" i="2"/>
  <c r="F32" i="2" s="1"/>
  <c r="J24" i="2"/>
  <c r="J20" i="2"/>
  <c r="J21" i="2" s="1"/>
  <c r="J17" i="2"/>
  <c r="J32" i="2" s="1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O10" i="1"/>
  <c r="O9" i="1"/>
  <c r="O8" i="1"/>
  <c r="O7" i="1"/>
  <c r="O24" i="2" l="1"/>
  <c r="P24" i="2"/>
  <c r="O20" i="2"/>
  <c r="O21" i="2" s="1"/>
  <c r="O22" i="2" s="1"/>
  <c r="O25" i="2" s="1"/>
  <c r="O27" i="2" s="1"/>
  <c r="O28" i="2" s="1"/>
  <c r="P17" i="2"/>
  <c r="J22" i="2"/>
  <c r="J25" i="2" s="1"/>
  <c r="I98" i="2"/>
  <c r="P20" i="2"/>
  <c r="P21" i="2" s="1"/>
  <c r="P22" i="2" s="1"/>
  <c r="P25" i="2" s="1"/>
  <c r="P27" i="2" s="1"/>
  <c r="P28" i="2" s="1"/>
  <c r="J95" i="2"/>
  <c r="J51" i="2"/>
  <c r="J79" i="2"/>
  <c r="J98" i="2" s="1"/>
  <c r="D22" i="2"/>
  <c r="D25" i="2" s="1"/>
  <c r="H22" i="2"/>
  <c r="H25" i="2" s="1"/>
  <c r="G41" i="2"/>
  <c r="C22" i="2"/>
  <c r="C25" i="2" s="1"/>
  <c r="G22" i="2"/>
  <c r="G25" i="2" s="1"/>
  <c r="I58" i="2"/>
  <c r="I51" i="2"/>
  <c r="E22" i="2"/>
  <c r="E25" i="2" s="1"/>
  <c r="I22" i="2"/>
  <c r="I25" i="2" s="1"/>
  <c r="H41" i="2"/>
  <c r="F22" i="2"/>
  <c r="F25" i="2" s="1"/>
  <c r="I27" i="2" l="1"/>
  <c r="I28" i="2" s="1"/>
  <c r="I35" i="2"/>
  <c r="E27" i="2"/>
  <c r="E28" i="2" s="1"/>
  <c r="E35" i="2"/>
  <c r="G27" i="2"/>
  <c r="G28" i="2" s="1"/>
  <c r="G35" i="2"/>
  <c r="C27" i="2"/>
  <c r="C28" i="2" s="1"/>
  <c r="C35" i="2"/>
  <c r="H27" i="2"/>
  <c r="H28" i="2" s="1"/>
  <c r="H35" i="2"/>
  <c r="D27" i="2"/>
  <c r="D28" i="2" s="1"/>
  <c r="D35" i="2"/>
  <c r="J27" i="2"/>
  <c r="J35" i="2"/>
  <c r="F27" i="2"/>
  <c r="F28" i="2" s="1"/>
  <c r="F35" i="2"/>
  <c r="I64" i="2" l="1"/>
  <c r="J28" i="2"/>
  <c r="J64" i="2"/>
</calcChain>
</file>

<file path=xl/sharedStrings.xml><?xml version="1.0" encoding="utf-8"?>
<sst xmlns="http://schemas.openxmlformats.org/spreadsheetml/2006/main" count="94" uniqueCount="84">
  <si>
    <t xml:space="preserve">Price </t>
  </si>
  <si>
    <t>S/O</t>
  </si>
  <si>
    <t xml:space="preserve">Cash </t>
  </si>
  <si>
    <t>MC</t>
  </si>
  <si>
    <t xml:space="preserve">Debt </t>
  </si>
  <si>
    <t>EV</t>
  </si>
  <si>
    <t>Q223</t>
  </si>
  <si>
    <t>Main</t>
  </si>
  <si>
    <t>Q321</t>
  </si>
  <si>
    <t>Q421</t>
  </si>
  <si>
    <t>Q122</t>
  </si>
  <si>
    <t>Q222</t>
  </si>
  <si>
    <t>Q322</t>
  </si>
  <si>
    <t>Q422</t>
  </si>
  <si>
    <t>Q123</t>
  </si>
  <si>
    <t>Q323</t>
  </si>
  <si>
    <t>Q423</t>
  </si>
  <si>
    <t xml:space="preserve">Revenue </t>
  </si>
  <si>
    <t xml:space="preserve">COGS </t>
  </si>
  <si>
    <t xml:space="preserve">Gross Profit </t>
  </si>
  <si>
    <t xml:space="preserve">SG&amp;A </t>
  </si>
  <si>
    <t xml:space="preserve">R&amp;D </t>
  </si>
  <si>
    <t xml:space="preserve">Other </t>
  </si>
  <si>
    <t>Operating Expenses</t>
  </si>
  <si>
    <t>Operating Income</t>
  </si>
  <si>
    <t>Interest Expense</t>
  </si>
  <si>
    <t>Other Expenses</t>
  </si>
  <si>
    <t xml:space="preserve">Pretax Income </t>
  </si>
  <si>
    <t xml:space="preserve">Taxes </t>
  </si>
  <si>
    <t>Net Income</t>
  </si>
  <si>
    <t xml:space="preserve">EPS </t>
  </si>
  <si>
    <t xml:space="preserve">Shares </t>
  </si>
  <si>
    <t xml:space="preserve">Net Cash </t>
  </si>
  <si>
    <t>A/R</t>
  </si>
  <si>
    <t xml:space="preserve">Inventory </t>
  </si>
  <si>
    <t xml:space="preserve">Prepaids &amp; Other </t>
  </si>
  <si>
    <t xml:space="preserve">Investments </t>
  </si>
  <si>
    <t xml:space="preserve">PP&amp;E </t>
  </si>
  <si>
    <t xml:space="preserve">Intangibles </t>
  </si>
  <si>
    <t xml:space="preserve">Goodwill </t>
  </si>
  <si>
    <t xml:space="preserve">Assets </t>
  </si>
  <si>
    <t xml:space="preserve">A/P &amp; Accrued </t>
  </si>
  <si>
    <t xml:space="preserve">Deferred Taxes </t>
  </si>
  <si>
    <t>OLTL</t>
  </si>
  <si>
    <t>S/E</t>
  </si>
  <si>
    <t xml:space="preserve">L + S/E </t>
  </si>
  <si>
    <t xml:space="preserve">Model NI </t>
  </si>
  <si>
    <t xml:space="preserve">Reported NI </t>
  </si>
  <si>
    <t xml:space="preserve">Depreciation </t>
  </si>
  <si>
    <t xml:space="preserve">Amortization </t>
  </si>
  <si>
    <t>Contingent Consideration</t>
  </si>
  <si>
    <t xml:space="preserve">SBC </t>
  </si>
  <si>
    <t xml:space="preserve">Acquired IPR&amp;D </t>
  </si>
  <si>
    <t xml:space="preserve">Impairments </t>
  </si>
  <si>
    <t xml:space="preserve">Other, net </t>
  </si>
  <si>
    <t xml:space="preserve">A/R </t>
  </si>
  <si>
    <t xml:space="preserve">A/P &amp; Other </t>
  </si>
  <si>
    <t xml:space="preserve">Taxes, net </t>
  </si>
  <si>
    <t xml:space="preserve">CFFO </t>
  </si>
  <si>
    <t>Acquisitions &amp; Investments</t>
  </si>
  <si>
    <t xml:space="preserve">CapEx </t>
  </si>
  <si>
    <t xml:space="preserve">Purchases Securities </t>
  </si>
  <si>
    <t xml:space="preserve">Sales &amp; Maturities Securities </t>
  </si>
  <si>
    <t xml:space="preserve">CFFI </t>
  </si>
  <si>
    <t xml:space="preserve">Proceeds of Long-term Debt </t>
  </si>
  <si>
    <t xml:space="preserve">Repayments of Debt </t>
  </si>
  <si>
    <t xml:space="preserve">Dividends </t>
  </si>
  <si>
    <t xml:space="preserve">Purchases of Stock </t>
  </si>
  <si>
    <t>Proceeds from Stock Options</t>
  </si>
  <si>
    <t>Payments Contingent Consideration</t>
  </si>
  <si>
    <t>Other, net</t>
  </si>
  <si>
    <t>CFFF</t>
  </si>
  <si>
    <t xml:space="preserve">FX </t>
  </si>
  <si>
    <t xml:space="preserve">CIC </t>
  </si>
  <si>
    <t xml:space="preserve">Beginning Cash </t>
  </si>
  <si>
    <t xml:space="preserve">Ending Cash </t>
  </si>
  <si>
    <t xml:space="preserve">FCF </t>
  </si>
  <si>
    <t>Revenue y/y</t>
  </si>
  <si>
    <t>Gross Margin</t>
  </si>
  <si>
    <t xml:space="preserve">SG&amp;A % </t>
  </si>
  <si>
    <t xml:space="preserve">R&amp;D % </t>
  </si>
  <si>
    <t xml:space="preserve">Tax Rate </t>
  </si>
  <si>
    <t xml:space="preserve">HUMIRA </t>
  </si>
  <si>
    <t xml:space="preserve">SKYRIZI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</si>
</sst>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0" borderId="0" xfId="2"/>
    <xf numFmtId="4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69850</xdr:rowOff>
    </xdr:from>
    <xdr:to>
      <xdr:col>10</xdr:col>
      <xdr:colOff>6350</xdr:colOff>
      <xdr:row>104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5EB4F8-57B9-AC56-3A80-853ABCFB6B16}"/>
            </a:ext>
          </a:extLst>
        </xdr:cNvPr>
        <xdr:cNvCxnSpPr/>
      </xdr:nvCxnSpPr>
      <xdr:spPr>
        <a:xfrm>
          <a:off x="7397750" y="69850"/>
          <a:ext cx="6350" cy="1584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</xdr:colOff>
      <xdr:row>0</xdr:row>
      <xdr:rowOff>69850</xdr:rowOff>
    </xdr:from>
    <xdr:to>
      <xdr:col>16</xdr:col>
      <xdr:colOff>6350</xdr:colOff>
      <xdr:row>42</xdr:row>
      <xdr:rowOff>165100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28C12A8-2B8C-CA5A-6E7C-72511B6A81B6}"/>
            </a:ext>
          </a:extLst>
        </xdr:cNvPr>
        <xdr:cNvCxnSpPr/>
      </xdr:nvCxnSpPr>
      <xdr:spPr>
        <a:xfrm>
          <a:off x="11061700" y="69850"/>
          <a:ext cx="0" cy="451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5:P10"/>
  <sheetViews>
    <sheetView tabSelected="1" topLeftCell="D1" workbookViewId="0">
      <selection activeCell="J30" sqref="J30"/>
    </sheetView>
  </sheetViews>
  <sheetFormatPr defaultRowHeight="14.5" x14ac:dyDescent="0.35"/>
  <sheetData>
    <row r="5" spans="14:16" x14ac:dyDescent="0.35">
      <c r="N5" t="s">
        <v>0</v>
      </c>
      <c r="O5">
        <v>152.18</v>
      </c>
    </row>
    <row r="6" spans="14:16" x14ac:dyDescent="0.35">
      <c r="N6" t="s">
        <v>1</v>
      </c>
      <c r="O6" s="1">
        <v>1765.0466799999999</v>
      </c>
      <c r="P6" t="s">
        <v>6</v>
      </c>
    </row>
    <row r="7" spans="14:16" x14ac:dyDescent="0.35">
      <c r="N7" t="s">
        <v>3</v>
      </c>
      <c r="O7" s="1">
        <f>O6*O5</f>
        <v>268604.8037624</v>
      </c>
    </row>
    <row r="8" spans="14:16" x14ac:dyDescent="0.35">
      <c r="N8" t="s">
        <v>2</v>
      </c>
      <c r="O8" s="1">
        <f>8759+7</f>
        <v>8766</v>
      </c>
      <c r="P8" t="s">
        <v>6</v>
      </c>
    </row>
    <row r="9" spans="14:16" x14ac:dyDescent="0.35">
      <c r="N9" t="s">
        <v>4</v>
      </c>
      <c r="O9" s="1">
        <f>5203+55812</f>
        <v>61015</v>
      </c>
      <c r="P9" t="s">
        <v>6</v>
      </c>
    </row>
    <row r="10" spans="14:16" x14ac:dyDescent="0.35">
      <c r="N10" t="s">
        <v>5</v>
      </c>
      <c r="O10" s="1">
        <f>O7-O8+O9</f>
        <v>320853.8037624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2348-E3C4-403D-A479-F70D05000BFA}">
  <dimension ref="A1:Z1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4.5" x14ac:dyDescent="0.35"/>
  <cols>
    <col min="1" max="1" width="5.08984375" bestFit="1" customWidth="1"/>
    <col min="2" max="2" width="31" bestFit="1" customWidth="1"/>
    <col min="3" max="16384" width="8.7265625" style="1"/>
  </cols>
  <sheetData>
    <row r="1" spans="1:26" customFormat="1" x14ac:dyDescent="0.35">
      <c r="A1" s="2" t="s">
        <v>7</v>
      </c>
    </row>
    <row r="2" spans="1:26" customFormat="1" x14ac:dyDescent="0.35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6</v>
      </c>
      <c r="K2" t="s">
        <v>15</v>
      </c>
      <c r="L2" t="s">
        <v>16</v>
      </c>
      <c r="N2">
        <v>2021</v>
      </c>
      <c r="O2">
        <f>+N2+1</f>
        <v>2022</v>
      </c>
      <c r="P2">
        <f t="shared" ref="P2:AA2" si="0">+O2+1</f>
        <v>2023</v>
      </c>
      <c r="Q2">
        <f t="shared" si="0"/>
        <v>2024</v>
      </c>
      <c r="R2">
        <f t="shared" si="0"/>
        <v>2025</v>
      </c>
      <c r="S2">
        <f t="shared" si="0"/>
        <v>2026</v>
      </c>
      <c r="T2">
        <f t="shared" si="0"/>
        <v>2027</v>
      </c>
      <c r="U2">
        <f t="shared" si="0"/>
        <v>2028</v>
      </c>
      <c r="V2">
        <f t="shared" si="0"/>
        <v>2029</v>
      </c>
      <c r="W2">
        <f t="shared" si="0"/>
        <v>2030</v>
      </c>
      <c r="X2">
        <f t="shared" si="0"/>
        <v>2031</v>
      </c>
      <c r="Y2">
        <f t="shared" si="0"/>
        <v>2032</v>
      </c>
      <c r="Z2">
        <f t="shared" si="0"/>
        <v>2033</v>
      </c>
    </row>
    <row r="3" spans="1:26" customFormat="1" x14ac:dyDescent="0.35">
      <c r="B3" t="s">
        <v>82</v>
      </c>
    </row>
    <row r="4" spans="1:26" customFormat="1" x14ac:dyDescent="0.35">
      <c r="B4" t="s">
        <v>83</v>
      </c>
    </row>
    <row r="5" spans="1:26" customFormat="1" x14ac:dyDescent="0.35"/>
    <row r="6" spans="1:26" customFormat="1" x14ac:dyDescent="0.35"/>
    <row r="7" spans="1:26" customFormat="1" x14ac:dyDescent="0.35"/>
    <row r="8" spans="1:26" customFormat="1" x14ac:dyDescent="0.35"/>
    <row r="9" spans="1:26" customFormat="1" x14ac:dyDescent="0.35"/>
    <row r="10" spans="1:26" customFormat="1" x14ac:dyDescent="0.35"/>
    <row r="11" spans="1:26" customFormat="1" x14ac:dyDescent="0.35"/>
    <row r="12" spans="1:26" customFormat="1" x14ac:dyDescent="0.35"/>
    <row r="13" spans="1:26" customFormat="1" x14ac:dyDescent="0.35"/>
    <row r="14" spans="1:26" customFormat="1" x14ac:dyDescent="0.35"/>
    <row r="15" spans="1:26" x14ac:dyDescent="0.35">
      <c r="B15" t="s">
        <v>17</v>
      </c>
      <c r="C15" s="1">
        <v>14342</v>
      </c>
      <c r="D15" s="1">
        <v>14886</v>
      </c>
      <c r="E15" s="1">
        <v>13538</v>
      </c>
      <c r="F15" s="1">
        <v>14583</v>
      </c>
      <c r="G15" s="1">
        <v>14812</v>
      </c>
      <c r="H15" s="1">
        <v>15121</v>
      </c>
      <c r="I15" s="1">
        <v>12225</v>
      </c>
      <c r="J15" s="1">
        <v>13865</v>
      </c>
      <c r="O15" s="1">
        <f>SUM(E15:H15)</f>
        <v>58054</v>
      </c>
      <c r="P15" s="1">
        <f>SUM(I15:L15)</f>
        <v>26090</v>
      </c>
    </row>
    <row r="16" spans="1:26" x14ac:dyDescent="0.35">
      <c r="B16" t="s">
        <v>18</v>
      </c>
      <c r="C16" s="1">
        <v>4390</v>
      </c>
      <c r="D16" s="1">
        <v>4320</v>
      </c>
      <c r="E16" s="1">
        <v>4052</v>
      </c>
      <c r="F16" s="1">
        <v>4170</v>
      </c>
      <c r="G16" s="1">
        <v>5022</v>
      </c>
      <c r="H16" s="1">
        <v>4170</v>
      </c>
      <c r="I16" s="1">
        <v>3986</v>
      </c>
      <c r="J16" s="1">
        <v>4240</v>
      </c>
      <c r="O16" s="1">
        <f>SUM(E16:H16)</f>
        <v>17414</v>
      </c>
      <c r="P16" s="1">
        <f>SUM(I16:L16)</f>
        <v>8226</v>
      </c>
    </row>
    <row r="17" spans="1:16" x14ac:dyDescent="0.35">
      <c r="B17" t="s">
        <v>19</v>
      </c>
      <c r="C17" s="1">
        <f>C15-C16</f>
        <v>9952</v>
      </c>
      <c r="D17" s="1">
        <f>D15-D16</f>
        <v>10566</v>
      </c>
      <c r="E17" s="1">
        <f>E15-E16</f>
        <v>9486</v>
      </c>
      <c r="F17" s="1">
        <f>F15-F16</f>
        <v>10413</v>
      </c>
      <c r="G17" s="1">
        <f>G15-G16</f>
        <v>9790</v>
      </c>
      <c r="H17" s="1">
        <f>H15-H16</f>
        <v>10951</v>
      </c>
      <c r="I17" s="1">
        <f>I15-I16</f>
        <v>8239</v>
      </c>
      <c r="J17" s="1">
        <f>J15-J16</f>
        <v>9625</v>
      </c>
      <c r="O17" s="1">
        <f>O15-O16</f>
        <v>40640</v>
      </c>
      <c r="P17" s="1">
        <f>P15-P16</f>
        <v>17864</v>
      </c>
    </row>
    <row r="18" spans="1:16" x14ac:dyDescent="0.35">
      <c r="B18" t="s">
        <v>20</v>
      </c>
      <c r="C18" s="1">
        <v>3083</v>
      </c>
      <c r="D18" s="1">
        <v>3260</v>
      </c>
      <c r="E18" s="1">
        <v>3127</v>
      </c>
      <c r="F18" s="1">
        <v>5412</v>
      </c>
      <c r="G18" s="1">
        <v>3304</v>
      </c>
      <c r="H18" s="1">
        <v>3417</v>
      </c>
      <c r="I18" s="1">
        <v>3039</v>
      </c>
      <c r="J18" s="1">
        <v>3268</v>
      </c>
      <c r="O18" s="1">
        <f>SUM(E18:H18)</f>
        <v>15260</v>
      </c>
      <c r="P18" s="1">
        <f>SUM(I18:L18)</f>
        <v>6307</v>
      </c>
    </row>
    <row r="19" spans="1:16" x14ac:dyDescent="0.35">
      <c r="B19" t="s">
        <v>21</v>
      </c>
      <c r="C19" s="1">
        <v>1661</v>
      </c>
      <c r="D19" s="1">
        <v>1827</v>
      </c>
      <c r="E19" s="1">
        <v>1497</v>
      </c>
      <c r="F19" s="1">
        <v>1609</v>
      </c>
      <c r="G19" s="1">
        <v>1614</v>
      </c>
      <c r="H19" s="1">
        <v>1790</v>
      </c>
      <c r="I19" s="1">
        <v>2292</v>
      </c>
      <c r="J19" s="1">
        <v>1733</v>
      </c>
      <c r="O19" s="1">
        <f>SUM(E19:H19)</f>
        <v>6510</v>
      </c>
      <c r="P19" s="1">
        <f>SUM(I19:L19)</f>
        <v>4025</v>
      </c>
    </row>
    <row r="20" spans="1:16" x14ac:dyDescent="0.35">
      <c r="B20" t="s">
        <v>22</v>
      </c>
      <c r="C20" s="1">
        <f>402+500</f>
        <v>902</v>
      </c>
      <c r="D20" s="1">
        <v>405</v>
      </c>
      <c r="E20" s="1">
        <v>145</v>
      </c>
      <c r="F20" s="1">
        <f>269-172</f>
        <v>97</v>
      </c>
      <c r="G20" s="1">
        <f>40+229</f>
        <v>269</v>
      </c>
      <c r="H20" s="1">
        <f>243-1</f>
        <v>242</v>
      </c>
      <c r="I20" s="1">
        <f>150-10</f>
        <v>140</v>
      </c>
      <c r="J20" s="1">
        <f>280-169</f>
        <v>111</v>
      </c>
      <c r="O20" s="1">
        <f>SUM(E20:H20)</f>
        <v>753</v>
      </c>
      <c r="P20" s="1">
        <f>SUM(I20:L20)</f>
        <v>251</v>
      </c>
    </row>
    <row r="21" spans="1:16" x14ac:dyDescent="0.35">
      <c r="B21" t="s">
        <v>23</v>
      </c>
      <c r="C21" s="1">
        <f>SUM(C18:C20)</f>
        <v>5646</v>
      </c>
      <c r="D21" s="1">
        <f>SUM(D18:D20)</f>
        <v>5492</v>
      </c>
      <c r="E21" s="1">
        <f>SUM(E18:E20)</f>
        <v>4769</v>
      </c>
      <c r="F21" s="1">
        <f>SUM(F18:F20)</f>
        <v>7118</v>
      </c>
      <c r="G21" s="1">
        <f>SUM(G18:G20)</f>
        <v>5187</v>
      </c>
      <c r="H21" s="1">
        <f>SUM(H18:H20)</f>
        <v>5449</v>
      </c>
      <c r="I21" s="1">
        <f>SUM(I18:I20)</f>
        <v>5471</v>
      </c>
      <c r="J21" s="1">
        <f>SUM(J18:J20)</f>
        <v>5112</v>
      </c>
      <c r="O21" s="1">
        <f>SUM(O18:O20)</f>
        <v>22523</v>
      </c>
      <c r="P21" s="1">
        <f>SUM(P18:P20)</f>
        <v>10583</v>
      </c>
    </row>
    <row r="22" spans="1:16" x14ac:dyDescent="0.35">
      <c r="B22" t="s">
        <v>24</v>
      </c>
      <c r="C22" s="1">
        <f>C17-C21</f>
        <v>4306</v>
      </c>
      <c r="D22" s="1">
        <f>D17-D21</f>
        <v>5074</v>
      </c>
      <c r="E22" s="1">
        <f>E17-E21</f>
        <v>4717</v>
      </c>
      <c r="F22" s="1">
        <f>F17-F21</f>
        <v>3295</v>
      </c>
      <c r="G22" s="1">
        <f>G17-G21</f>
        <v>4603</v>
      </c>
      <c r="H22" s="1">
        <f>H17-H21</f>
        <v>5502</v>
      </c>
      <c r="I22" s="1">
        <f>I17-I21</f>
        <v>2768</v>
      </c>
      <c r="J22" s="1">
        <f>J17-J21</f>
        <v>4513</v>
      </c>
      <c r="O22" s="1">
        <f>O17-O21</f>
        <v>18117</v>
      </c>
      <c r="P22" s="1">
        <f>P17-P21</f>
        <v>7281</v>
      </c>
    </row>
    <row r="23" spans="1:16" x14ac:dyDescent="0.35">
      <c r="B23" t="s">
        <v>25</v>
      </c>
      <c r="C23" s="1">
        <v>585</v>
      </c>
      <c r="D23" s="1">
        <v>571</v>
      </c>
      <c r="E23" s="1">
        <v>539</v>
      </c>
      <c r="F23" s="1">
        <v>532</v>
      </c>
      <c r="G23" s="1">
        <v>497</v>
      </c>
      <c r="H23" s="1">
        <v>476</v>
      </c>
      <c r="I23" s="1">
        <v>454</v>
      </c>
      <c r="J23" s="1">
        <v>454</v>
      </c>
      <c r="O23" s="1">
        <f>SUM(E23:H23)</f>
        <v>2044</v>
      </c>
      <c r="P23" s="1">
        <f>SUM(I23:L23)</f>
        <v>908</v>
      </c>
    </row>
    <row r="24" spans="1:16" x14ac:dyDescent="0.35">
      <c r="B24" t="s">
        <v>26</v>
      </c>
      <c r="C24" s="1">
        <f>12+21</f>
        <v>33</v>
      </c>
      <c r="D24" s="1">
        <f>16+216</f>
        <v>232</v>
      </c>
      <c r="E24" s="1">
        <f>25-776</f>
        <v>-751</v>
      </c>
      <c r="F24" s="1">
        <f>47+1533</f>
        <v>1580</v>
      </c>
      <c r="G24" s="1">
        <f>36-330</f>
        <v>-294</v>
      </c>
      <c r="H24" s="1">
        <f>40+2021</f>
        <v>2061</v>
      </c>
      <c r="I24" s="1">
        <f>35+1804</f>
        <v>1839</v>
      </c>
      <c r="J24" s="1">
        <f>1412+37</f>
        <v>1449</v>
      </c>
      <c r="O24" s="1">
        <f>SUM(E24:H24)</f>
        <v>2596</v>
      </c>
      <c r="P24" s="1">
        <f>SUM(I24:L24)</f>
        <v>3288</v>
      </c>
    </row>
    <row r="25" spans="1:16" x14ac:dyDescent="0.35">
      <c r="B25" t="s">
        <v>27</v>
      </c>
      <c r="C25" s="1">
        <f>C22-C23-C24</f>
        <v>3688</v>
      </c>
      <c r="D25" s="1">
        <f>D22-D23-D24</f>
        <v>4271</v>
      </c>
      <c r="E25" s="1">
        <f>E22-E23-E24</f>
        <v>4929</v>
      </c>
      <c r="F25" s="1">
        <f>F22-F23-F24</f>
        <v>1183</v>
      </c>
      <c r="G25" s="1">
        <f>G22-G23-G24</f>
        <v>4400</v>
      </c>
      <c r="H25" s="1">
        <f>H22-H23-H24</f>
        <v>2965</v>
      </c>
      <c r="I25" s="1">
        <f>I22-I23-I24</f>
        <v>475</v>
      </c>
      <c r="J25" s="1">
        <f>J22-J23-J24</f>
        <v>2610</v>
      </c>
      <c r="O25" s="1">
        <f>O22-O23-O24</f>
        <v>13477</v>
      </c>
      <c r="P25" s="1">
        <f>P22-P23-P24</f>
        <v>3085</v>
      </c>
    </row>
    <row r="26" spans="1:16" x14ac:dyDescent="0.35">
      <c r="B26" t="s">
        <v>28</v>
      </c>
      <c r="C26" s="1">
        <v>508</v>
      </c>
      <c r="D26" s="1">
        <v>226</v>
      </c>
      <c r="E26" s="1">
        <v>436</v>
      </c>
      <c r="F26" s="1">
        <v>255</v>
      </c>
      <c r="G26" s="1">
        <v>448</v>
      </c>
      <c r="H26" s="1">
        <v>493</v>
      </c>
      <c r="I26" s="1">
        <v>234</v>
      </c>
      <c r="J26" s="1">
        <v>583</v>
      </c>
      <c r="O26" s="1">
        <f>SUM(E26:H26)</f>
        <v>1632</v>
      </c>
      <c r="P26" s="1">
        <f>SUM(I26:L26)</f>
        <v>817</v>
      </c>
    </row>
    <row r="27" spans="1:16" s="5" customFormat="1" x14ac:dyDescent="0.35">
      <c r="A27" s="4"/>
      <c r="B27" s="4" t="s">
        <v>29</v>
      </c>
      <c r="C27" s="5">
        <f>C25-C26</f>
        <v>3180</v>
      </c>
      <c r="D27" s="5">
        <f>D25-D26</f>
        <v>4045</v>
      </c>
      <c r="E27" s="5">
        <f>E25-E26</f>
        <v>4493</v>
      </c>
      <c r="F27" s="5">
        <f>F25-F26</f>
        <v>928</v>
      </c>
      <c r="G27" s="5">
        <f>G25-G26</f>
        <v>3952</v>
      </c>
      <c r="H27" s="5">
        <f>H25-H26</f>
        <v>2472</v>
      </c>
      <c r="I27" s="5">
        <f>I25-I26</f>
        <v>241</v>
      </c>
      <c r="J27" s="5">
        <f>J25-J26</f>
        <v>2027</v>
      </c>
      <c r="O27" s="5">
        <f>O25-O26</f>
        <v>11845</v>
      </c>
      <c r="P27" s="5">
        <f>P25-P26</f>
        <v>2268</v>
      </c>
    </row>
    <row r="28" spans="1:16" x14ac:dyDescent="0.35">
      <c r="B28" t="s">
        <v>30</v>
      </c>
      <c r="C28" s="3">
        <f>C27/C29</f>
        <v>1.8705882352941177</v>
      </c>
      <c r="D28" s="3">
        <f>D27/D29</f>
        <v>2.2750281214848145</v>
      </c>
      <c r="E28" s="3">
        <f>E27/E29</f>
        <v>2.5369847543760589</v>
      </c>
      <c r="F28" s="3">
        <f>F27/F29</f>
        <v>0.52429378531073445</v>
      </c>
      <c r="G28" s="3">
        <f>G27/G29</f>
        <v>2.2315076228119706</v>
      </c>
      <c r="H28" s="3">
        <f>H27/H29</f>
        <v>1.3903262092238471</v>
      </c>
      <c r="I28" s="3">
        <f>I27/I29</f>
        <v>0.13615819209039548</v>
      </c>
      <c r="J28" s="3">
        <f>J27/J29</f>
        <v>1.1471420486700623</v>
      </c>
      <c r="O28" s="3">
        <f>O27/O29</f>
        <v>6.6826516220028207</v>
      </c>
      <c r="P28" s="3">
        <f>P27/P29</f>
        <v>1.2835314091680814</v>
      </c>
    </row>
    <row r="29" spans="1:16" x14ac:dyDescent="0.35">
      <c r="B29" t="s">
        <v>31</v>
      </c>
      <c r="C29" s="1">
        <v>1700</v>
      </c>
      <c r="D29" s="1">
        <v>1778</v>
      </c>
      <c r="E29" s="1">
        <v>1771</v>
      </c>
      <c r="F29" s="1">
        <v>1770</v>
      </c>
      <c r="G29" s="1">
        <v>1771</v>
      </c>
      <c r="H29" s="1">
        <v>1778</v>
      </c>
      <c r="I29" s="1">
        <v>1770</v>
      </c>
      <c r="J29" s="1">
        <v>1767</v>
      </c>
      <c r="O29" s="1">
        <f>AVERAGE(E29:H29)</f>
        <v>1772.5</v>
      </c>
      <c r="P29" s="1">
        <f>J29</f>
        <v>1767</v>
      </c>
    </row>
    <row r="31" spans="1:16" x14ac:dyDescent="0.35">
      <c r="B31" t="s">
        <v>77</v>
      </c>
      <c r="G31" s="6">
        <f t="shared" ref="G31:I31" si="1">(G15-C15)/C15</f>
        <v>3.2770882722075026E-2</v>
      </c>
      <c r="H31" s="6">
        <f t="shared" si="1"/>
        <v>1.5786645169958351E-2</v>
      </c>
      <c r="I31" s="6">
        <f t="shared" si="1"/>
        <v>-9.6986260895257789E-2</v>
      </c>
      <c r="J31" s="6">
        <f>(J15-F15)/F15</f>
        <v>-4.9235411095110745E-2</v>
      </c>
    </row>
    <row r="32" spans="1:16" x14ac:dyDescent="0.35">
      <c r="B32" t="s">
        <v>78</v>
      </c>
      <c r="C32" s="6">
        <f t="shared" ref="C32:I32" si="2">C17/C15</f>
        <v>0.69390601031934185</v>
      </c>
      <c r="D32" s="6">
        <f t="shared" si="2"/>
        <v>0.70979443772672313</v>
      </c>
      <c r="E32" s="6">
        <f t="shared" si="2"/>
        <v>0.70069434185256319</v>
      </c>
      <c r="F32" s="6">
        <f t="shared" si="2"/>
        <v>0.71405060687101418</v>
      </c>
      <c r="G32" s="6">
        <f t="shared" si="2"/>
        <v>0.66095058061031597</v>
      </c>
      <c r="H32" s="6">
        <f t="shared" si="2"/>
        <v>0.72422458832087822</v>
      </c>
      <c r="I32" s="6">
        <f t="shared" si="2"/>
        <v>0.67394683026584867</v>
      </c>
      <c r="J32" s="6">
        <f>J17/J15</f>
        <v>0.69419401370357015</v>
      </c>
    </row>
    <row r="33" spans="1:10" x14ac:dyDescent="0.35">
      <c r="B33" t="s">
        <v>79</v>
      </c>
      <c r="C33" s="6">
        <f t="shared" ref="C33:I33" si="3">C18/C15</f>
        <v>0.21496304560033469</v>
      </c>
      <c r="D33" s="6">
        <f t="shared" si="3"/>
        <v>0.21899771597474138</v>
      </c>
      <c r="E33" s="6">
        <f t="shared" si="3"/>
        <v>0.23097946520904122</v>
      </c>
      <c r="F33" s="6">
        <f t="shared" si="3"/>
        <v>0.37111705410409379</v>
      </c>
      <c r="G33" s="6">
        <f t="shared" si="3"/>
        <v>0.22306238185255198</v>
      </c>
      <c r="H33" s="6">
        <f t="shared" si="3"/>
        <v>0.22597711791548178</v>
      </c>
      <c r="I33" s="6">
        <f t="shared" si="3"/>
        <v>0.24858895705521472</v>
      </c>
      <c r="J33" s="6">
        <f>J18/J15</f>
        <v>0.23570140641904075</v>
      </c>
    </row>
    <row r="34" spans="1:10" x14ac:dyDescent="0.35">
      <c r="B34" t="s">
        <v>80</v>
      </c>
      <c r="C34" s="6">
        <f t="shared" ref="C34:I34" si="4">C19/C15</f>
        <v>0.11581369404546088</v>
      </c>
      <c r="D34" s="6">
        <f t="shared" si="4"/>
        <v>0.12273276904474002</v>
      </c>
      <c r="E34" s="6">
        <f t="shared" si="4"/>
        <v>0.11057763332840892</v>
      </c>
      <c r="F34" s="6">
        <f t="shared" si="4"/>
        <v>0.11033395049029691</v>
      </c>
      <c r="G34" s="6">
        <f t="shared" si="4"/>
        <v>0.1089657034836619</v>
      </c>
      <c r="H34" s="6">
        <f t="shared" si="4"/>
        <v>0.11837841412604987</v>
      </c>
      <c r="I34" s="6">
        <f t="shared" si="4"/>
        <v>0.18748466257668711</v>
      </c>
      <c r="J34" s="6">
        <f>J19/J15</f>
        <v>0.12499098449332853</v>
      </c>
    </row>
    <row r="35" spans="1:10" x14ac:dyDescent="0.35">
      <c r="B35" t="s">
        <v>81</v>
      </c>
      <c r="C35" s="6">
        <f t="shared" ref="C35:I35" si="5">C26/C25</f>
        <v>0.13774403470715835</v>
      </c>
      <c r="D35" s="6">
        <f t="shared" si="5"/>
        <v>5.2915008194802153E-2</v>
      </c>
      <c r="E35" s="6">
        <f t="shared" si="5"/>
        <v>8.8456076283221746E-2</v>
      </c>
      <c r="F35" s="6">
        <f t="shared" si="5"/>
        <v>0.21555367709213863</v>
      </c>
      <c r="G35" s="6">
        <f t="shared" si="5"/>
        <v>0.10181818181818182</v>
      </c>
      <c r="H35" s="6">
        <f t="shared" si="5"/>
        <v>0.16627318718381112</v>
      </c>
      <c r="I35" s="6">
        <f t="shared" si="5"/>
        <v>0.49263157894736842</v>
      </c>
      <c r="J35" s="6">
        <f>J26/J25</f>
        <v>0.22337164750957855</v>
      </c>
    </row>
    <row r="41" spans="1:10" s="5" customFormat="1" x14ac:dyDescent="0.35">
      <c r="A41" s="4"/>
      <c r="B41" s="4" t="s">
        <v>32</v>
      </c>
      <c r="G41" s="5">
        <f>G42-G53</f>
        <v>-57727</v>
      </c>
      <c r="H41" s="5">
        <f>H42-H53</f>
        <v>-54042</v>
      </c>
      <c r="I41" s="5">
        <f>I42-I53</f>
        <v>-55371</v>
      </c>
      <c r="J41" s="5">
        <f>J42-J53</f>
        <v>-52249</v>
      </c>
    </row>
    <row r="42" spans="1:10" x14ac:dyDescent="0.35">
      <c r="B42" t="s">
        <v>2</v>
      </c>
      <c r="G42" s="1">
        <f>11832+47</f>
        <v>11879</v>
      </c>
      <c r="H42" s="1">
        <f>9201+28</f>
        <v>9229</v>
      </c>
      <c r="I42" s="1">
        <f>6711+11</f>
        <v>6722</v>
      </c>
      <c r="J42" s="1">
        <f>8759+7</f>
        <v>8766</v>
      </c>
    </row>
    <row r="43" spans="1:10" x14ac:dyDescent="0.35">
      <c r="B43" t="s">
        <v>33</v>
      </c>
      <c r="G43" s="1">
        <v>10743</v>
      </c>
      <c r="H43" s="1">
        <v>11254</v>
      </c>
      <c r="I43" s="1">
        <v>11473</v>
      </c>
      <c r="J43" s="1">
        <v>11491</v>
      </c>
    </row>
    <row r="44" spans="1:10" x14ac:dyDescent="0.35">
      <c r="B44" t="s">
        <v>34</v>
      </c>
      <c r="G44" s="1">
        <v>3172</v>
      </c>
      <c r="H44" s="1">
        <v>3579</v>
      </c>
      <c r="I44" s="1">
        <v>3833</v>
      </c>
      <c r="J44" s="1">
        <v>4055</v>
      </c>
    </row>
    <row r="45" spans="1:10" x14ac:dyDescent="0.35">
      <c r="B45" t="s">
        <v>35</v>
      </c>
      <c r="G45" s="1">
        <v>4570</v>
      </c>
      <c r="H45" s="1">
        <v>4401</v>
      </c>
      <c r="I45" s="1">
        <v>4460</v>
      </c>
      <c r="J45" s="1">
        <v>4540</v>
      </c>
    </row>
    <row r="46" spans="1:10" x14ac:dyDescent="0.35">
      <c r="B46" t="s">
        <v>36</v>
      </c>
      <c r="G46" s="1">
        <v>235</v>
      </c>
      <c r="H46" s="1">
        <v>241</v>
      </c>
      <c r="I46" s="1">
        <v>257</v>
      </c>
      <c r="J46" s="1">
        <v>288</v>
      </c>
    </row>
    <row r="47" spans="1:10" x14ac:dyDescent="0.35">
      <c r="B47" t="s">
        <v>37</v>
      </c>
      <c r="G47" s="1">
        <v>4893</v>
      </c>
      <c r="H47" s="1">
        <v>4935</v>
      </c>
      <c r="I47" s="1">
        <v>4931</v>
      </c>
      <c r="J47" s="1">
        <v>4943</v>
      </c>
    </row>
    <row r="48" spans="1:10" x14ac:dyDescent="0.35">
      <c r="B48" t="s">
        <v>38</v>
      </c>
      <c r="G48" s="1">
        <v>68725</v>
      </c>
      <c r="H48" s="1">
        <v>67439</v>
      </c>
      <c r="I48" s="1">
        <v>64848</v>
      </c>
      <c r="J48" s="1">
        <v>62862</v>
      </c>
    </row>
    <row r="49" spans="2:10" x14ac:dyDescent="0.35">
      <c r="B49" t="s">
        <v>39</v>
      </c>
      <c r="G49" s="1">
        <v>31726</v>
      </c>
      <c r="H49" s="1">
        <v>32156</v>
      </c>
      <c r="I49" s="1">
        <v>32220</v>
      </c>
      <c r="J49" s="1">
        <v>32224</v>
      </c>
    </row>
    <row r="50" spans="2:10" x14ac:dyDescent="0.35">
      <c r="B50" t="s">
        <v>22</v>
      </c>
      <c r="G50" s="1">
        <v>5382</v>
      </c>
      <c r="H50" s="1">
        <v>5571</v>
      </c>
      <c r="I50" s="1">
        <v>5800</v>
      </c>
      <c r="J50" s="1">
        <v>6198</v>
      </c>
    </row>
    <row r="51" spans="2:10" x14ac:dyDescent="0.35">
      <c r="B51" t="s">
        <v>40</v>
      </c>
      <c r="G51" s="1">
        <f>SUM(G42:G50)</f>
        <v>141325</v>
      </c>
      <c r="H51" s="1">
        <f>SUM(H42:H50)</f>
        <v>138805</v>
      </c>
      <c r="I51" s="1">
        <f>SUM(I42:I50)</f>
        <v>134544</v>
      </c>
      <c r="J51" s="1">
        <f>SUM(J42:J50)</f>
        <v>135367</v>
      </c>
    </row>
    <row r="53" spans="2:10" x14ac:dyDescent="0.35">
      <c r="B53" t="s">
        <v>4</v>
      </c>
      <c r="G53" s="1">
        <f>10+9197+60399</f>
        <v>69606</v>
      </c>
      <c r="H53" s="1">
        <f>1+4135+59135</f>
        <v>63271</v>
      </c>
      <c r="I53" s="1">
        <f>1+2800+59292</f>
        <v>62093</v>
      </c>
      <c r="J53" s="1">
        <f>5203+55812</f>
        <v>61015</v>
      </c>
    </row>
    <row r="54" spans="2:10" x14ac:dyDescent="0.35">
      <c r="B54" t="s">
        <v>41</v>
      </c>
      <c r="G54" s="1">
        <v>23505</v>
      </c>
      <c r="H54" s="1">
        <v>25402</v>
      </c>
      <c r="I54" s="1">
        <v>24789</v>
      </c>
      <c r="J54" s="1">
        <v>27036</v>
      </c>
    </row>
    <row r="55" spans="2:10" x14ac:dyDescent="0.35">
      <c r="B55" t="s">
        <v>42</v>
      </c>
      <c r="G55" s="1">
        <v>1972</v>
      </c>
      <c r="H55" s="1">
        <v>2190</v>
      </c>
      <c r="I55" s="1">
        <v>2110</v>
      </c>
      <c r="J55" s="1">
        <v>2124</v>
      </c>
    </row>
    <row r="56" spans="2:10" x14ac:dyDescent="0.35">
      <c r="B56" t="s">
        <v>43</v>
      </c>
      <c r="G56" s="1">
        <v>30215</v>
      </c>
      <c r="H56" s="1">
        <v>30655</v>
      </c>
      <c r="I56" s="1">
        <v>32249</v>
      </c>
      <c r="J56" s="1">
        <v>32294</v>
      </c>
    </row>
    <row r="57" spans="2:10" x14ac:dyDescent="0.35">
      <c r="B57" t="s">
        <v>44</v>
      </c>
      <c r="G57" s="1">
        <v>16027</v>
      </c>
      <c r="H57" s="1">
        <v>17287</v>
      </c>
      <c r="I57" s="1">
        <v>13303</v>
      </c>
      <c r="J57" s="1">
        <v>12898</v>
      </c>
    </row>
    <row r="58" spans="2:10" x14ac:dyDescent="0.35">
      <c r="B58" t="s">
        <v>45</v>
      </c>
      <c r="G58" s="1">
        <f>SUM(G53:G57)</f>
        <v>141325</v>
      </c>
      <c r="H58" s="1">
        <f>SUM(H53:H57)</f>
        <v>138805</v>
      </c>
      <c r="I58" s="1">
        <f>SUM(I53:I57)</f>
        <v>134544</v>
      </c>
      <c r="J58" s="1">
        <f>SUM(J53:J57)</f>
        <v>135367</v>
      </c>
    </row>
    <row r="64" spans="2:10" x14ac:dyDescent="0.35">
      <c r="B64" t="s">
        <v>46</v>
      </c>
      <c r="I64" s="1">
        <f>I27</f>
        <v>241</v>
      </c>
      <c r="J64" s="1">
        <f>J27</f>
        <v>2027</v>
      </c>
    </row>
    <row r="65" spans="2:10" x14ac:dyDescent="0.35">
      <c r="B65" t="s">
        <v>47</v>
      </c>
      <c r="I65" s="1">
        <v>241</v>
      </c>
      <c r="J65" s="1">
        <f>2268-I65</f>
        <v>2027</v>
      </c>
    </row>
    <row r="66" spans="2:10" x14ac:dyDescent="0.35">
      <c r="B66" t="s">
        <v>48</v>
      </c>
      <c r="I66" s="1">
        <v>179</v>
      </c>
      <c r="J66" s="1">
        <f>369-I66</f>
        <v>190</v>
      </c>
    </row>
    <row r="67" spans="2:10" x14ac:dyDescent="0.35">
      <c r="B67" t="s">
        <v>49</v>
      </c>
      <c r="I67" s="1">
        <v>1948</v>
      </c>
      <c r="J67" s="1">
        <f>4018-I67</f>
        <v>2070</v>
      </c>
    </row>
    <row r="68" spans="2:10" x14ac:dyDescent="0.35">
      <c r="B68" t="s">
        <v>42</v>
      </c>
      <c r="I68" s="1">
        <v>-267</v>
      </c>
      <c r="J68" s="1">
        <f>-635-I68</f>
        <v>-368</v>
      </c>
    </row>
    <row r="69" spans="2:10" x14ac:dyDescent="0.35">
      <c r="B69" t="s">
        <v>50</v>
      </c>
      <c r="I69" s="1">
        <v>1872</v>
      </c>
      <c r="J69" s="1">
        <f>3424-I69</f>
        <v>1552</v>
      </c>
    </row>
    <row r="70" spans="2:10" x14ac:dyDescent="0.35">
      <c r="B70" t="s">
        <v>51</v>
      </c>
      <c r="I70" s="1">
        <v>313</v>
      </c>
      <c r="J70" s="1">
        <f>492-I70</f>
        <v>179</v>
      </c>
    </row>
    <row r="71" spans="2:10" x14ac:dyDescent="0.35">
      <c r="B71" t="s">
        <v>52</v>
      </c>
      <c r="I71" s="1">
        <v>150</v>
      </c>
      <c r="J71" s="1">
        <f>430-I71</f>
        <v>280</v>
      </c>
    </row>
    <row r="72" spans="2:10" x14ac:dyDescent="0.35">
      <c r="B72" t="s">
        <v>53</v>
      </c>
      <c r="I72" s="1">
        <v>710</v>
      </c>
      <c r="J72" s="1">
        <f>710-I72</f>
        <v>0</v>
      </c>
    </row>
    <row r="73" spans="2:10" x14ac:dyDescent="0.35">
      <c r="B73" t="s">
        <v>54</v>
      </c>
      <c r="I73" s="1">
        <v>-128</v>
      </c>
      <c r="J73" s="1">
        <f>+-118+-173-I73</f>
        <v>-163</v>
      </c>
    </row>
    <row r="74" spans="2:10" x14ac:dyDescent="0.35">
      <c r="B74" t="s">
        <v>55</v>
      </c>
      <c r="I74" s="1">
        <v>-195</v>
      </c>
      <c r="J74" s="1">
        <f>-275-I74</f>
        <v>-80</v>
      </c>
    </row>
    <row r="75" spans="2:10" x14ac:dyDescent="0.35">
      <c r="B75" t="s">
        <v>34</v>
      </c>
      <c r="I75" s="1">
        <v>-185</v>
      </c>
      <c r="J75" s="1">
        <f>-458-I75</f>
        <v>-273</v>
      </c>
    </row>
    <row r="76" spans="2:10" x14ac:dyDescent="0.35">
      <c r="B76" t="s">
        <v>35</v>
      </c>
      <c r="I76" s="1">
        <v>-167</v>
      </c>
      <c r="J76" s="1">
        <f>285-I76</f>
        <v>452</v>
      </c>
    </row>
    <row r="77" spans="2:10" x14ac:dyDescent="0.35">
      <c r="B77" t="s">
        <v>56</v>
      </c>
      <c r="I77" s="1">
        <v>-465</v>
      </c>
      <c r="J77" s="1">
        <f>1107-I77</f>
        <v>1572</v>
      </c>
    </row>
    <row r="78" spans="2:10" x14ac:dyDescent="0.35">
      <c r="B78" t="s">
        <v>57</v>
      </c>
      <c r="I78" s="1">
        <v>187</v>
      </c>
      <c r="J78" s="1">
        <f>-932-I78</f>
        <v>-1119</v>
      </c>
    </row>
    <row r="79" spans="2:10" x14ac:dyDescent="0.35">
      <c r="B79" t="s">
        <v>58</v>
      </c>
      <c r="I79" s="1">
        <f>SUM(I65:I78)</f>
        <v>4193</v>
      </c>
      <c r="J79" s="1">
        <f>SUM(J65:J78)</f>
        <v>6319</v>
      </c>
    </row>
    <row r="81" spans="2:10" x14ac:dyDescent="0.35">
      <c r="B81" t="s">
        <v>59</v>
      </c>
      <c r="I81" s="1">
        <v>-353</v>
      </c>
      <c r="J81" s="1">
        <f>-513-I81</f>
        <v>-160</v>
      </c>
    </row>
    <row r="82" spans="2:10" x14ac:dyDescent="0.35">
      <c r="B82" t="s">
        <v>60</v>
      </c>
      <c r="I82" s="1">
        <v>-175</v>
      </c>
      <c r="J82" s="1">
        <f>-353-I82</f>
        <v>-178</v>
      </c>
    </row>
    <row r="83" spans="2:10" x14ac:dyDescent="0.35">
      <c r="B83" t="s">
        <v>61</v>
      </c>
      <c r="I83" s="1">
        <v>-19</v>
      </c>
      <c r="J83" s="1">
        <f>-35-I83</f>
        <v>-16</v>
      </c>
    </row>
    <row r="84" spans="2:10" x14ac:dyDescent="0.35">
      <c r="B84" t="s">
        <v>62</v>
      </c>
      <c r="I84" s="1">
        <v>22</v>
      </c>
      <c r="J84" s="1">
        <f>36-I84</f>
        <v>14</v>
      </c>
    </row>
    <row r="85" spans="2:10" x14ac:dyDescent="0.35">
      <c r="B85" t="s">
        <v>54</v>
      </c>
      <c r="I85" s="1">
        <v>26</v>
      </c>
      <c r="J85" s="1">
        <f>25-I85</f>
        <v>-1</v>
      </c>
    </row>
    <row r="86" spans="2:10" x14ac:dyDescent="0.35">
      <c r="B86" t="s">
        <v>63</v>
      </c>
      <c r="I86" s="1">
        <f>SUM(I81:I85)</f>
        <v>-499</v>
      </c>
      <c r="J86" s="1">
        <f>SUM(J81:J85)</f>
        <v>-341</v>
      </c>
    </row>
    <row r="88" spans="2:10" x14ac:dyDescent="0.35">
      <c r="B88" t="s">
        <v>64</v>
      </c>
      <c r="I88" s="1">
        <v>0</v>
      </c>
      <c r="J88" s="1">
        <f>0-I88</f>
        <v>0</v>
      </c>
    </row>
    <row r="89" spans="2:10" x14ac:dyDescent="0.35">
      <c r="B89" t="s">
        <v>65</v>
      </c>
      <c r="I89" s="1">
        <v>-1351</v>
      </c>
      <c r="J89" s="1">
        <f>-2353-I89</f>
        <v>-1002</v>
      </c>
    </row>
    <row r="90" spans="2:10" x14ac:dyDescent="0.35">
      <c r="B90" t="s">
        <v>66</v>
      </c>
      <c r="I90" s="1">
        <v>-2661</v>
      </c>
      <c r="J90" s="1">
        <f>-5286-I90</f>
        <v>-2625</v>
      </c>
    </row>
    <row r="91" spans="2:10" x14ac:dyDescent="0.35">
      <c r="B91" t="s">
        <v>67</v>
      </c>
      <c r="I91" s="1">
        <v>-1955</v>
      </c>
      <c r="J91" s="1">
        <f>-1965-I91</f>
        <v>-10</v>
      </c>
    </row>
    <row r="92" spans="2:10" x14ac:dyDescent="0.35">
      <c r="B92" t="s">
        <v>68</v>
      </c>
      <c r="I92" s="1">
        <v>65</v>
      </c>
      <c r="J92" s="1">
        <f>113-I92</f>
        <v>48</v>
      </c>
    </row>
    <row r="93" spans="2:10" x14ac:dyDescent="0.35">
      <c r="B93" t="s">
        <v>69</v>
      </c>
      <c r="I93" s="1">
        <v>-311</v>
      </c>
      <c r="J93" s="1">
        <f>-641-I93</f>
        <v>-330</v>
      </c>
    </row>
    <row r="94" spans="2:10" x14ac:dyDescent="0.35">
      <c r="B94" t="s">
        <v>70</v>
      </c>
      <c r="I94" s="1">
        <v>21</v>
      </c>
      <c r="J94" s="1">
        <f>20-I94</f>
        <v>-1</v>
      </c>
    </row>
    <row r="95" spans="2:10" x14ac:dyDescent="0.35">
      <c r="B95" t="s">
        <v>71</v>
      </c>
      <c r="I95" s="1">
        <f>SUM(I88:I94)</f>
        <v>-6192</v>
      </c>
      <c r="J95" s="1">
        <f>SUM(J88:J94)</f>
        <v>-3920</v>
      </c>
    </row>
    <row r="97" spans="2:10" x14ac:dyDescent="0.35">
      <c r="B97" t="s">
        <v>72</v>
      </c>
      <c r="I97" s="1">
        <v>8</v>
      </c>
      <c r="J97" s="1">
        <f>-2-I97</f>
        <v>-10</v>
      </c>
    </row>
    <row r="98" spans="2:10" x14ac:dyDescent="0.35">
      <c r="B98" t="s">
        <v>73</v>
      </c>
      <c r="I98" s="1">
        <f>I97+I95+I86+I79</f>
        <v>-2490</v>
      </c>
      <c r="J98" s="1">
        <f>J97+J95+J86+J79</f>
        <v>2048</v>
      </c>
    </row>
    <row r="99" spans="2:10" x14ac:dyDescent="0.35">
      <c r="B99" t="s">
        <v>74</v>
      </c>
    </row>
    <row r="100" spans="2:10" x14ac:dyDescent="0.35">
      <c r="B100" t="s">
        <v>75</v>
      </c>
    </row>
    <row r="102" spans="2:10" x14ac:dyDescent="0.35">
      <c r="B102" t="s">
        <v>76</v>
      </c>
    </row>
  </sheetData>
  <hyperlinks>
    <hyperlink ref="A1" location="Main!A1" display="Main" xr:uid="{6D96B736-3CDA-4F9B-B1D3-9BC5BF99A4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2023-08-13T15:11:00Z</dcterms:modified>
</cp:coreProperties>
</file>