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cha\Investing\models\Neuroscience\"/>
    </mc:Choice>
  </mc:AlternateContent>
  <xr:revisionPtr revIDLastSave="0" documentId="13_ncr:1_{381F711B-74EC-4D0A-B78F-D49C8757E68E}" xr6:coauthVersionLast="47" xr6:coauthVersionMax="47" xr10:uidLastSave="{00000000-0000-0000-0000-000000000000}"/>
  <bookViews>
    <workbookView xWindow="6130" yWindow="1450" windowWidth="31050" windowHeight="19090" activeTab="1" xr2:uid="{00000000-000D-0000-FFFF-FFFF00000000}"/>
  </bookViews>
  <sheets>
    <sheet name="Main" sheetId="1" r:id="rId1"/>
    <sheet name="Model" sheetId="2" r:id="rId2"/>
    <sheet name="pimavanser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 i="2" l="1"/>
  <c r="Z9" i="2"/>
  <c r="Y9" i="2"/>
  <c r="X9" i="2"/>
  <c r="W9" i="2"/>
  <c r="V9" i="2"/>
  <c r="U9" i="2"/>
  <c r="T9" i="2"/>
  <c r="S9" i="2"/>
  <c r="AA8" i="2"/>
  <c r="Z8" i="2"/>
  <c r="Y8" i="2"/>
  <c r="X8" i="2"/>
  <c r="W8" i="2"/>
  <c r="V8" i="2"/>
  <c r="U8" i="2"/>
  <c r="T8" i="2"/>
  <c r="V3" i="2"/>
  <c r="U3" i="2"/>
  <c r="T3" i="2"/>
  <c r="S3" i="2"/>
  <c r="R12" i="2"/>
  <c r="Q29" i="2"/>
  <c r="J29" i="2"/>
  <c r="AD28" i="2"/>
  <c r="AD24" i="2"/>
  <c r="AA21" i="2"/>
  <c r="Z21" i="2"/>
  <c r="Y21" i="2"/>
  <c r="X21" i="2"/>
  <c r="W21" i="2"/>
  <c r="V21" i="2"/>
  <c r="U21" i="2"/>
  <c r="T21" i="2"/>
  <c r="S21" i="2"/>
  <c r="R21" i="2"/>
  <c r="Q26" i="2"/>
  <c r="R14" i="2"/>
  <c r="R15" i="2" s="1"/>
  <c r="R26" i="2" s="1"/>
  <c r="R11" i="2"/>
  <c r="R10" i="2"/>
  <c r="R25" i="2"/>
  <c r="R24" i="2"/>
  <c r="S25" i="2"/>
  <c r="R9" i="2"/>
  <c r="R8" i="2"/>
  <c r="R23" i="2"/>
  <c r="R22" i="2"/>
  <c r="R7" i="2"/>
  <c r="R6" i="2"/>
  <c r="S5" i="2"/>
  <c r="S22" i="2" s="1"/>
  <c r="R5" i="2"/>
  <c r="W4" i="2"/>
  <c r="X4" i="2" s="1"/>
  <c r="Y4" i="2" s="1"/>
  <c r="Z4" i="2" s="1"/>
  <c r="AA4" i="2" s="1"/>
  <c r="V4" i="2"/>
  <c r="U4" i="2"/>
  <c r="T4" i="2"/>
  <c r="S4" i="2"/>
  <c r="R4" i="2"/>
  <c r="S20" i="2"/>
  <c r="R20" i="2"/>
  <c r="T20" i="2"/>
  <c r="R3" i="2"/>
  <c r="P23" i="2"/>
  <c r="Q23" i="2"/>
  <c r="Q22" i="2"/>
  <c r="Q20" i="2"/>
  <c r="Q12" i="2"/>
  <c r="Q13" i="2"/>
  <c r="Q14" i="2" s="1"/>
  <c r="Q16" i="2" s="1"/>
  <c r="Q17" i="2" s="1"/>
  <c r="Q15" i="2"/>
  <c r="Q18" i="2"/>
  <c r="Q11" i="2"/>
  <c r="Q10" i="2"/>
  <c r="Q9" i="2"/>
  <c r="Q8" i="2"/>
  <c r="Q7" i="2"/>
  <c r="Q6" i="2"/>
  <c r="Q5" i="2"/>
  <c r="Q4" i="2"/>
  <c r="Q3" i="2"/>
  <c r="P17" i="2"/>
  <c r="P18" i="2"/>
  <c r="P16" i="2"/>
  <c r="P15" i="2"/>
  <c r="P14" i="2"/>
  <c r="P13" i="2"/>
  <c r="P12" i="2"/>
  <c r="P11" i="2"/>
  <c r="P10" i="2"/>
  <c r="P9" i="2"/>
  <c r="P8" i="2"/>
  <c r="P7" i="2"/>
  <c r="P6" i="2"/>
  <c r="P5" i="2"/>
  <c r="P4" i="2"/>
  <c r="P3" i="2"/>
  <c r="L16" i="2"/>
  <c r="K16" i="2"/>
  <c r="L15" i="2"/>
  <c r="K15" i="2"/>
  <c r="L14" i="2"/>
  <c r="K14" i="2"/>
  <c r="L11" i="2"/>
  <c r="K11" i="2"/>
  <c r="L10" i="2"/>
  <c r="K10" i="2"/>
  <c r="L23" i="2"/>
  <c r="K23" i="2"/>
  <c r="L22" i="2"/>
  <c r="K22" i="2"/>
  <c r="L7" i="2"/>
  <c r="K7" i="2"/>
  <c r="L6" i="2"/>
  <c r="K6" i="2"/>
  <c r="L5" i="2"/>
  <c r="K5" i="2"/>
  <c r="L3" i="2"/>
  <c r="K3" i="2"/>
  <c r="L20" i="2"/>
  <c r="K20" i="2"/>
  <c r="I20" i="2"/>
  <c r="H20" i="2"/>
  <c r="G20" i="2"/>
  <c r="J20" i="2"/>
  <c r="D10" i="2"/>
  <c r="D5" i="2"/>
  <c r="H5" i="2"/>
  <c r="H10" i="2"/>
  <c r="H7" i="2"/>
  <c r="H11" i="2" s="1"/>
  <c r="H14" i="2" s="1"/>
  <c r="H16" i="2" s="1"/>
  <c r="H17" i="2" s="1"/>
  <c r="C15" i="2"/>
  <c r="C6" i="2"/>
  <c r="C10" i="2"/>
  <c r="C5" i="2"/>
  <c r="C7" i="2" s="1"/>
  <c r="C11" i="2" s="1"/>
  <c r="C14" i="2" s="1"/>
  <c r="C16" i="2" s="1"/>
  <c r="C17" i="2" s="1"/>
  <c r="G10" i="2"/>
  <c r="G5" i="2"/>
  <c r="G7" i="2" s="1"/>
  <c r="G11" i="2" s="1"/>
  <c r="G14" i="2" s="1"/>
  <c r="G16" i="2" s="1"/>
  <c r="G17" i="2" s="1"/>
  <c r="E10" i="2"/>
  <c r="E5" i="2"/>
  <c r="E7" i="2" s="1"/>
  <c r="E11" i="2" s="1"/>
  <c r="E14" i="2" s="1"/>
  <c r="E16" i="2" s="1"/>
  <c r="E17" i="2" s="1"/>
  <c r="I10" i="2"/>
  <c r="I5" i="2"/>
  <c r="I7" i="2" s="1"/>
  <c r="I23" i="2" s="1"/>
  <c r="F10" i="2"/>
  <c r="F5" i="2"/>
  <c r="F7" i="2" s="1"/>
  <c r="F23" i="2" s="1"/>
  <c r="J10" i="2"/>
  <c r="J5" i="2"/>
  <c r="J7" i="2" s="1"/>
  <c r="P2" i="2"/>
  <c r="Q2" i="2" s="1"/>
  <c r="R2" i="2" s="1"/>
  <c r="S2" i="2" s="1"/>
  <c r="T2" i="2" s="1"/>
  <c r="U2" i="2" s="1"/>
  <c r="V2" i="2" s="1"/>
  <c r="W2" i="2" s="1"/>
  <c r="X2" i="2" s="1"/>
  <c r="Y2" i="2" s="1"/>
  <c r="Z2" i="2" s="1"/>
  <c r="AA2" i="2" s="1"/>
  <c r="M9" i="1"/>
  <c r="M7" i="1"/>
  <c r="M6" i="1"/>
  <c r="S8" i="2" l="1"/>
  <c r="T5" i="2"/>
  <c r="S6" i="2"/>
  <c r="S7" i="2" s="1"/>
  <c r="R16" i="2"/>
  <c r="J22" i="2"/>
  <c r="E23" i="2"/>
  <c r="I22" i="2"/>
  <c r="G23" i="2"/>
  <c r="C23" i="2"/>
  <c r="G22" i="2"/>
  <c r="H23" i="2"/>
  <c r="H22" i="2"/>
  <c r="D7" i="2"/>
  <c r="D11" i="2" s="1"/>
  <c r="D14" i="2" s="1"/>
  <c r="D16" i="2" s="1"/>
  <c r="D17" i="2" s="1"/>
  <c r="J23" i="2"/>
  <c r="J11" i="2"/>
  <c r="J14" i="2" s="1"/>
  <c r="J16" i="2" s="1"/>
  <c r="J17" i="2" s="1"/>
  <c r="F11" i="2"/>
  <c r="F14" i="2" s="1"/>
  <c r="F16" i="2" s="1"/>
  <c r="F17" i="2" s="1"/>
  <c r="I11" i="2"/>
  <c r="S23" i="2" l="1"/>
  <c r="T22" i="2"/>
  <c r="T6" i="2"/>
  <c r="T7" i="2" s="1"/>
  <c r="T25" i="2"/>
  <c r="S10" i="2"/>
  <c r="S11" i="2" s="1"/>
  <c r="S24" i="2"/>
  <c r="U20" i="2"/>
  <c r="U5" i="2"/>
  <c r="R29" i="2"/>
  <c r="S12" i="2" s="1"/>
  <c r="I14" i="2"/>
  <c r="I16" i="2" s="1"/>
  <c r="I17" i="2" s="1"/>
  <c r="S14" i="2" l="1"/>
  <c r="S15" i="2"/>
  <c r="S26" i="2" s="1"/>
  <c r="T23" i="2"/>
  <c r="W3" i="2"/>
  <c r="V20" i="2"/>
  <c r="V5" i="2"/>
  <c r="U22" i="2"/>
  <c r="U6" i="2"/>
  <c r="U7" i="2" s="1"/>
  <c r="U25" i="2"/>
  <c r="T24" i="2"/>
  <c r="T10" i="2"/>
  <c r="T11" i="2" s="1"/>
  <c r="U23" i="2" l="1"/>
  <c r="U24" i="2"/>
  <c r="U10" i="2"/>
  <c r="U11" i="2" s="1"/>
  <c r="V22" i="2"/>
  <c r="V25" i="2"/>
  <c r="V6" i="2"/>
  <c r="V7" i="2" s="1"/>
  <c r="X3" i="2"/>
  <c r="W20" i="2"/>
  <c r="W5" i="2"/>
  <c r="S16" i="2"/>
  <c r="S29" i="2" s="1"/>
  <c r="T12" i="2" s="1"/>
  <c r="T14" i="2" s="1"/>
  <c r="T15" i="2" s="1"/>
  <c r="T26" i="2" s="1"/>
  <c r="V23" i="2" l="1"/>
  <c r="W25" i="2"/>
  <c r="W6" i="2"/>
  <c r="W7" i="2" s="1"/>
  <c r="W22" i="2"/>
  <c r="X20" i="2"/>
  <c r="X5" i="2"/>
  <c r="Y3" i="2"/>
  <c r="V24" i="2"/>
  <c r="V10" i="2"/>
  <c r="V11" i="2" s="1"/>
  <c r="T16" i="2"/>
  <c r="W23" i="2" l="1"/>
  <c r="Y20" i="2"/>
  <c r="Y5" i="2"/>
  <c r="Z3" i="2"/>
  <c r="X25" i="2"/>
  <c r="X22" i="2"/>
  <c r="X6" i="2"/>
  <c r="X7" i="2" s="1"/>
  <c r="W24" i="2"/>
  <c r="W10" i="2"/>
  <c r="W11" i="2" s="1"/>
  <c r="T29" i="2"/>
  <c r="X23" i="2" l="1"/>
  <c r="X24" i="2"/>
  <c r="X10" i="2"/>
  <c r="X11" i="2" s="1"/>
  <c r="AA3" i="2"/>
  <c r="Z20" i="2"/>
  <c r="Z5" i="2"/>
  <c r="Y25" i="2"/>
  <c r="Y22" i="2"/>
  <c r="Y6" i="2"/>
  <c r="Y7" i="2" s="1"/>
  <c r="U12" i="2"/>
  <c r="U14" i="2" s="1"/>
  <c r="Y23" i="2" l="1"/>
  <c r="Y24" i="2"/>
  <c r="Y10" i="2"/>
  <c r="Y11" i="2" s="1"/>
  <c r="Z25" i="2"/>
  <c r="Z22" i="2"/>
  <c r="Z6" i="2"/>
  <c r="Z7" i="2" s="1"/>
  <c r="AA20" i="2"/>
  <c r="AA5" i="2"/>
  <c r="U15" i="2"/>
  <c r="U26" i="2" s="1"/>
  <c r="Z23" i="2" l="1"/>
  <c r="AA22" i="2"/>
  <c r="AA6" i="2"/>
  <c r="AA7" i="2" s="1"/>
  <c r="AA25" i="2"/>
  <c r="Z24" i="2"/>
  <c r="Z10" i="2"/>
  <c r="Z11" i="2" s="1"/>
  <c r="U16" i="2"/>
  <c r="AA23" i="2" l="1"/>
  <c r="AA24" i="2"/>
  <c r="AA10" i="2"/>
  <c r="AA11" i="2" s="1"/>
  <c r="U29" i="2"/>
  <c r="V12" i="2" l="1"/>
  <c r="V14" i="2" s="1"/>
  <c r="V15" i="2" l="1"/>
  <c r="V26" i="2" s="1"/>
  <c r="V16" i="2" l="1"/>
  <c r="V29" i="2" l="1"/>
  <c r="W12" i="2" l="1"/>
  <c r="W14" i="2" s="1"/>
  <c r="W15" i="2" l="1"/>
  <c r="W26" i="2" s="1"/>
  <c r="W16" i="2" l="1"/>
  <c r="W29" i="2" l="1"/>
  <c r="X12" i="2" l="1"/>
  <c r="X14" i="2" s="1"/>
  <c r="X15" i="2" l="1"/>
  <c r="X26" i="2" s="1"/>
  <c r="X16" i="2" l="1"/>
  <c r="X29" i="2" l="1"/>
  <c r="Y12" i="2" l="1"/>
  <c r="Y14" i="2" s="1"/>
  <c r="Y15" i="2" l="1"/>
  <c r="Y26" i="2" s="1"/>
  <c r="Y16" i="2" l="1"/>
  <c r="Y29" i="2" s="1"/>
  <c r="Z12" i="2" l="1"/>
  <c r="Z14" i="2" s="1"/>
  <c r="Z15" i="2" l="1"/>
  <c r="Z26" i="2" s="1"/>
  <c r="Z16" i="2"/>
  <c r="Z29" i="2" s="1"/>
  <c r="AA12" i="2" l="1"/>
  <c r="AA14" i="2" s="1"/>
  <c r="AA15" i="2" l="1"/>
  <c r="AA26" i="2" s="1"/>
  <c r="AA16" i="2"/>
  <c r="AB16" i="2" l="1"/>
  <c r="AC16" i="2" s="1"/>
  <c r="AD16" i="2" s="1"/>
  <c r="AE16" i="2" s="1"/>
  <c r="AF16" i="2" s="1"/>
  <c r="AG16" i="2" s="1"/>
  <c r="AH16" i="2" s="1"/>
  <c r="AI16" i="2" s="1"/>
  <c r="AJ16" i="2" s="1"/>
  <c r="AK16" i="2" s="1"/>
  <c r="AL16" i="2" s="1"/>
  <c r="AM16" i="2" s="1"/>
  <c r="AN16" i="2" s="1"/>
  <c r="AO16" i="2" s="1"/>
  <c r="AP16" i="2" s="1"/>
  <c r="AQ16" i="2" s="1"/>
  <c r="AR16" i="2" s="1"/>
  <c r="AS16" i="2" s="1"/>
  <c r="AT16" i="2" s="1"/>
  <c r="AU16" i="2" s="1"/>
  <c r="AV16" i="2" s="1"/>
  <c r="AW16" i="2" s="1"/>
  <c r="AX16" i="2" s="1"/>
  <c r="AY16" i="2" s="1"/>
  <c r="AZ16" i="2" s="1"/>
  <c r="BA16" i="2" s="1"/>
  <c r="BB16" i="2" s="1"/>
  <c r="BC16" i="2" s="1"/>
  <c r="BD16" i="2" s="1"/>
  <c r="BE16" i="2" s="1"/>
  <c r="BF16" i="2" s="1"/>
  <c r="BG16" i="2" s="1"/>
  <c r="BH16" i="2" s="1"/>
  <c r="BI16" i="2" s="1"/>
  <c r="BJ16" i="2" s="1"/>
  <c r="BK16" i="2" s="1"/>
  <c r="BL16" i="2" s="1"/>
  <c r="BM16" i="2" s="1"/>
  <c r="BN16" i="2" s="1"/>
  <c r="BO16" i="2" s="1"/>
  <c r="BP16" i="2" s="1"/>
  <c r="BQ16" i="2" s="1"/>
  <c r="BR16" i="2" s="1"/>
  <c r="BS16" i="2" s="1"/>
  <c r="BT16" i="2" s="1"/>
  <c r="BU16" i="2" s="1"/>
  <c r="BV16" i="2" s="1"/>
  <c r="BW16" i="2" s="1"/>
  <c r="BX16" i="2" s="1"/>
  <c r="BY16" i="2" s="1"/>
  <c r="BZ16" i="2" s="1"/>
  <c r="CA16" i="2" s="1"/>
  <c r="CB16" i="2" s="1"/>
  <c r="CC16" i="2" s="1"/>
  <c r="CD16" i="2" s="1"/>
  <c r="CE16" i="2" s="1"/>
  <c r="CF16" i="2" s="1"/>
  <c r="CG16" i="2" s="1"/>
  <c r="CH16" i="2" s="1"/>
  <c r="CI16" i="2" s="1"/>
  <c r="CJ16" i="2" s="1"/>
  <c r="CK16" i="2" s="1"/>
  <c r="CL16" i="2" s="1"/>
  <c r="CM16" i="2" s="1"/>
  <c r="CN16" i="2" s="1"/>
  <c r="CO16" i="2" s="1"/>
  <c r="CP16" i="2" s="1"/>
  <c r="CQ16" i="2" s="1"/>
  <c r="CR16" i="2" s="1"/>
  <c r="CS16" i="2" s="1"/>
  <c r="CT16" i="2" s="1"/>
  <c r="CU16" i="2" s="1"/>
  <c r="CV16" i="2" s="1"/>
  <c r="CW16" i="2" s="1"/>
  <c r="CX16" i="2" s="1"/>
  <c r="CY16" i="2" s="1"/>
  <c r="CZ16" i="2" s="1"/>
  <c r="DA16" i="2" s="1"/>
  <c r="DB16" i="2" s="1"/>
  <c r="DC16" i="2" s="1"/>
  <c r="DD16" i="2" s="1"/>
  <c r="DE16" i="2" s="1"/>
  <c r="DF16" i="2" s="1"/>
  <c r="DG16" i="2" s="1"/>
  <c r="DH16" i="2" s="1"/>
  <c r="DI16" i="2" s="1"/>
  <c r="DJ16" i="2" s="1"/>
  <c r="DK16" i="2" s="1"/>
  <c r="DL16" i="2" s="1"/>
  <c r="DM16" i="2" s="1"/>
  <c r="DN16" i="2" s="1"/>
  <c r="DO16" i="2" s="1"/>
  <c r="DP16" i="2" s="1"/>
  <c r="DQ16" i="2" s="1"/>
  <c r="DR16" i="2" s="1"/>
  <c r="DS16" i="2" s="1"/>
  <c r="DT16" i="2" s="1"/>
  <c r="DU16" i="2" s="1"/>
  <c r="DV16" i="2" s="1"/>
  <c r="DW16" i="2" s="1"/>
  <c r="DX16" i="2" s="1"/>
  <c r="DY16" i="2" s="1"/>
  <c r="DZ16" i="2" s="1"/>
  <c r="EA16" i="2" s="1"/>
  <c r="EB16" i="2" s="1"/>
  <c r="EC16" i="2" s="1"/>
  <c r="ED16" i="2" s="1"/>
  <c r="EE16" i="2" s="1"/>
  <c r="EF16" i="2" s="1"/>
  <c r="EG16" i="2" s="1"/>
  <c r="EH16" i="2" s="1"/>
  <c r="EI16" i="2" s="1"/>
  <c r="EJ16" i="2" s="1"/>
  <c r="EK16" i="2" s="1"/>
  <c r="EL16" i="2" s="1"/>
  <c r="EM16" i="2" s="1"/>
  <c r="EN16" i="2" s="1"/>
  <c r="EO16" i="2" s="1"/>
  <c r="EP16" i="2" s="1"/>
  <c r="EQ16" i="2" s="1"/>
  <c r="ER16" i="2" s="1"/>
  <c r="ES16" i="2" s="1"/>
  <c r="ET16" i="2" s="1"/>
  <c r="EU16" i="2" s="1"/>
  <c r="EV16" i="2" s="1"/>
  <c r="EW16" i="2" s="1"/>
  <c r="EX16" i="2" s="1"/>
  <c r="EY16" i="2" s="1"/>
  <c r="EZ16" i="2" s="1"/>
  <c r="FA16" i="2" s="1"/>
  <c r="FB16" i="2" s="1"/>
  <c r="FC16" i="2" s="1"/>
  <c r="FD16" i="2" s="1"/>
  <c r="FE16" i="2" s="1"/>
  <c r="FF16" i="2" s="1"/>
  <c r="FG16" i="2" s="1"/>
  <c r="FH16" i="2" s="1"/>
  <c r="FI16" i="2" s="1"/>
  <c r="FJ16" i="2" s="1"/>
  <c r="FK16" i="2" s="1"/>
  <c r="FL16" i="2" s="1"/>
  <c r="FM16" i="2" s="1"/>
  <c r="FN16" i="2" s="1"/>
  <c r="FO16" i="2" s="1"/>
  <c r="FP16" i="2" s="1"/>
  <c r="FQ16" i="2" s="1"/>
  <c r="FR16" i="2" s="1"/>
  <c r="FS16" i="2" s="1"/>
  <c r="FT16" i="2" s="1"/>
  <c r="FU16" i="2" s="1"/>
  <c r="FV16" i="2" s="1"/>
  <c r="FW16" i="2" s="1"/>
  <c r="FX16" i="2" s="1"/>
  <c r="FY16" i="2" s="1"/>
  <c r="FZ16" i="2" s="1"/>
  <c r="GA16" i="2" s="1"/>
  <c r="GB16" i="2" s="1"/>
  <c r="GC16" i="2" s="1"/>
  <c r="GD16" i="2" s="1"/>
  <c r="GE16" i="2" s="1"/>
  <c r="GF16" i="2" s="1"/>
  <c r="GG16" i="2" s="1"/>
  <c r="GH16" i="2" s="1"/>
  <c r="GI16" i="2" s="1"/>
  <c r="GJ16" i="2" s="1"/>
  <c r="GK16" i="2" s="1"/>
  <c r="GL16" i="2" s="1"/>
  <c r="GM16" i="2" s="1"/>
  <c r="GN16" i="2" s="1"/>
  <c r="AD23" i="2" s="1"/>
  <c r="AD25" i="2" s="1"/>
  <c r="AD27" i="2" s="1"/>
  <c r="AE28" i="2" s="1"/>
  <c r="AA29" i="2"/>
</calcChain>
</file>

<file path=xl/sharedStrings.xml><?xml version="1.0" encoding="utf-8"?>
<sst xmlns="http://schemas.openxmlformats.org/spreadsheetml/2006/main" count="99" uniqueCount="85">
  <si>
    <t xml:space="preserve">Price </t>
  </si>
  <si>
    <t>S/O</t>
  </si>
  <si>
    <t>MC</t>
  </si>
  <si>
    <t>Cash</t>
  </si>
  <si>
    <t xml:space="preserve">Debt </t>
  </si>
  <si>
    <t>EV</t>
  </si>
  <si>
    <t>Q223</t>
  </si>
  <si>
    <t>Main</t>
  </si>
  <si>
    <t>Revenue</t>
  </si>
  <si>
    <t>Q122</t>
  </si>
  <si>
    <t>Q222</t>
  </si>
  <si>
    <t>Q322</t>
  </si>
  <si>
    <t>Q422</t>
  </si>
  <si>
    <t>Q123</t>
  </si>
  <si>
    <t>Q323</t>
  </si>
  <si>
    <t>Q423</t>
  </si>
  <si>
    <t>NUPLAZID</t>
  </si>
  <si>
    <t>DAYBUE</t>
  </si>
  <si>
    <t xml:space="preserve">COGS </t>
  </si>
  <si>
    <t xml:space="preserve">Gross Profit </t>
  </si>
  <si>
    <t>R&amp;D</t>
  </si>
  <si>
    <t>SG&amp;A</t>
  </si>
  <si>
    <t>Operating Expenses</t>
  </si>
  <si>
    <t>Operating Income</t>
  </si>
  <si>
    <t>Interest</t>
  </si>
  <si>
    <t>Other</t>
  </si>
  <si>
    <t>Pretax Income</t>
  </si>
  <si>
    <t xml:space="preserve">Taxes </t>
  </si>
  <si>
    <t>Net Income</t>
  </si>
  <si>
    <t xml:space="preserve">EPS </t>
  </si>
  <si>
    <t xml:space="preserve">Shares </t>
  </si>
  <si>
    <t>Revenue y/y</t>
  </si>
  <si>
    <t xml:space="preserve">Gross Margin </t>
  </si>
  <si>
    <t xml:space="preserve">NUPLAZID </t>
  </si>
  <si>
    <t>pimavanserin</t>
  </si>
  <si>
    <t>trofinetide</t>
  </si>
  <si>
    <t>Rett syndrome</t>
  </si>
  <si>
    <t>Parkinson's disease psychosis (PDP)</t>
  </si>
  <si>
    <t>Indication</t>
  </si>
  <si>
    <t>Brand</t>
  </si>
  <si>
    <t xml:space="preserve">Generic </t>
  </si>
  <si>
    <t>Phase</t>
  </si>
  <si>
    <t>MOA</t>
  </si>
  <si>
    <t>Economics</t>
  </si>
  <si>
    <t>IP</t>
  </si>
  <si>
    <t>Marketed</t>
  </si>
  <si>
    <t>Negative Symptoms of Schizophrenia</t>
  </si>
  <si>
    <t xml:space="preserve">ACP-101 </t>
  </si>
  <si>
    <t xml:space="preserve">Hyperphagia in Prader-Willi Syndrome </t>
  </si>
  <si>
    <t>Acadia announced positive top-line results from its Phase 2 ADVANCE study, a 26-week, randomized, double-blind, placebo-controlled study in 403 patients.</t>
  </si>
  <si>
    <t>No drug is approved by the FDA for the treatment of the negative symptoms of schizophrenia.</t>
  </si>
  <si>
    <t>https://acadia.com/media/news-releases/acadia-pharmaceuticals-announces-positive-top-line-results-from-advance-trial-of-pimavanserin-as-treatment-for-negative-symptoms-of-schizophrenia/</t>
  </si>
  <si>
    <t>ADVANCE evaluated the efficacy and safety of adjunctive pimavanserin treatment in patients with predominantly negative symptoms of schizophrenia who have achieved adequate control of positive symptoms with their existing antipsychotic treatment.</t>
  </si>
  <si>
    <t xml:space="preserve">Pimavanserin is a selective serotonin inverse agonist and antagonist preferentially targeting 5-HT2A receptors. </t>
  </si>
  <si>
    <t xml:space="preserve">These receptors are thought to play an important role in psychosis, schizophrenia, depression and other neuropsychiatric disorders. </t>
  </si>
  <si>
    <t>In vitro, pimavanserin demonstrated no appreciable binding affinity for dopamine (including D2), histamine, muscarinic, or adrenergic receptors.</t>
  </si>
  <si>
    <t>The Phase 3 ADVANCE-2 study, is expected to complete enrollment by the end of 2022 with results available in 2024.</t>
  </si>
  <si>
    <t xml:space="preserve">NCT02970305 - Results Posted. </t>
  </si>
  <si>
    <t>NCT04531982 - Recruiting</t>
  </si>
  <si>
    <t xml:space="preserve">Brand </t>
  </si>
  <si>
    <t xml:space="preserve">Competition </t>
  </si>
  <si>
    <t xml:space="preserve">Clinical Trials </t>
  </si>
  <si>
    <t>Parkinson's disease psychosis (PDP) - Approved</t>
  </si>
  <si>
    <t>Negative symptoms of schizophrenia - Active</t>
  </si>
  <si>
    <t xml:space="preserve">5-HT2A receptors </t>
  </si>
  <si>
    <t>First and only prescription medication approved by the FDA for the treatment of hallucinations and delusions associated with Parkinson’s disease psychosis (PDP)</t>
  </si>
  <si>
    <t>https://pubchem.ncbi.nlm.nih.gov/compound/10071196</t>
  </si>
  <si>
    <t>III</t>
  </si>
  <si>
    <t>Q321</t>
  </si>
  <si>
    <t>Q421</t>
  </si>
  <si>
    <t>*</t>
  </si>
  <si>
    <t>NUPLAZID y/y</t>
  </si>
  <si>
    <t>DAYBUE y/y</t>
  </si>
  <si>
    <t xml:space="preserve">R&amp;D % </t>
  </si>
  <si>
    <t>SG&amp;A %</t>
  </si>
  <si>
    <t xml:space="preserve">Tax Rate </t>
  </si>
  <si>
    <t xml:space="preserve">ROIC </t>
  </si>
  <si>
    <t xml:space="preserve">Maturity </t>
  </si>
  <si>
    <t xml:space="preserve">Discount </t>
  </si>
  <si>
    <t xml:space="preserve">NPV </t>
  </si>
  <si>
    <t xml:space="preserve">Cash </t>
  </si>
  <si>
    <t>Net NPV</t>
  </si>
  <si>
    <t xml:space="preserve">Share </t>
  </si>
  <si>
    <t xml:space="preserve">Current </t>
  </si>
  <si>
    <t xml:space="preserve">Net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</si>
</sst>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5">
    <xf numFmtId="0" fontId="0" fillId="0" borderId="0" xfId="0"/>
    <xf numFmtId="3" fontId="0" fillId="0" borderId="0" xfId="0" applyNumberFormat="1"/>
    <xf numFmtId="4" fontId="0" fillId="0" borderId="0" xfId="0" applyNumberFormat="1"/>
    <xf numFmtId="9" fontId="0" fillId="0" borderId="0" xfId="1" applyFo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2" xfId="0" applyBorder="1"/>
    <xf numFmtId="0" fontId="0" fillId="0" borderId="3" xfId="0" applyBorder="1"/>
    <xf numFmtId="0" fontId="0" fillId="0" borderId="10" xfId="0" applyBorder="1"/>
    <xf numFmtId="0" fontId="0" fillId="0" borderId="11" xfId="0" applyBorder="1"/>
    <xf numFmtId="0" fontId="3" fillId="0" borderId="0" xfId="2"/>
    <xf numFmtId="0" fontId="0" fillId="0" borderId="5" xfId="0" applyBorder="1" applyAlignment="1">
      <alignment horizontal="center"/>
    </xf>
    <xf numFmtId="0" fontId="0" fillId="0" borderId="0" xfId="0" applyAlignment="1">
      <alignment horizontal="center"/>
    </xf>
    <xf numFmtId="0" fontId="0" fillId="0" borderId="0" xfId="0" applyAlignment="1">
      <alignment horizontal="right"/>
    </xf>
    <xf numFmtId="0" fontId="2" fillId="0" borderId="0" xfId="0" applyFont="1"/>
    <xf numFmtId="3" fontId="2" fillId="0" borderId="0" xfId="0" applyNumberFormat="1" applyFont="1"/>
    <xf numFmtId="9" fontId="2" fillId="0" borderId="0" xfId="1"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69850</xdr:rowOff>
    </xdr:from>
    <xdr:to>
      <xdr:col>10</xdr:col>
      <xdr:colOff>6350</xdr:colOff>
      <xdr:row>29</xdr:row>
      <xdr:rowOff>146050</xdr:rowOff>
    </xdr:to>
    <xdr:cxnSp macro="">
      <xdr:nvCxnSpPr>
        <xdr:cNvPr id="3" name="Straight Connector 2">
          <a:extLst>
            <a:ext uri="{FF2B5EF4-FFF2-40B4-BE49-F238E27FC236}">
              <a16:creationId xmlns:a16="http://schemas.microsoft.com/office/drawing/2014/main" id="{0A61A5C1-ABB4-740F-D131-A8778D70ADD8}"/>
            </a:ext>
          </a:extLst>
        </xdr:cNvPr>
        <xdr:cNvCxnSpPr/>
      </xdr:nvCxnSpPr>
      <xdr:spPr>
        <a:xfrm>
          <a:off x="6451600" y="69850"/>
          <a:ext cx="6350" cy="5048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0</xdr:row>
      <xdr:rowOff>95250</xdr:rowOff>
    </xdr:from>
    <xdr:to>
      <xdr:col>17</xdr:col>
      <xdr:colOff>6350</xdr:colOff>
      <xdr:row>29</xdr:row>
      <xdr:rowOff>171450</xdr:rowOff>
    </xdr:to>
    <xdr:cxnSp macro="">
      <xdr:nvCxnSpPr>
        <xdr:cNvPr id="5" name="Straight Connector 4">
          <a:extLst>
            <a:ext uri="{FF2B5EF4-FFF2-40B4-BE49-F238E27FC236}">
              <a16:creationId xmlns:a16="http://schemas.microsoft.com/office/drawing/2014/main" id="{BD3A4584-BF62-A7DB-BF4F-C5C6D876DEFA}"/>
            </a:ext>
          </a:extLst>
        </xdr:cNvPr>
        <xdr:cNvCxnSpPr/>
      </xdr:nvCxnSpPr>
      <xdr:spPr>
        <a:xfrm flipH="1">
          <a:off x="10718800" y="95250"/>
          <a:ext cx="6350" cy="5416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469900</xdr:colOff>
      <xdr:row>2</xdr:row>
      <xdr:rowOff>25400</xdr:rowOff>
    </xdr:from>
    <xdr:to>
      <xdr:col>22</xdr:col>
      <xdr:colOff>279043</xdr:colOff>
      <xdr:row>17</xdr:row>
      <xdr:rowOff>120293</xdr:rowOff>
    </xdr:to>
    <xdr:pic>
      <xdr:nvPicPr>
        <xdr:cNvPr id="2" name="Picture 1">
          <a:extLst>
            <a:ext uri="{FF2B5EF4-FFF2-40B4-BE49-F238E27FC236}">
              <a16:creationId xmlns:a16="http://schemas.microsoft.com/office/drawing/2014/main" id="{1D4601B0-E298-1237-1C4D-64742BD688F2}"/>
            </a:ext>
          </a:extLst>
        </xdr:cNvPr>
        <xdr:cNvPicPr>
          <a:picLocks noChangeAspect="1"/>
        </xdr:cNvPicPr>
      </xdr:nvPicPr>
      <xdr:blipFill>
        <a:blip xmlns:r="http://schemas.openxmlformats.org/officeDocument/2006/relationships" r:embed="rId1"/>
        <a:stretch>
          <a:fillRect/>
        </a:stretch>
      </xdr:blipFill>
      <xdr:spPr>
        <a:xfrm>
          <a:off x="10934700" y="393700"/>
          <a:ext cx="2857143" cy="28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pubchem.ncbi.nlm.nih.gov/compound/10071196" TargetMode="External"/><Relationship Id="rId1" Type="http://schemas.openxmlformats.org/officeDocument/2006/relationships/hyperlink" Target="https://acadia.com/media/news-releases/acadia-pharmaceuticals-announces-positive-top-line-results-from-advance-trial-of-pimavanserin-as-treatment-for-negative-symptoms-of-schizophre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11"/>
  <sheetViews>
    <sheetView workbookViewId="0">
      <selection activeCell="D15" sqref="D15"/>
    </sheetView>
  </sheetViews>
  <sheetFormatPr defaultRowHeight="14.5" x14ac:dyDescent="0.35"/>
  <cols>
    <col min="2" max="2" width="9.54296875" bestFit="1" customWidth="1"/>
    <col min="3" max="3" width="12.08984375" bestFit="1" customWidth="1"/>
    <col min="4" max="4" width="33.54296875" bestFit="1" customWidth="1"/>
    <col min="5" max="5" width="8.90625" bestFit="1" customWidth="1"/>
    <col min="7" max="7" width="9.6328125" bestFit="1" customWidth="1"/>
  </cols>
  <sheetData>
    <row r="3" spans="2:14" x14ac:dyDescent="0.35">
      <c r="B3" s="4" t="s">
        <v>39</v>
      </c>
      <c r="C3" s="5" t="s">
        <v>40</v>
      </c>
      <c r="D3" s="5" t="s">
        <v>38</v>
      </c>
      <c r="E3" s="5" t="s">
        <v>41</v>
      </c>
      <c r="F3" s="5" t="s">
        <v>42</v>
      </c>
      <c r="G3" s="5" t="s">
        <v>43</v>
      </c>
      <c r="H3" s="6" t="s">
        <v>44</v>
      </c>
    </row>
    <row r="4" spans="2:14" x14ac:dyDescent="0.35">
      <c r="B4" s="7" t="s">
        <v>33</v>
      </c>
      <c r="C4" s="8" t="s">
        <v>34</v>
      </c>
      <c r="D4" s="8" t="s">
        <v>37</v>
      </c>
      <c r="E4" s="8" t="s">
        <v>45</v>
      </c>
      <c r="F4" s="8"/>
      <c r="G4" s="8"/>
      <c r="H4" s="9"/>
      <c r="L4" t="s">
        <v>0</v>
      </c>
      <c r="M4">
        <v>26.59</v>
      </c>
    </row>
    <row r="5" spans="2:14" x14ac:dyDescent="0.35">
      <c r="B5" s="10" t="s">
        <v>17</v>
      </c>
      <c r="C5" s="11" t="s">
        <v>35</v>
      </c>
      <c r="D5" s="11" t="s">
        <v>36</v>
      </c>
      <c r="E5" s="11" t="s">
        <v>45</v>
      </c>
      <c r="F5" s="11"/>
      <c r="G5" s="11"/>
      <c r="H5" s="12"/>
      <c r="L5" t="s">
        <v>1</v>
      </c>
      <c r="M5" s="1">
        <v>163.728859</v>
      </c>
      <c r="N5" t="s">
        <v>6</v>
      </c>
    </row>
    <row r="6" spans="2:14" x14ac:dyDescent="0.35">
      <c r="B6" s="13"/>
      <c r="C6" s="14"/>
      <c r="D6" s="14"/>
      <c r="E6" s="14"/>
      <c r="F6" s="14"/>
      <c r="G6" s="14"/>
      <c r="H6" s="15"/>
      <c r="L6" t="s">
        <v>2</v>
      </c>
      <c r="M6" s="1">
        <f>M4*M5</f>
        <v>4353.5503608099998</v>
      </c>
    </row>
    <row r="7" spans="2:14" x14ac:dyDescent="0.35">
      <c r="B7" s="7"/>
      <c r="C7" s="8" t="s">
        <v>34</v>
      </c>
      <c r="D7" s="8" t="s">
        <v>46</v>
      </c>
      <c r="E7" s="19" t="s">
        <v>67</v>
      </c>
      <c r="F7" s="8"/>
      <c r="G7" s="8"/>
      <c r="H7" s="9"/>
      <c r="L7" t="s">
        <v>3</v>
      </c>
      <c r="M7" s="1">
        <f>107.941+267.437</f>
        <v>375.37800000000004</v>
      </c>
      <c r="N7" t="s">
        <v>6</v>
      </c>
    </row>
    <row r="8" spans="2:14" x14ac:dyDescent="0.35">
      <c r="B8" s="16"/>
      <c r="C8" t="s">
        <v>47</v>
      </c>
      <c r="D8" t="s">
        <v>48</v>
      </c>
      <c r="E8" s="20" t="s">
        <v>67</v>
      </c>
      <c r="H8" s="17"/>
      <c r="L8" t="s">
        <v>4</v>
      </c>
      <c r="M8" s="1">
        <v>49.777999999999999</v>
      </c>
      <c r="N8" t="s">
        <v>6</v>
      </c>
    </row>
    <row r="9" spans="2:14" x14ac:dyDescent="0.35">
      <c r="B9" s="16"/>
      <c r="H9" s="17"/>
      <c r="L9" t="s">
        <v>5</v>
      </c>
      <c r="M9" s="1">
        <f>M6-M7+M8</f>
        <v>4027.9503608099994</v>
      </c>
    </row>
    <row r="10" spans="2:14" x14ac:dyDescent="0.35">
      <c r="B10" s="16"/>
      <c r="H10" s="17"/>
    </row>
    <row r="11" spans="2:14" x14ac:dyDescent="0.35">
      <c r="B11" s="10"/>
      <c r="C11" s="11"/>
      <c r="D11" s="11"/>
      <c r="E11" s="11"/>
      <c r="F11" s="11"/>
      <c r="G11" s="11"/>
      <c r="H1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D295-1F69-46DA-9801-E5CF4E706C2C}">
  <dimension ref="A1:GN29"/>
  <sheetViews>
    <sheetView tabSelected="1" workbookViewId="0">
      <pane xSplit="2" ySplit="2" topLeftCell="C3" activePane="bottomRight" state="frozen"/>
      <selection pane="topRight" activeCell="C1" sqref="C1"/>
      <selection pane="bottomLeft" activeCell="A3" sqref="A3"/>
      <selection pane="bottomRight" activeCell="R46" sqref="R46"/>
    </sheetView>
  </sheetViews>
  <sheetFormatPr defaultRowHeight="14.5" x14ac:dyDescent="0.35"/>
  <cols>
    <col min="1" max="1" width="5.08984375" bestFit="1" customWidth="1"/>
    <col min="2" max="2" width="17.453125" bestFit="1" customWidth="1"/>
    <col min="3" max="16384" width="8.7265625" style="1"/>
  </cols>
  <sheetData>
    <row r="1" spans="1:196" customFormat="1" x14ac:dyDescent="0.35">
      <c r="A1" t="s">
        <v>7</v>
      </c>
    </row>
    <row r="2" spans="1:196" customFormat="1" x14ac:dyDescent="0.35">
      <c r="C2" s="1" t="s">
        <v>68</v>
      </c>
      <c r="D2" t="s">
        <v>69</v>
      </c>
      <c r="E2" t="s">
        <v>9</v>
      </c>
      <c r="F2" t="s">
        <v>10</v>
      </c>
      <c r="G2" t="s">
        <v>11</v>
      </c>
      <c r="H2" t="s">
        <v>12</v>
      </c>
      <c r="I2" t="s">
        <v>13</v>
      </c>
      <c r="J2" t="s">
        <v>6</v>
      </c>
      <c r="K2" t="s">
        <v>14</v>
      </c>
      <c r="L2" t="s">
        <v>15</v>
      </c>
      <c r="O2">
        <v>2021</v>
      </c>
      <c r="P2">
        <f>O2+1</f>
        <v>2022</v>
      </c>
      <c r="Q2">
        <f t="shared" ref="Q2:AD2" si="0">P2+1</f>
        <v>2023</v>
      </c>
      <c r="R2">
        <f t="shared" si="0"/>
        <v>2024</v>
      </c>
      <c r="S2">
        <f t="shared" si="0"/>
        <v>2025</v>
      </c>
      <c r="T2">
        <f t="shared" si="0"/>
        <v>2026</v>
      </c>
      <c r="U2">
        <f t="shared" si="0"/>
        <v>2027</v>
      </c>
      <c r="V2">
        <f t="shared" si="0"/>
        <v>2028</v>
      </c>
      <c r="W2">
        <f t="shared" si="0"/>
        <v>2029</v>
      </c>
      <c r="X2">
        <f t="shared" si="0"/>
        <v>2030</v>
      </c>
      <c r="Y2">
        <f t="shared" si="0"/>
        <v>2031</v>
      </c>
      <c r="Z2">
        <f t="shared" si="0"/>
        <v>2032</v>
      </c>
      <c r="AA2">
        <f t="shared" si="0"/>
        <v>2033</v>
      </c>
    </row>
    <row r="3" spans="1:196" x14ac:dyDescent="0.35">
      <c r="B3" t="s">
        <v>16</v>
      </c>
      <c r="C3" s="1">
        <v>131.61199999999999</v>
      </c>
      <c r="D3" s="1">
        <v>130.75800000000001</v>
      </c>
      <c r="E3" s="1">
        <v>115.468</v>
      </c>
      <c r="F3" s="1">
        <v>134.56299999999999</v>
      </c>
      <c r="G3" s="1">
        <v>130.714</v>
      </c>
      <c r="H3" s="1">
        <v>136.49</v>
      </c>
      <c r="I3" s="1">
        <v>118.462</v>
      </c>
      <c r="J3" s="1">
        <v>142.018</v>
      </c>
      <c r="K3" s="1">
        <f>G3*1.03</f>
        <v>134.63542000000001</v>
      </c>
      <c r="L3" s="1">
        <f>H3*1.03</f>
        <v>140.58470000000003</v>
      </c>
      <c r="P3" s="1">
        <f>SUM(E3:H3)</f>
        <v>517.23500000000001</v>
      </c>
      <c r="Q3" s="1">
        <f>SUM(I3:L3)</f>
        <v>535.70012000000008</v>
      </c>
      <c r="R3" s="1">
        <f>Q3*1.05</f>
        <v>562.48512600000015</v>
      </c>
      <c r="S3" s="1">
        <f>R3*1.25</f>
        <v>703.10640750000016</v>
      </c>
      <c r="T3" s="1">
        <f>S3*1.2</f>
        <v>843.72768900000017</v>
      </c>
      <c r="U3" s="1">
        <f>T3*1.15</f>
        <v>970.28684235000014</v>
      </c>
      <c r="V3" s="1">
        <f>U3*1.1</f>
        <v>1067.3155265850003</v>
      </c>
      <c r="W3" s="1">
        <f t="shared" ref="V3:X3" si="1">V3*1.05</f>
        <v>1120.6813029142504</v>
      </c>
      <c r="X3" s="1">
        <f t="shared" si="1"/>
        <v>1176.7153680599629</v>
      </c>
      <c r="Y3" s="1">
        <f>X3*1.02</f>
        <v>1200.2496754211622</v>
      </c>
      <c r="Z3" s="1">
        <f t="shared" ref="Z3:AA3" si="2">Y3*1.02</f>
        <v>1224.2546689295855</v>
      </c>
      <c r="AA3" s="1">
        <f t="shared" si="2"/>
        <v>1248.7397623081772</v>
      </c>
    </row>
    <row r="4" spans="1:196" x14ac:dyDescent="0.35">
      <c r="A4" s="21" t="s">
        <v>70</v>
      </c>
      <c r="B4" t="s">
        <v>17</v>
      </c>
      <c r="C4" s="1">
        <v>0</v>
      </c>
      <c r="D4" s="1">
        <v>0</v>
      </c>
      <c r="E4" s="1">
        <v>0</v>
      </c>
      <c r="F4" s="1">
        <v>0</v>
      </c>
      <c r="G4" s="1">
        <v>0</v>
      </c>
      <c r="H4" s="1">
        <v>0</v>
      </c>
      <c r="I4" s="1">
        <v>0</v>
      </c>
      <c r="J4" s="1">
        <v>23.216999999999999</v>
      </c>
      <c r="K4" s="1">
        <v>50</v>
      </c>
      <c r="L4" s="1">
        <v>65</v>
      </c>
      <c r="P4" s="1">
        <f>SUM(E4:H4)</f>
        <v>0</v>
      </c>
      <c r="Q4" s="1">
        <f>SUM(I4:L4)</f>
        <v>138.21699999999998</v>
      </c>
      <c r="R4" s="1">
        <f>Q4*1.5</f>
        <v>207.32549999999998</v>
      </c>
      <c r="S4" s="1">
        <f>R4*1.3</f>
        <v>269.52314999999999</v>
      </c>
      <c r="T4" s="1">
        <f>S4*1.15</f>
        <v>309.95162249999998</v>
      </c>
      <c r="U4" s="1">
        <f>T4*1.1</f>
        <v>340.94678475000001</v>
      </c>
      <c r="V4" s="1">
        <f>U4*1.05</f>
        <v>357.99412398750002</v>
      </c>
      <c r="W4" s="1">
        <f t="shared" ref="W4:AA4" si="3">V4*1.05</f>
        <v>375.89383018687505</v>
      </c>
      <c r="X4" s="1">
        <f t="shared" si="3"/>
        <v>394.6885216962188</v>
      </c>
      <c r="Y4" s="1">
        <f t="shared" si="3"/>
        <v>414.42294778102973</v>
      </c>
      <c r="Z4" s="1">
        <f t="shared" si="3"/>
        <v>435.14409517008124</v>
      </c>
      <c r="AA4" s="1">
        <f t="shared" si="3"/>
        <v>456.90129992858533</v>
      </c>
    </row>
    <row r="5" spans="1:196" x14ac:dyDescent="0.35">
      <c r="B5" t="s">
        <v>8</v>
      </c>
      <c r="C5" s="1">
        <f>SUM(C3:C4)</f>
        <v>131.61199999999999</v>
      </c>
      <c r="D5" s="1">
        <f>SUM(D3:D4)</f>
        <v>130.75800000000001</v>
      </c>
      <c r="E5" s="1">
        <f>SUM(E3:E4)</f>
        <v>115.468</v>
      </c>
      <c r="F5" s="1">
        <f>SUM(F3:F4)</f>
        <v>134.56299999999999</v>
      </c>
      <c r="G5" s="1">
        <f>SUM(G3:G4)</f>
        <v>130.714</v>
      </c>
      <c r="H5" s="1">
        <f>SUM(H3:H4)</f>
        <v>136.49</v>
      </c>
      <c r="I5" s="1">
        <f>SUM(I3:I4)</f>
        <v>118.462</v>
      </c>
      <c r="J5" s="1">
        <f>SUM(J3:J4)</f>
        <v>165.23500000000001</v>
      </c>
      <c r="K5" s="1">
        <f t="shared" ref="K5:L5" si="4">SUM(K3:K4)</f>
        <v>184.63542000000001</v>
      </c>
      <c r="L5" s="1">
        <f t="shared" si="4"/>
        <v>205.58470000000003</v>
      </c>
      <c r="P5" s="1">
        <f>SUM(P3:P4)</f>
        <v>517.23500000000001</v>
      </c>
      <c r="Q5" s="1">
        <f>SUM(Q3:Q4)</f>
        <v>673.91712000000007</v>
      </c>
      <c r="R5" s="1">
        <f t="shared" ref="R5:AA5" si="5">SUM(R3:R4)</f>
        <v>769.81062600000018</v>
      </c>
      <c r="S5" s="1">
        <f t="shared" si="5"/>
        <v>972.62955750000015</v>
      </c>
      <c r="T5" s="1">
        <f t="shared" si="5"/>
        <v>1153.6793115</v>
      </c>
      <c r="U5" s="1">
        <f t="shared" si="5"/>
        <v>1311.2336271000001</v>
      </c>
      <c r="V5" s="1">
        <f t="shared" si="5"/>
        <v>1425.3096505725002</v>
      </c>
      <c r="W5" s="1">
        <f t="shared" si="5"/>
        <v>1496.5751331011254</v>
      </c>
      <c r="X5" s="1">
        <f t="shared" si="5"/>
        <v>1571.4038897561818</v>
      </c>
      <c r="Y5" s="1">
        <f t="shared" si="5"/>
        <v>1614.672623202192</v>
      </c>
      <c r="Z5" s="1">
        <f t="shared" si="5"/>
        <v>1659.3987640996668</v>
      </c>
      <c r="AA5" s="1">
        <f t="shared" si="5"/>
        <v>1705.6410622367625</v>
      </c>
    </row>
    <row r="6" spans="1:196" x14ac:dyDescent="0.35">
      <c r="B6" t="s">
        <v>18</v>
      </c>
      <c r="C6" s="1">
        <f>3.688+2.994</f>
        <v>6.6820000000000004</v>
      </c>
      <c r="D6" s="1">
        <v>2.5609999999999999</v>
      </c>
      <c r="E6" s="1">
        <v>2.95</v>
      </c>
      <c r="F6" s="1">
        <v>2.6669999999999998</v>
      </c>
      <c r="G6" s="1">
        <v>2.1360000000000001</v>
      </c>
      <c r="H6" s="1">
        <v>2.4129999999999998</v>
      </c>
      <c r="I6" s="1">
        <v>1.667</v>
      </c>
      <c r="J6" s="1">
        <v>7.4589999999999996</v>
      </c>
      <c r="K6" s="1">
        <f>K5*0.05</f>
        <v>9.2317710000000002</v>
      </c>
      <c r="L6" s="1">
        <f>L5*0.05</f>
        <v>10.279235000000002</v>
      </c>
      <c r="P6" s="1">
        <f>SUM(E6:H6)</f>
        <v>10.166</v>
      </c>
      <c r="Q6" s="1">
        <f>SUM(I6:L6)</f>
        <v>28.637006</v>
      </c>
      <c r="R6" s="1">
        <f>R5*0.05</f>
        <v>38.490531300000015</v>
      </c>
      <c r="S6" s="1">
        <f t="shared" ref="S6:AA6" si="6">S5*0.05</f>
        <v>48.631477875000009</v>
      </c>
      <c r="T6" s="1">
        <f t="shared" si="6"/>
        <v>57.683965575000002</v>
      </c>
      <c r="U6" s="1">
        <f t="shared" si="6"/>
        <v>65.561681355000005</v>
      </c>
      <c r="V6" s="1">
        <f t="shared" si="6"/>
        <v>71.265482528625014</v>
      </c>
      <c r="W6" s="1">
        <f t="shared" si="6"/>
        <v>74.828756655056267</v>
      </c>
      <c r="X6" s="1">
        <f t="shared" si="6"/>
        <v>78.57019448780909</v>
      </c>
      <c r="Y6" s="1">
        <f t="shared" si="6"/>
        <v>80.73363116010961</v>
      </c>
      <c r="Z6" s="1">
        <f t="shared" si="6"/>
        <v>82.96993820498335</v>
      </c>
      <c r="AA6" s="1">
        <f t="shared" si="6"/>
        <v>85.282053111838138</v>
      </c>
    </row>
    <row r="7" spans="1:196" x14ac:dyDescent="0.35">
      <c r="B7" t="s">
        <v>19</v>
      </c>
      <c r="C7" s="1">
        <f>C5-C6</f>
        <v>124.92999999999999</v>
      </c>
      <c r="D7" s="1">
        <f>D5-D6</f>
        <v>128.197</v>
      </c>
      <c r="E7" s="1">
        <f>E5-E6</f>
        <v>112.518</v>
      </c>
      <c r="F7" s="1">
        <f>F5-F6</f>
        <v>131.89599999999999</v>
      </c>
      <c r="G7" s="1">
        <f>G5-G6</f>
        <v>128.578</v>
      </c>
      <c r="H7" s="1">
        <f>H5-H6</f>
        <v>134.077</v>
      </c>
      <c r="I7" s="1">
        <f>I5-I6</f>
        <v>116.795</v>
      </c>
      <c r="J7" s="1">
        <f>J5-J6</f>
        <v>157.77600000000001</v>
      </c>
      <c r="K7" s="1">
        <f t="shared" ref="K7:L7" si="7">K5-K6</f>
        <v>175.403649</v>
      </c>
      <c r="L7" s="1">
        <f t="shared" si="7"/>
        <v>195.30546500000003</v>
      </c>
      <c r="P7" s="1">
        <f>P5-P6</f>
        <v>507.06900000000002</v>
      </c>
      <c r="Q7" s="1">
        <f>Q5-Q6</f>
        <v>645.28011400000003</v>
      </c>
      <c r="R7" s="1">
        <f t="shared" ref="R7:AA7" si="8">R5-R6</f>
        <v>731.32009470000014</v>
      </c>
      <c r="S7" s="1">
        <f t="shared" si="8"/>
        <v>923.99807962500017</v>
      </c>
      <c r="T7" s="1">
        <f t="shared" si="8"/>
        <v>1095.995345925</v>
      </c>
      <c r="U7" s="1">
        <f t="shared" si="8"/>
        <v>1245.6719457450001</v>
      </c>
      <c r="V7" s="1">
        <f t="shared" si="8"/>
        <v>1354.0441680438753</v>
      </c>
      <c r="W7" s="1">
        <f t="shared" si="8"/>
        <v>1421.7463764460692</v>
      </c>
      <c r="X7" s="1">
        <f t="shared" si="8"/>
        <v>1492.8336952683726</v>
      </c>
      <c r="Y7" s="1">
        <f t="shared" si="8"/>
        <v>1533.9389920420824</v>
      </c>
      <c r="Z7" s="1">
        <f t="shared" si="8"/>
        <v>1576.4288258946835</v>
      </c>
      <c r="AA7" s="1">
        <f t="shared" si="8"/>
        <v>1620.3590091249243</v>
      </c>
    </row>
    <row r="8" spans="1:196" x14ac:dyDescent="0.35">
      <c r="B8" t="s">
        <v>20</v>
      </c>
      <c r="C8" s="1">
        <v>58.564999999999998</v>
      </c>
      <c r="D8" s="1">
        <v>67.084000000000003</v>
      </c>
      <c r="E8" s="1">
        <v>128.85499999999999</v>
      </c>
      <c r="F8" s="1">
        <v>75.646000000000001</v>
      </c>
      <c r="G8" s="1">
        <v>81.335999999999999</v>
      </c>
      <c r="H8" s="1">
        <v>75.738</v>
      </c>
      <c r="I8" s="1">
        <v>69.144000000000005</v>
      </c>
      <c r="J8" s="1">
        <v>58.771000000000001</v>
      </c>
      <c r="K8" s="1">
        <v>65</v>
      </c>
      <c r="L8" s="1">
        <v>65</v>
      </c>
      <c r="P8" s="1">
        <f>SUM(E8:H8)</f>
        <v>361.57499999999999</v>
      </c>
      <c r="Q8" s="1">
        <f>SUM(I8:L8)</f>
        <v>257.91500000000002</v>
      </c>
      <c r="R8" s="1">
        <f>R5*0.38</f>
        <v>292.52803788000006</v>
      </c>
      <c r="S8" s="1">
        <f t="shared" ref="S8:U8" si="9">S5*0.38</f>
        <v>369.59923185000008</v>
      </c>
      <c r="T8" s="1">
        <f>T5*0.35</f>
        <v>403.78775902500001</v>
      </c>
      <c r="U8" s="1">
        <f>U5*0.32</f>
        <v>419.59476067200006</v>
      </c>
      <c r="V8" s="1">
        <f>V5*0.3</f>
        <v>427.59289517175006</v>
      </c>
      <c r="W8" s="1">
        <f>W5*0.27</f>
        <v>404.07528593730387</v>
      </c>
      <c r="X8" s="1">
        <f>X5*0.25</f>
        <v>392.85097243904545</v>
      </c>
      <c r="Y8" s="1">
        <f>Y5*0.25</f>
        <v>403.66815580054799</v>
      </c>
      <c r="Z8" s="1">
        <f>Z5*0.25</f>
        <v>414.84969102491669</v>
      </c>
      <c r="AA8" s="1">
        <f>AA5*0.25</f>
        <v>426.41026555919063</v>
      </c>
    </row>
    <row r="9" spans="1:196" x14ac:dyDescent="0.35">
      <c r="B9" t="s">
        <v>21</v>
      </c>
      <c r="C9" s="1">
        <v>81.665999999999997</v>
      </c>
      <c r="D9" s="1">
        <v>105.77</v>
      </c>
      <c r="E9" s="1">
        <v>96.679000000000002</v>
      </c>
      <c r="F9" s="1">
        <v>89.900999999999996</v>
      </c>
      <c r="G9" s="1">
        <v>78.108000000000004</v>
      </c>
      <c r="H9" s="1">
        <v>104.402</v>
      </c>
      <c r="I9" s="1">
        <v>101.235</v>
      </c>
      <c r="J9" s="1">
        <v>95.968000000000004</v>
      </c>
      <c r="K9" s="1">
        <v>95</v>
      </c>
      <c r="L9" s="1">
        <v>95</v>
      </c>
      <c r="P9" s="1">
        <f>SUM(E9:H9)</f>
        <v>369.09</v>
      </c>
      <c r="Q9" s="1">
        <f>SUM(I9:L9)</f>
        <v>387.20299999999997</v>
      </c>
      <c r="R9" s="1">
        <f>R5*0.5</f>
        <v>384.90531300000009</v>
      </c>
      <c r="S9" s="1">
        <f>S5*0.45</f>
        <v>437.6833008750001</v>
      </c>
      <c r="T9" s="1">
        <f>T5*0.42</f>
        <v>484.54531083000001</v>
      </c>
      <c r="U9" s="1">
        <f>U5*0.4</f>
        <v>524.49345084000004</v>
      </c>
      <c r="V9" s="1">
        <f>V5*0.37</f>
        <v>527.36457071182508</v>
      </c>
      <c r="W9" s="1">
        <f>W5*0.35</f>
        <v>523.80129658539386</v>
      </c>
      <c r="X9" s="1">
        <f>X5*0.32</f>
        <v>502.84924472197821</v>
      </c>
      <c r="Y9" s="1">
        <f>Y5*0.3</f>
        <v>484.40178696065755</v>
      </c>
      <c r="Z9" s="1">
        <f t="shared" ref="Z9:AA9" si="10">Z5*0.3</f>
        <v>497.81962922989999</v>
      </c>
      <c r="AA9" s="1">
        <f t="shared" si="10"/>
        <v>511.69231867102872</v>
      </c>
    </row>
    <row r="10" spans="1:196" x14ac:dyDescent="0.35">
      <c r="B10" t="s">
        <v>22</v>
      </c>
      <c r="C10" s="1">
        <f>SUM(C8:C9)</f>
        <v>140.23099999999999</v>
      </c>
      <c r="D10" s="1">
        <f>SUM(D8:D9)</f>
        <v>172.85399999999998</v>
      </c>
      <c r="E10" s="1">
        <f>SUM(E8:E9)</f>
        <v>225.53399999999999</v>
      </c>
      <c r="F10" s="1">
        <f>SUM(F8:F9)</f>
        <v>165.547</v>
      </c>
      <c r="G10" s="1">
        <f>SUM(G8:G9)</f>
        <v>159.44400000000002</v>
      </c>
      <c r="H10" s="1">
        <f>SUM(H8:H9)</f>
        <v>180.14</v>
      </c>
      <c r="I10" s="1">
        <f>SUM(I8:I9)</f>
        <v>170.37900000000002</v>
      </c>
      <c r="J10" s="1">
        <f>SUM(J8:J9)</f>
        <v>154.739</v>
      </c>
      <c r="K10" s="1">
        <f t="shared" ref="K10:L10" si="11">SUM(K8:K9)</f>
        <v>160</v>
      </c>
      <c r="L10" s="1">
        <f t="shared" si="11"/>
        <v>160</v>
      </c>
      <c r="P10" s="1">
        <f>SUM(P8:P9)</f>
        <v>730.66499999999996</v>
      </c>
      <c r="Q10" s="1">
        <f>SUM(Q8:Q9)</f>
        <v>645.11799999999994</v>
      </c>
      <c r="R10" s="1">
        <f t="shared" ref="R10:AA10" si="12">SUM(R8:R9)</f>
        <v>677.43335088000015</v>
      </c>
      <c r="S10" s="1">
        <f t="shared" si="12"/>
        <v>807.28253272500024</v>
      </c>
      <c r="T10" s="1">
        <f t="shared" si="12"/>
        <v>888.33306985500008</v>
      </c>
      <c r="U10" s="1">
        <f t="shared" si="12"/>
        <v>944.08821151200004</v>
      </c>
      <c r="V10" s="1">
        <f t="shared" si="12"/>
        <v>954.9574658835752</v>
      </c>
      <c r="W10" s="1">
        <f t="shared" si="12"/>
        <v>927.87658252269773</v>
      </c>
      <c r="X10" s="1">
        <f t="shared" si="12"/>
        <v>895.7002171610236</v>
      </c>
      <c r="Y10" s="1">
        <f t="shared" si="12"/>
        <v>888.06994276120554</v>
      </c>
      <c r="Z10" s="1">
        <f t="shared" si="12"/>
        <v>912.66932025481674</v>
      </c>
      <c r="AA10" s="1">
        <f t="shared" si="12"/>
        <v>938.10258423021935</v>
      </c>
    </row>
    <row r="11" spans="1:196" x14ac:dyDescent="0.35">
      <c r="B11" t="s">
        <v>23</v>
      </c>
      <c r="C11" s="1">
        <f>C7-C10</f>
        <v>-15.301000000000002</v>
      </c>
      <c r="D11" s="1">
        <f>D7-D10</f>
        <v>-44.656999999999982</v>
      </c>
      <c r="E11" s="1">
        <f>E7-E10</f>
        <v>-113.01599999999999</v>
      </c>
      <c r="F11" s="1">
        <f>F7-F10</f>
        <v>-33.65100000000001</v>
      </c>
      <c r="G11" s="1">
        <f>G7-G10</f>
        <v>-30.866000000000014</v>
      </c>
      <c r="H11" s="1">
        <f>H7-H10</f>
        <v>-46.062999999999988</v>
      </c>
      <c r="I11" s="1">
        <f>I7-I10</f>
        <v>-53.584000000000017</v>
      </c>
      <c r="J11" s="1">
        <f>J7-J10</f>
        <v>3.0370000000000061</v>
      </c>
      <c r="K11" s="1">
        <f t="shared" ref="K11:L11" si="13">K7-K10</f>
        <v>15.403649000000001</v>
      </c>
      <c r="L11" s="1">
        <f t="shared" si="13"/>
        <v>35.305465000000027</v>
      </c>
      <c r="P11" s="1">
        <f>P7-P10</f>
        <v>-223.59599999999995</v>
      </c>
      <c r="Q11" s="1">
        <f>Q7-Q10</f>
        <v>0.1621140000000878</v>
      </c>
      <c r="R11" s="1">
        <f t="shared" ref="R11:AA11" si="14">R7-R10</f>
        <v>53.886743819999992</v>
      </c>
      <c r="S11" s="1">
        <f t="shared" si="14"/>
        <v>116.71554689999994</v>
      </c>
      <c r="T11" s="1">
        <f t="shared" si="14"/>
        <v>207.66227606999996</v>
      </c>
      <c r="U11" s="1">
        <f t="shared" si="14"/>
        <v>301.58373423300009</v>
      </c>
      <c r="V11" s="1">
        <f t="shared" si="14"/>
        <v>399.08670216030009</v>
      </c>
      <c r="W11" s="1">
        <f t="shared" si="14"/>
        <v>493.8697939233715</v>
      </c>
      <c r="X11" s="1">
        <f t="shared" si="14"/>
        <v>597.13347810734899</v>
      </c>
      <c r="Y11" s="1">
        <f t="shared" si="14"/>
        <v>645.86904928087688</v>
      </c>
      <c r="Z11" s="1">
        <f t="shared" si="14"/>
        <v>663.7595056398668</v>
      </c>
      <c r="AA11" s="1">
        <f t="shared" si="14"/>
        <v>682.25642489470499</v>
      </c>
    </row>
    <row r="12" spans="1:196" x14ac:dyDescent="0.35">
      <c r="B12" t="s">
        <v>24</v>
      </c>
      <c r="C12" s="1">
        <v>-0.129</v>
      </c>
      <c r="D12" s="1">
        <v>-0.129</v>
      </c>
      <c r="E12" s="1">
        <v>-0.105</v>
      </c>
      <c r="F12" s="1">
        <v>-0.57999999999999996</v>
      </c>
      <c r="G12" s="1">
        <v>-2.2949999999999999</v>
      </c>
      <c r="H12" s="1">
        <v>-3.63</v>
      </c>
      <c r="I12" s="1">
        <v>-3.8</v>
      </c>
      <c r="J12" s="1">
        <v>-4.55</v>
      </c>
      <c r="K12" s="1">
        <v>-4</v>
      </c>
      <c r="L12" s="1">
        <v>-4</v>
      </c>
      <c r="P12" s="1">
        <f>SUM(E12:H12)</f>
        <v>-6.6099999999999994</v>
      </c>
      <c r="Q12" s="1">
        <f>SUM(I12:L12)</f>
        <v>-16.350000000000001</v>
      </c>
      <c r="R12" s="1">
        <f>Q29*-$AD$20</f>
        <v>-11.316082407</v>
      </c>
      <c r="S12" s="1">
        <f t="shared" ref="S12:AA12" si="15">R29*-$AD$20</f>
        <v>-12.9787544757885</v>
      </c>
      <c r="T12" s="1">
        <f t="shared" si="15"/>
        <v>-16.285959160871101</v>
      </c>
      <c r="U12" s="1">
        <f t="shared" si="15"/>
        <v>-21.996639159258311</v>
      </c>
      <c r="V12" s="1">
        <f t="shared" si="15"/>
        <v>-30.247938680760903</v>
      </c>
      <c r="W12" s="1">
        <f t="shared" si="15"/>
        <v>-41.195972022207961</v>
      </c>
      <c r="X12" s="1">
        <f t="shared" si="15"/>
        <v>-54.840149053820234</v>
      </c>
      <c r="Y12" s="1">
        <f t="shared" si="15"/>
        <v>-71.465476546430054</v>
      </c>
      <c r="Z12" s="1">
        <f t="shared" si="15"/>
        <v>-89.757506955026372</v>
      </c>
      <c r="AA12" s="1">
        <f t="shared" si="15"/>
        <v>-108.97219077619616</v>
      </c>
    </row>
    <row r="13" spans="1:196" x14ac:dyDescent="0.35">
      <c r="B13" t="s">
        <v>25</v>
      </c>
      <c r="C13" s="1">
        <v>-0.38300000000000001</v>
      </c>
      <c r="D13" s="1">
        <v>-1.623</v>
      </c>
      <c r="E13" s="1">
        <v>-0.34</v>
      </c>
      <c r="F13" s="1">
        <v>0.497</v>
      </c>
      <c r="G13" s="1">
        <v>-2.1560000000000001</v>
      </c>
      <c r="H13" s="1">
        <v>-1.5429999999999999</v>
      </c>
      <c r="I13" s="1">
        <v>-4.8449999999999998</v>
      </c>
      <c r="J13" s="1">
        <v>1.244</v>
      </c>
      <c r="K13" s="1">
        <v>-1</v>
      </c>
      <c r="L13" s="1">
        <v>-1</v>
      </c>
      <c r="P13" s="1">
        <f>SUM(E13:H13)</f>
        <v>-3.5419999999999998</v>
      </c>
      <c r="Q13" s="1">
        <f>SUM(I13:L13)</f>
        <v>-5.601</v>
      </c>
    </row>
    <row r="14" spans="1:196" x14ac:dyDescent="0.35">
      <c r="B14" t="s">
        <v>26</v>
      </c>
      <c r="C14" s="1">
        <f>C11-C12-C13</f>
        <v>-14.789000000000001</v>
      </c>
      <c r="D14" s="1">
        <f>D11-D12-D13</f>
        <v>-42.904999999999987</v>
      </c>
      <c r="E14" s="1">
        <f>E11-E12-E13</f>
        <v>-112.57099999999998</v>
      </c>
      <c r="F14" s="1">
        <f>F11-F12-F13</f>
        <v>-33.568000000000012</v>
      </c>
      <c r="G14" s="1">
        <f>G11-G12-G13</f>
        <v>-26.415000000000013</v>
      </c>
      <c r="H14" s="1">
        <f>H11-H12-H13</f>
        <v>-40.889999999999986</v>
      </c>
      <c r="I14" s="1">
        <f>I11-I12-I13</f>
        <v>-44.939000000000021</v>
      </c>
      <c r="J14" s="1">
        <f>J11-J12-J13</f>
        <v>6.3430000000000062</v>
      </c>
      <c r="K14" s="1">
        <f t="shared" ref="K14:L14" si="16">K11-K12-K13</f>
        <v>20.403649000000001</v>
      </c>
      <c r="L14" s="1">
        <f t="shared" si="16"/>
        <v>40.305465000000027</v>
      </c>
      <c r="P14" s="1">
        <f>P11-P12-P13</f>
        <v>-213.44399999999993</v>
      </c>
      <c r="Q14" s="1">
        <f>Q11-Q12-Q13</f>
        <v>22.113114000000088</v>
      </c>
      <c r="R14" s="1">
        <f t="shared" ref="R14:AA14" si="17">R11-R12-R13</f>
        <v>65.202826226999989</v>
      </c>
      <c r="S14" s="1">
        <f t="shared" si="17"/>
        <v>129.69430137578843</v>
      </c>
      <c r="T14" s="1">
        <f t="shared" si="17"/>
        <v>223.94823523087106</v>
      </c>
      <c r="U14" s="1">
        <f t="shared" si="17"/>
        <v>323.58037339225842</v>
      </c>
      <c r="V14" s="1">
        <f t="shared" si="17"/>
        <v>429.334640841061</v>
      </c>
      <c r="W14" s="1">
        <f t="shared" si="17"/>
        <v>535.06576594557941</v>
      </c>
      <c r="X14" s="1">
        <f t="shared" si="17"/>
        <v>651.97362716116925</v>
      </c>
      <c r="Y14" s="1">
        <f t="shared" si="17"/>
        <v>717.33452582730695</v>
      </c>
      <c r="Z14" s="1">
        <f t="shared" si="17"/>
        <v>753.51701259489323</v>
      </c>
      <c r="AA14" s="1">
        <f t="shared" si="17"/>
        <v>791.22861567090115</v>
      </c>
    </row>
    <row r="15" spans="1:196" x14ac:dyDescent="0.35">
      <c r="B15" t="s">
        <v>27</v>
      </c>
      <c r="C15" s="1">
        <f>-0.332</f>
        <v>-0.33200000000000002</v>
      </c>
      <c r="D15" s="1">
        <v>0.189</v>
      </c>
      <c r="E15" s="1">
        <v>0.48499999999999999</v>
      </c>
      <c r="F15" s="1">
        <v>0.443</v>
      </c>
      <c r="G15" s="1">
        <v>0.76800000000000002</v>
      </c>
      <c r="H15" s="1">
        <v>0.83499999999999996</v>
      </c>
      <c r="I15" s="1">
        <v>-1.9179999999999999</v>
      </c>
      <c r="J15" s="1">
        <v>5.2290000000000001</v>
      </c>
      <c r="K15" s="1">
        <f>K14*0.15</f>
        <v>3.0605473500000002</v>
      </c>
      <c r="L15" s="1">
        <f>L14*0.15</f>
        <v>6.0458197500000042</v>
      </c>
      <c r="P15" s="1">
        <f>SUM(E15:H15)</f>
        <v>2.5309999999999997</v>
      </c>
      <c r="Q15" s="1">
        <f>SUM(I15:L15)</f>
        <v>12.417367100000003</v>
      </c>
      <c r="R15" s="1">
        <f>R14*0.15</f>
        <v>9.7804239340499972</v>
      </c>
      <c r="S15" s="1">
        <f t="shared" ref="S15:AA15" si="18">S14*0.15</f>
        <v>19.454145206368263</v>
      </c>
      <c r="T15" s="1">
        <f t="shared" si="18"/>
        <v>33.592235284630661</v>
      </c>
      <c r="U15" s="1">
        <f t="shared" si="18"/>
        <v>48.537056008838761</v>
      </c>
      <c r="V15" s="1">
        <f t="shared" si="18"/>
        <v>64.400196126159145</v>
      </c>
      <c r="W15" s="1">
        <f t="shared" si="18"/>
        <v>80.259864891836912</v>
      </c>
      <c r="X15" s="1">
        <f t="shared" si="18"/>
        <v>97.796044074175384</v>
      </c>
      <c r="Y15" s="1">
        <f t="shared" si="18"/>
        <v>107.60017887409604</v>
      </c>
      <c r="Z15" s="1">
        <f t="shared" si="18"/>
        <v>113.02755188923398</v>
      </c>
      <c r="AA15" s="1">
        <f t="shared" si="18"/>
        <v>118.68429235063516</v>
      </c>
    </row>
    <row r="16" spans="1:196" s="23" customFormat="1" x14ac:dyDescent="0.35">
      <c r="A16" s="22"/>
      <c r="B16" s="22" t="s">
        <v>28</v>
      </c>
      <c r="C16" s="23">
        <f>C14-C15</f>
        <v>-14.457000000000001</v>
      </c>
      <c r="D16" s="23">
        <f>D14-D15</f>
        <v>-43.093999999999987</v>
      </c>
      <c r="E16" s="23">
        <f>E14-E15</f>
        <v>-113.05599999999998</v>
      </c>
      <c r="F16" s="23">
        <f>F14-F15</f>
        <v>-34.01100000000001</v>
      </c>
      <c r="G16" s="23">
        <f>G14-G15</f>
        <v>-27.183000000000014</v>
      </c>
      <c r="H16" s="23">
        <f>H14-H15</f>
        <v>-41.724999999999987</v>
      </c>
      <c r="I16" s="23">
        <f>I14-I15</f>
        <v>-43.021000000000022</v>
      </c>
      <c r="J16" s="23">
        <f>J14-J15</f>
        <v>1.1140000000000061</v>
      </c>
      <c r="K16" s="23">
        <f t="shared" ref="K16:L16" si="19">K14-K15</f>
        <v>17.343101650000001</v>
      </c>
      <c r="L16" s="23">
        <f t="shared" si="19"/>
        <v>34.25964525000002</v>
      </c>
      <c r="P16" s="23">
        <f>P14-P15</f>
        <v>-215.97499999999994</v>
      </c>
      <c r="Q16" s="23">
        <f>Q14-Q15</f>
        <v>9.6957469000000849</v>
      </c>
      <c r="R16" s="23">
        <f t="shared" ref="R16:AA16" si="20">R14-R15</f>
        <v>55.42240229294999</v>
      </c>
      <c r="S16" s="23">
        <f t="shared" si="20"/>
        <v>110.24015616942016</v>
      </c>
      <c r="T16" s="23">
        <f t="shared" si="20"/>
        <v>190.35599994624039</v>
      </c>
      <c r="U16" s="23">
        <f t="shared" si="20"/>
        <v>275.04331738341966</v>
      </c>
      <c r="V16" s="23">
        <f t="shared" si="20"/>
        <v>364.93444471490187</v>
      </c>
      <c r="W16" s="23">
        <f t="shared" si="20"/>
        <v>454.8059010537425</v>
      </c>
      <c r="X16" s="23">
        <f t="shared" si="20"/>
        <v>554.17758308699388</v>
      </c>
      <c r="Y16" s="23">
        <f t="shared" si="20"/>
        <v>609.73434695321089</v>
      </c>
      <c r="Z16" s="23">
        <f t="shared" si="20"/>
        <v>640.48946070565921</v>
      </c>
      <c r="AA16" s="23">
        <f t="shared" si="20"/>
        <v>672.54432332026602</v>
      </c>
      <c r="AB16" s="23">
        <f>AA16*(1+$AD$21)</f>
        <v>665.81888008706335</v>
      </c>
      <c r="AC16" s="23">
        <f t="shared" ref="AC16:CN16" si="21">AB16*(1+$AD$21)</f>
        <v>659.16069128619267</v>
      </c>
      <c r="AD16" s="23">
        <f t="shared" si="21"/>
        <v>652.56908437333072</v>
      </c>
      <c r="AE16" s="23">
        <f t="shared" si="21"/>
        <v>646.04339352959744</v>
      </c>
      <c r="AF16" s="23">
        <f t="shared" si="21"/>
        <v>639.58295959430143</v>
      </c>
      <c r="AG16" s="23">
        <f t="shared" si="21"/>
        <v>633.18712999835839</v>
      </c>
      <c r="AH16" s="23">
        <f t="shared" si="21"/>
        <v>626.85525869837477</v>
      </c>
      <c r="AI16" s="23">
        <f t="shared" si="21"/>
        <v>620.58670611139098</v>
      </c>
      <c r="AJ16" s="23">
        <f t="shared" si="21"/>
        <v>614.38083905027702</v>
      </c>
      <c r="AK16" s="23">
        <f t="shared" si="21"/>
        <v>608.23703065977429</v>
      </c>
      <c r="AL16" s="23">
        <f t="shared" si="21"/>
        <v>602.1546603531765</v>
      </c>
      <c r="AM16" s="23">
        <f t="shared" si="21"/>
        <v>596.13311374964474</v>
      </c>
      <c r="AN16" s="23">
        <f t="shared" si="21"/>
        <v>590.17178261214826</v>
      </c>
      <c r="AO16" s="23">
        <f t="shared" si="21"/>
        <v>584.27006478602675</v>
      </c>
      <c r="AP16" s="23">
        <f t="shared" si="21"/>
        <v>578.42736413816647</v>
      </c>
      <c r="AQ16" s="23">
        <f t="shared" si="21"/>
        <v>572.64309049678479</v>
      </c>
      <c r="AR16" s="23">
        <f t="shared" si="21"/>
        <v>566.91665959181694</v>
      </c>
      <c r="AS16" s="23">
        <f t="shared" si="21"/>
        <v>561.24749299589871</v>
      </c>
      <c r="AT16" s="23">
        <f t="shared" si="21"/>
        <v>555.63501806593968</v>
      </c>
      <c r="AU16" s="23">
        <f t="shared" si="21"/>
        <v>550.07866788528031</v>
      </c>
      <c r="AV16" s="23">
        <f t="shared" si="21"/>
        <v>544.57788120642749</v>
      </c>
      <c r="AW16" s="23">
        <f t="shared" si="21"/>
        <v>539.13210239436319</v>
      </c>
      <c r="AX16" s="23">
        <f t="shared" si="21"/>
        <v>533.74078137041954</v>
      </c>
      <c r="AY16" s="23">
        <f t="shared" si="21"/>
        <v>528.40337355671534</v>
      </c>
      <c r="AZ16" s="23">
        <f t="shared" si="21"/>
        <v>523.11933982114817</v>
      </c>
      <c r="BA16" s="23">
        <f t="shared" si="21"/>
        <v>517.88814642293664</v>
      </c>
      <c r="BB16" s="23">
        <f t="shared" si="21"/>
        <v>512.70926495870731</v>
      </c>
      <c r="BC16" s="23">
        <f t="shared" si="21"/>
        <v>507.58217230912021</v>
      </c>
      <c r="BD16" s="23">
        <f t="shared" si="21"/>
        <v>502.50635058602899</v>
      </c>
      <c r="BE16" s="23">
        <f t="shared" si="21"/>
        <v>497.48128708016867</v>
      </c>
      <c r="BF16" s="23">
        <f t="shared" si="21"/>
        <v>492.50647420936696</v>
      </c>
      <c r="BG16" s="23">
        <f t="shared" si="21"/>
        <v>487.58140946727326</v>
      </c>
      <c r="BH16" s="23">
        <f t="shared" si="21"/>
        <v>482.7055953726005</v>
      </c>
      <c r="BI16" s="23">
        <f t="shared" si="21"/>
        <v>477.87853941887448</v>
      </c>
      <c r="BJ16" s="23">
        <f t="shared" si="21"/>
        <v>473.09975402468575</v>
      </c>
      <c r="BK16" s="23">
        <f t="shared" si="21"/>
        <v>468.3687564844389</v>
      </c>
      <c r="BL16" s="23">
        <f t="shared" si="21"/>
        <v>463.68506891959453</v>
      </c>
      <c r="BM16" s="23">
        <f t="shared" si="21"/>
        <v>459.04821823039856</v>
      </c>
      <c r="BN16" s="23">
        <f t="shared" si="21"/>
        <v>454.45773604809455</v>
      </c>
      <c r="BO16" s="23">
        <f t="shared" si="21"/>
        <v>449.91315868761359</v>
      </c>
      <c r="BP16" s="23">
        <f t="shared" si="21"/>
        <v>445.41402710073743</v>
      </c>
      <c r="BQ16" s="23">
        <f t="shared" si="21"/>
        <v>440.95988682973007</v>
      </c>
      <c r="BR16" s="23">
        <f t="shared" si="21"/>
        <v>436.55028796143279</v>
      </c>
      <c r="BS16" s="23">
        <f t="shared" si="21"/>
        <v>432.18478508181846</v>
      </c>
      <c r="BT16" s="23">
        <f t="shared" si="21"/>
        <v>427.86293723100027</v>
      </c>
      <c r="BU16" s="23">
        <f t="shared" si="21"/>
        <v>423.58430785869029</v>
      </c>
      <c r="BV16" s="23">
        <f t="shared" si="21"/>
        <v>419.34846478010337</v>
      </c>
      <c r="BW16" s="23">
        <f t="shared" si="21"/>
        <v>415.15498013230234</v>
      </c>
      <c r="BX16" s="23">
        <f t="shared" si="21"/>
        <v>411.00343033097931</v>
      </c>
      <c r="BY16" s="23">
        <f t="shared" si="21"/>
        <v>406.8933960276695</v>
      </c>
      <c r="BZ16" s="23">
        <f t="shared" si="21"/>
        <v>402.8244620673928</v>
      </c>
      <c r="CA16" s="23">
        <f t="shared" si="21"/>
        <v>398.79621744671886</v>
      </c>
      <c r="CB16" s="23">
        <f t="shared" si="21"/>
        <v>394.80825527225164</v>
      </c>
      <c r="CC16" s="23">
        <f t="shared" si="21"/>
        <v>390.86017271952915</v>
      </c>
      <c r="CD16" s="23">
        <f t="shared" si="21"/>
        <v>386.95157099233387</v>
      </c>
      <c r="CE16" s="23">
        <f t="shared" si="21"/>
        <v>383.08205528241052</v>
      </c>
      <c r="CF16" s="23">
        <f t="shared" si="21"/>
        <v>379.25123472958643</v>
      </c>
      <c r="CG16" s="23">
        <f t="shared" si="21"/>
        <v>375.45872238229055</v>
      </c>
      <c r="CH16" s="23">
        <f t="shared" si="21"/>
        <v>371.70413515846764</v>
      </c>
      <c r="CI16" s="23">
        <f t="shared" si="21"/>
        <v>367.98709380688297</v>
      </c>
      <c r="CJ16" s="23">
        <f t="shared" si="21"/>
        <v>364.30722286881411</v>
      </c>
      <c r="CK16" s="23">
        <f t="shared" si="21"/>
        <v>360.66415064012597</v>
      </c>
      <c r="CL16" s="23">
        <f t="shared" si="21"/>
        <v>357.05750913372469</v>
      </c>
      <c r="CM16" s="23">
        <f t="shared" si="21"/>
        <v>353.48693404238742</v>
      </c>
      <c r="CN16" s="23">
        <f t="shared" si="21"/>
        <v>349.95206470196354</v>
      </c>
      <c r="CO16" s="23">
        <f t="shared" ref="CO16:EZ16" si="22">CN16*(1+$AD$21)</f>
        <v>346.45254405494387</v>
      </c>
      <c r="CP16" s="23">
        <f t="shared" si="22"/>
        <v>342.98801861439443</v>
      </c>
      <c r="CQ16" s="23">
        <f t="shared" si="22"/>
        <v>339.55813842825046</v>
      </c>
      <c r="CR16" s="23">
        <f t="shared" si="22"/>
        <v>336.16255704396798</v>
      </c>
      <c r="CS16" s="23">
        <f t="shared" si="22"/>
        <v>332.80093147352829</v>
      </c>
      <c r="CT16" s="23">
        <f t="shared" si="22"/>
        <v>329.47292215879298</v>
      </c>
      <c r="CU16" s="23">
        <f t="shared" si="22"/>
        <v>326.17819293720504</v>
      </c>
      <c r="CV16" s="23">
        <f t="shared" si="22"/>
        <v>322.91641100783301</v>
      </c>
      <c r="CW16" s="23">
        <f t="shared" si="22"/>
        <v>319.68724689775468</v>
      </c>
      <c r="CX16" s="23">
        <f t="shared" si="22"/>
        <v>316.4903744287771</v>
      </c>
      <c r="CY16" s="23">
        <f t="shared" si="22"/>
        <v>313.32547068448935</v>
      </c>
      <c r="CZ16" s="23">
        <f t="shared" si="22"/>
        <v>310.19221597764442</v>
      </c>
      <c r="DA16" s="23">
        <f t="shared" si="22"/>
        <v>307.09029381786797</v>
      </c>
      <c r="DB16" s="23">
        <f t="shared" si="22"/>
        <v>304.0193908796893</v>
      </c>
      <c r="DC16" s="23">
        <f t="shared" si="22"/>
        <v>300.97919697089242</v>
      </c>
      <c r="DD16" s="23">
        <f t="shared" si="22"/>
        <v>297.96940500118347</v>
      </c>
      <c r="DE16" s="23">
        <f t="shared" si="22"/>
        <v>294.98971095117162</v>
      </c>
      <c r="DF16" s="23">
        <f t="shared" si="22"/>
        <v>292.03981384165991</v>
      </c>
      <c r="DG16" s="23">
        <f t="shared" si="22"/>
        <v>289.11941570324331</v>
      </c>
      <c r="DH16" s="23">
        <f t="shared" si="22"/>
        <v>286.22822154621088</v>
      </c>
      <c r="DI16" s="23">
        <f t="shared" si="22"/>
        <v>283.36593933074874</v>
      </c>
      <c r="DJ16" s="23">
        <f t="shared" si="22"/>
        <v>280.53227993744127</v>
      </c>
      <c r="DK16" s="23">
        <f t="shared" si="22"/>
        <v>277.72695713806684</v>
      </c>
      <c r="DL16" s="23">
        <f t="shared" si="22"/>
        <v>274.94968756668618</v>
      </c>
      <c r="DM16" s="23">
        <f t="shared" si="22"/>
        <v>272.20019069101932</v>
      </c>
      <c r="DN16" s="23">
        <f t="shared" si="22"/>
        <v>269.47818878410914</v>
      </c>
      <c r="DO16" s="23">
        <f t="shared" si="22"/>
        <v>266.78340689626805</v>
      </c>
      <c r="DP16" s="23">
        <f t="shared" si="22"/>
        <v>264.11557282730536</v>
      </c>
      <c r="DQ16" s="23">
        <f t="shared" si="22"/>
        <v>261.47441709903228</v>
      </c>
      <c r="DR16" s="23">
        <f t="shared" si="22"/>
        <v>258.85967292804196</v>
      </c>
      <c r="DS16" s="23">
        <f t="shared" si="22"/>
        <v>256.27107619876153</v>
      </c>
      <c r="DT16" s="23">
        <f t="shared" si="22"/>
        <v>253.7083654367739</v>
      </c>
      <c r="DU16" s="23">
        <f t="shared" si="22"/>
        <v>251.17128178240617</v>
      </c>
      <c r="DV16" s="23">
        <f t="shared" si="22"/>
        <v>248.65956896458209</v>
      </c>
      <c r="DW16" s="23">
        <f t="shared" si="22"/>
        <v>246.17297327493628</v>
      </c>
      <c r="DX16" s="23">
        <f t="shared" si="22"/>
        <v>243.71124354218691</v>
      </c>
      <c r="DY16" s="23">
        <f t="shared" si="22"/>
        <v>241.27413110676503</v>
      </c>
      <c r="DZ16" s="23">
        <f t="shared" si="22"/>
        <v>238.86138979569736</v>
      </c>
      <c r="EA16" s="23">
        <f t="shared" si="22"/>
        <v>236.47277589774038</v>
      </c>
      <c r="EB16" s="23">
        <f t="shared" si="22"/>
        <v>234.10804813876297</v>
      </c>
      <c r="EC16" s="23">
        <f t="shared" si="22"/>
        <v>231.76696765737535</v>
      </c>
      <c r="ED16" s="23">
        <f t="shared" si="22"/>
        <v>229.44929798080159</v>
      </c>
      <c r="EE16" s="23">
        <f t="shared" si="22"/>
        <v>227.15480500099358</v>
      </c>
      <c r="EF16" s="23">
        <f t="shared" si="22"/>
        <v>224.88325695098365</v>
      </c>
      <c r="EG16" s="23">
        <f t="shared" si="22"/>
        <v>222.63442438147382</v>
      </c>
      <c r="EH16" s="23">
        <f t="shared" si="22"/>
        <v>220.40808013765908</v>
      </c>
      <c r="EI16" s="23">
        <f t="shared" si="22"/>
        <v>218.20399933628249</v>
      </c>
      <c r="EJ16" s="23">
        <f t="shared" si="22"/>
        <v>216.02195934291967</v>
      </c>
      <c r="EK16" s="23">
        <f t="shared" si="22"/>
        <v>213.86173974949048</v>
      </c>
      <c r="EL16" s="23">
        <f t="shared" si="22"/>
        <v>211.72312235199558</v>
      </c>
      <c r="EM16" s="23">
        <f t="shared" si="22"/>
        <v>209.60589112847563</v>
      </c>
      <c r="EN16" s="23">
        <f t="shared" si="22"/>
        <v>207.50983221719088</v>
      </c>
      <c r="EO16" s="23">
        <f t="shared" si="22"/>
        <v>205.43473389501898</v>
      </c>
      <c r="EP16" s="23">
        <f t="shared" si="22"/>
        <v>203.3803865560688</v>
      </c>
      <c r="EQ16" s="23">
        <f t="shared" si="22"/>
        <v>201.34658269050811</v>
      </c>
      <c r="ER16" s="23">
        <f t="shared" si="22"/>
        <v>199.33311686360304</v>
      </c>
      <c r="ES16" s="23">
        <f t="shared" si="22"/>
        <v>197.33978569496702</v>
      </c>
      <c r="ET16" s="23">
        <f t="shared" si="22"/>
        <v>195.36638783801735</v>
      </c>
      <c r="EU16" s="23">
        <f t="shared" si="22"/>
        <v>193.41272395963716</v>
      </c>
      <c r="EV16" s="23">
        <f t="shared" si="22"/>
        <v>191.4785967200408</v>
      </c>
      <c r="EW16" s="23">
        <f t="shared" si="22"/>
        <v>189.5638107528404</v>
      </c>
      <c r="EX16" s="23">
        <f t="shared" si="22"/>
        <v>187.66817264531198</v>
      </c>
      <c r="EY16" s="23">
        <f t="shared" si="22"/>
        <v>185.79149091885887</v>
      </c>
      <c r="EZ16" s="23">
        <f t="shared" si="22"/>
        <v>183.93357600967028</v>
      </c>
      <c r="FA16" s="23">
        <f t="shared" ref="FA16:GN16" si="23">EZ16*(1+$AD$21)</f>
        <v>182.09424024957357</v>
      </c>
      <c r="FB16" s="23">
        <f t="shared" si="23"/>
        <v>180.27329784707783</v>
      </c>
      <c r="FC16" s="23">
        <f t="shared" si="23"/>
        <v>178.47056486860706</v>
      </c>
      <c r="FD16" s="23">
        <f t="shared" si="23"/>
        <v>176.68585921992099</v>
      </c>
      <c r="FE16" s="23">
        <f t="shared" si="23"/>
        <v>174.91900062772177</v>
      </c>
      <c r="FF16" s="23">
        <f t="shared" si="23"/>
        <v>173.16981062144455</v>
      </c>
      <c r="FG16" s="23">
        <f t="shared" si="23"/>
        <v>171.4381125152301</v>
      </c>
      <c r="FH16" s="23">
        <f t="shared" si="23"/>
        <v>169.7237313900778</v>
      </c>
      <c r="FI16" s="23">
        <f t="shared" si="23"/>
        <v>168.02649407617702</v>
      </c>
      <c r="FJ16" s="23">
        <f t="shared" si="23"/>
        <v>166.34622913541526</v>
      </c>
      <c r="FK16" s="23">
        <f t="shared" si="23"/>
        <v>164.68276684406109</v>
      </c>
      <c r="FL16" s="23">
        <f t="shared" si="23"/>
        <v>163.03593917562048</v>
      </c>
      <c r="FM16" s="23">
        <f t="shared" si="23"/>
        <v>161.40557978386428</v>
      </c>
      <c r="FN16" s="23">
        <f t="shared" si="23"/>
        <v>159.79152398602565</v>
      </c>
      <c r="FO16" s="23">
        <f t="shared" si="23"/>
        <v>158.19360874616538</v>
      </c>
      <c r="FP16" s="23">
        <f t="shared" si="23"/>
        <v>156.61167265870372</v>
      </c>
      <c r="FQ16" s="23">
        <f t="shared" si="23"/>
        <v>155.04555593211668</v>
      </c>
      <c r="FR16" s="23">
        <f t="shared" si="23"/>
        <v>153.49510037279552</v>
      </c>
      <c r="FS16" s="23">
        <f t="shared" si="23"/>
        <v>151.96014936906755</v>
      </c>
      <c r="FT16" s="23">
        <f t="shared" si="23"/>
        <v>150.44054787537686</v>
      </c>
      <c r="FU16" s="23">
        <f t="shared" si="23"/>
        <v>148.9361423966231</v>
      </c>
      <c r="FV16" s="23">
        <f t="shared" si="23"/>
        <v>147.44678097265685</v>
      </c>
      <c r="FW16" s="23">
        <f t="shared" si="23"/>
        <v>145.97231316293028</v>
      </c>
      <c r="FX16" s="23">
        <f t="shared" si="23"/>
        <v>144.51259003130096</v>
      </c>
      <c r="FY16" s="23">
        <f t="shared" si="23"/>
        <v>143.06746413098796</v>
      </c>
      <c r="FZ16" s="23">
        <f t="shared" si="23"/>
        <v>141.63678948967808</v>
      </c>
      <c r="GA16" s="23">
        <f t="shared" si="23"/>
        <v>140.2204215947813</v>
      </c>
      <c r="GB16" s="23">
        <f t="shared" si="23"/>
        <v>138.81821737883348</v>
      </c>
      <c r="GC16" s="23">
        <f t="shared" si="23"/>
        <v>137.43003520504516</v>
      </c>
      <c r="GD16" s="23">
        <f t="shared" si="23"/>
        <v>136.0557348529947</v>
      </c>
      <c r="GE16" s="23">
        <f t="shared" si="23"/>
        <v>134.69517750446477</v>
      </c>
      <c r="GF16" s="23">
        <f t="shared" si="23"/>
        <v>133.34822572942011</v>
      </c>
      <c r="GG16" s="23">
        <f t="shared" si="23"/>
        <v>132.0147434721259</v>
      </c>
      <c r="GH16" s="23">
        <f t="shared" si="23"/>
        <v>130.69459603740464</v>
      </c>
      <c r="GI16" s="23">
        <f t="shared" si="23"/>
        <v>129.3876500770306</v>
      </c>
      <c r="GJ16" s="23">
        <f t="shared" si="23"/>
        <v>128.0937735762603</v>
      </c>
      <c r="GK16" s="23">
        <f t="shared" si="23"/>
        <v>126.8128358404977</v>
      </c>
      <c r="GL16" s="23">
        <f t="shared" si="23"/>
        <v>125.54470748209272</v>
      </c>
      <c r="GM16" s="23">
        <f t="shared" si="23"/>
        <v>124.2892604072718</v>
      </c>
      <c r="GN16" s="23">
        <f t="shared" si="23"/>
        <v>123.04636780319908</v>
      </c>
    </row>
    <row r="17" spans="1:31" x14ac:dyDescent="0.35">
      <c r="B17" t="s">
        <v>29</v>
      </c>
      <c r="C17" s="2">
        <f>C16/C18</f>
        <v>-8.9983381363475098E-2</v>
      </c>
      <c r="D17" s="2">
        <f>D16/D18</f>
        <v>-0.26788755858913621</v>
      </c>
      <c r="E17" s="2">
        <f>E16/E18</f>
        <v>-0.7012051032369705</v>
      </c>
      <c r="F17" s="2">
        <f>F16/F18</f>
        <v>-0.21039380405062671</v>
      </c>
      <c r="G17" s="2">
        <f>G16/G18</f>
        <v>-0.16794973185379244</v>
      </c>
      <c r="H17" s="2">
        <f>H16/H18</f>
        <v>-0.25758080845494719</v>
      </c>
      <c r="I17" s="2">
        <f>I16/I18</f>
        <v>-0.26513129918712225</v>
      </c>
      <c r="J17" s="2">
        <f>J16/J18</f>
        <v>6.8152063527022605E-3</v>
      </c>
      <c r="P17" s="2">
        <f>P16/P18</f>
        <v>-1.335807336967026</v>
      </c>
      <c r="Q17" s="2">
        <f>Q16/Q18</f>
        <v>5.9316441532381928E-2</v>
      </c>
    </row>
    <row r="18" spans="1:31" x14ac:dyDescent="0.35">
      <c r="B18" t="s">
        <v>30</v>
      </c>
      <c r="C18" s="1">
        <v>160.66300000000001</v>
      </c>
      <c r="D18" s="1">
        <v>160.86600000000001</v>
      </c>
      <c r="E18" s="1">
        <v>161.23099999999999</v>
      </c>
      <c r="F18" s="1">
        <v>161.654</v>
      </c>
      <c r="G18" s="1">
        <v>161.852</v>
      </c>
      <c r="H18" s="1">
        <v>161.988</v>
      </c>
      <c r="I18" s="1">
        <v>162.26300000000001</v>
      </c>
      <c r="J18" s="1">
        <v>163.458</v>
      </c>
      <c r="P18" s="1">
        <f>AVERAGE(E18:H18)</f>
        <v>161.68124999999998</v>
      </c>
      <c r="Q18" s="1">
        <f>J18</f>
        <v>163.458</v>
      </c>
    </row>
    <row r="20" spans="1:31" x14ac:dyDescent="0.35">
      <c r="B20" t="s">
        <v>71</v>
      </c>
      <c r="G20" s="3">
        <f t="shared" ref="G20:I20" si="24">(G3-C3)/C3</f>
        <v>-6.8230860407865251E-3</v>
      </c>
      <c r="H20" s="3">
        <f t="shared" si="24"/>
        <v>4.3836705975924983E-2</v>
      </c>
      <c r="I20" s="3">
        <f t="shared" si="24"/>
        <v>2.5929261786815393E-2</v>
      </c>
      <c r="J20" s="3">
        <f>(J3-F3)/F3</f>
        <v>5.5401559121006617E-2</v>
      </c>
      <c r="K20" s="3">
        <f t="shared" ref="K20:L20" si="25">(K3-G3)/G3</f>
        <v>3.0000000000000093E-2</v>
      </c>
      <c r="L20" s="3">
        <f t="shared" si="25"/>
        <v>3.0000000000000124E-2</v>
      </c>
      <c r="Q20" s="3">
        <f>(Q3-P3)/P3</f>
        <v>3.5699672295958454E-2</v>
      </c>
      <c r="R20" s="3">
        <f t="shared" ref="R20:AA21" si="26">(R3-Q3)/Q3</f>
        <v>5.0000000000000114E-2</v>
      </c>
      <c r="S20" s="3">
        <f t="shared" si="26"/>
        <v>0.24999999999999994</v>
      </c>
      <c r="T20" s="3">
        <f t="shared" si="26"/>
        <v>0.19999999999999996</v>
      </c>
      <c r="U20" s="3">
        <f t="shared" si="26"/>
        <v>0.14999999999999994</v>
      </c>
      <c r="V20" s="3">
        <f t="shared" si="26"/>
        <v>0.10000000000000012</v>
      </c>
      <c r="W20" s="3">
        <f t="shared" si="26"/>
        <v>5.0000000000000114E-2</v>
      </c>
      <c r="X20" s="3">
        <f t="shared" si="26"/>
        <v>4.9999999999999961E-2</v>
      </c>
      <c r="Y20" s="3">
        <f t="shared" si="26"/>
        <v>2.000000000000008E-2</v>
      </c>
      <c r="Z20" s="3">
        <f t="shared" si="26"/>
        <v>1.9999999999999997E-2</v>
      </c>
      <c r="AA20" s="3">
        <f t="shared" si="26"/>
        <v>2.0000000000000014E-2</v>
      </c>
      <c r="AC20" s="1" t="s">
        <v>76</v>
      </c>
      <c r="AD20" s="3">
        <v>0.03</v>
      </c>
    </row>
    <row r="21" spans="1:31" x14ac:dyDescent="0.35">
      <c r="B21" t="s">
        <v>72</v>
      </c>
      <c r="Q21" s="3"/>
      <c r="R21" s="3">
        <f>(R4-Q4)/Q4</f>
        <v>0.5</v>
      </c>
      <c r="S21" s="3">
        <f t="shared" ref="S21:AA21" si="27">(S4-R4)/R4</f>
        <v>0.3000000000000001</v>
      </c>
      <c r="T21" s="3">
        <f t="shared" si="27"/>
        <v>0.15</v>
      </c>
      <c r="U21" s="3">
        <f t="shared" si="27"/>
        <v>0.10000000000000007</v>
      </c>
      <c r="V21" s="3">
        <f t="shared" si="27"/>
        <v>5.0000000000000031E-2</v>
      </c>
      <c r="W21" s="3">
        <f t="shared" si="27"/>
        <v>5.0000000000000086E-2</v>
      </c>
      <c r="X21" s="3">
        <f t="shared" si="27"/>
        <v>4.9999999999999996E-2</v>
      </c>
      <c r="Y21" s="3">
        <f t="shared" si="27"/>
        <v>4.9999999999999989E-2</v>
      </c>
      <c r="Z21" s="3">
        <f t="shared" si="27"/>
        <v>5.0000000000000058E-2</v>
      </c>
      <c r="AA21" s="3">
        <f t="shared" si="27"/>
        <v>5.0000000000000058E-2</v>
      </c>
      <c r="AC21" s="1" t="s">
        <v>77</v>
      </c>
      <c r="AD21" s="3">
        <v>-0.01</v>
      </c>
    </row>
    <row r="22" spans="1:31" x14ac:dyDescent="0.35">
      <c r="B22" t="s">
        <v>31</v>
      </c>
      <c r="G22" s="3">
        <f>(G5-C5)/C5</f>
        <v>-6.8230860407865251E-3</v>
      </c>
      <c r="H22" s="3">
        <f>(H5-D5)/D5</f>
        <v>4.3836705975924983E-2</v>
      </c>
      <c r="I22" s="3">
        <f>(I5-E5)/E5</f>
        <v>2.5929261786815393E-2</v>
      </c>
      <c r="J22" s="3">
        <f>(J5-F5)/F5</f>
        <v>0.22793784324071273</v>
      </c>
      <c r="K22" s="3">
        <f t="shared" ref="K22:L22" si="28">(K5-G5)/G5</f>
        <v>0.41251449729944772</v>
      </c>
      <c r="L22" s="3">
        <f t="shared" si="28"/>
        <v>0.50622536449556754</v>
      </c>
      <c r="Q22" s="3">
        <f>(Q5-P5)/P5</f>
        <v>0.30292250137751708</v>
      </c>
      <c r="R22" s="3">
        <f t="shared" ref="R22:AA22" si="29">(R5-Q5)/Q5</f>
        <v>0.14229272881508057</v>
      </c>
      <c r="S22" s="3">
        <f t="shared" si="29"/>
        <v>0.263466006638365</v>
      </c>
      <c r="T22" s="3">
        <f t="shared" si="29"/>
        <v>0.18614461446695224</v>
      </c>
      <c r="U22" s="3">
        <f t="shared" si="29"/>
        <v>0.13656682063159292</v>
      </c>
      <c r="V22" s="3">
        <f t="shared" si="29"/>
        <v>8.6999006976961987E-2</v>
      </c>
      <c r="W22" s="3">
        <f t="shared" si="29"/>
        <v>5.0000000000000114E-2</v>
      </c>
      <c r="X22" s="3">
        <f t="shared" si="29"/>
        <v>5.0000000000000086E-2</v>
      </c>
      <c r="Y22" s="3">
        <f t="shared" si="29"/>
        <v>2.753508103681971E-2</v>
      </c>
      <c r="Z22" s="3">
        <f t="shared" si="29"/>
        <v>2.7699819923109034E-2</v>
      </c>
      <c r="AA22" s="3">
        <f t="shared" si="29"/>
        <v>2.786689922731457E-2</v>
      </c>
      <c r="AC22" s="1" t="s">
        <v>78</v>
      </c>
      <c r="AD22" s="3">
        <v>0.1</v>
      </c>
    </row>
    <row r="23" spans="1:31" x14ac:dyDescent="0.35">
      <c r="B23" t="s">
        <v>32</v>
      </c>
      <c r="C23" s="3">
        <f>C7/C5</f>
        <v>0.94922955353615168</v>
      </c>
      <c r="D23" s="3"/>
      <c r="E23" s="3">
        <f>E7/E5</f>
        <v>0.97445179616863542</v>
      </c>
      <c r="F23" s="3">
        <f>F7/F5</f>
        <v>0.98018028730037232</v>
      </c>
      <c r="G23" s="3">
        <f>G7/G5</f>
        <v>0.98365898067536761</v>
      </c>
      <c r="H23" s="3">
        <f>H7/H5</f>
        <v>0.98232104916111063</v>
      </c>
      <c r="I23" s="3">
        <f>I7/I5</f>
        <v>0.98592797690398604</v>
      </c>
      <c r="J23" s="3">
        <f>J7/J5</f>
        <v>0.95485823221472443</v>
      </c>
      <c r="K23" s="3">
        <f t="shared" ref="K23:L23" si="30">K7/K5</f>
        <v>0.95</v>
      </c>
      <c r="L23" s="3">
        <f t="shared" si="30"/>
        <v>0.95</v>
      </c>
      <c r="P23" s="3">
        <f>P7/P5</f>
        <v>0.9803454909277215</v>
      </c>
      <c r="Q23" s="3">
        <f>Q7/Q5</f>
        <v>0.95750663523728252</v>
      </c>
      <c r="R23" s="3">
        <f t="shared" ref="R23:AA23" si="31">R7/R5</f>
        <v>0.95</v>
      </c>
      <c r="S23" s="3">
        <f t="shared" si="31"/>
        <v>0.95000000000000007</v>
      </c>
      <c r="T23" s="3">
        <f t="shared" si="31"/>
        <v>0.95</v>
      </c>
      <c r="U23" s="3">
        <f t="shared" si="31"/>
        <v>0.95</v>
      </c>
      <c r="V23" s="3">
        <f t="shared" si="31"/>
        <v>0.95000000000000007</v>
      </c>
      <c r="W23" s="3">
        <f t="shared" si="31"/>
        <v>0.95000000000000007</v>
      </c>
      <c r="X23" s="3">
        <f t="shared" si="31"/>
        <v>0.95</v>
      </c>
      <c r="Y23" s="3">
        <f t="shared" si="31"/>
        <v>0.95000000000000007</v>
      </c>
      <c r="Z23" s="3">
        <f t="shared" si="31"/>
        <v>0.95000000000000007</v>
      </c>
      <c r="AA23" s="3">
        <f t="shared" si="31"/>
        <v>0.95</v>
      </c>
      <c r="AC23" s="1" t="s">
        <v>79</v>
      </c>
      <c r="AD23" s="1">
        <f>NPV(AD22,R16:GN16)</f>
        <v>4389.0946058176278</v>
      </c>
    </row>
    <row r="24" spans="1:31" x14ac:dyDescent="0.35">
      <c r="B24" t="s">
        <v>73</v>
      </c>
      <c r="E24" s="3"/>
      <c r="R24" s="3">
        <f>R8/R5</f>
        <v>0.38</v>
      </c>
      <c r="S24" s="3">
        <f t="shared" ref="S24:AA24" si="32">S8/S5</f>
        <v>0.38</v>
      </c>
      <c r="T24" s="3">
        <f t="shared" si="32"/>
        <v>0.35</v>
      </c>
      <c r="U24" s="3">
        <f t="shared" si="32"/>
        <v>0.32</v>
      </c>
      <c r="V24" s="3">
        <f t="shared" si="32"/>
        <v>0.3</v>
      </c>
      <c r="W24" s="3">
        <f t="shared" si="32"/>
        <v>0.27</v>
      </c>
      <c r="X24" s="3">
        <f t="shared" si="32"/>
        <v>0.25</v>
      </c>
      <c r="Y24" s="3">
        <f t="shared" si="32"/>
        <v>0.25</v>
      </c>
      <c r="Z24" s="3">
        <f t="shared" si="32"/>
        <v>0.25</v>
      </c>
      <c r="AA24" s="3">
        <f t="shared" si="32"/>
        <v>0.25</v>
      </c>
      <c r="AC24" s="1" t="s">
        <v>80</v>
      </c>
      <c r="AD24" s="1">
        <f>Main!M7-Main!M8</f>
        <v>325.60000000000002</v>
      </c>
    </row>
    <row r="25" spans="1:31" x14ac:dyDescent="0.35">
      <c r="B25" t="s">
        <v>74</v>
      </c>
      <c r="R25" s="3">
        <f>R9/R5</f>
        <v>0.5</v>
      </c>
      <c r="S25" s="3">
        <f t="shared" ref="S25:AA25" si="33">S9/S5</f>
        <v>0.45</v>
      </c>
      <c r="T25" s="3">
        <f t="shared" si="33"/>
        <v>0.42</v>
      </c>
      <c r="U25" s="3">
        <f t="shared" si="33"/>
        <v>0.39999999999999997</v>
      </c>
      <c r="V25" s="3">
        <f t="shared" si="33"/>
        <v>0.37</v>
      </c>
      <c r="W25" s="3">
        <f t="shared" si="33"/>
        <v>0.35</v>
      </c>
      <c r="X25" s="3">
        <f t="shared" si="33"/>
        <v>0.32</v>
      </c>
      <c r="Y25" s="3">
        <f t="shared" si="33"/>
        <v>0.3</v>
      </c>
      <c r="Z25" s="3">
        <f t="shared" si="33"/>
        <v>0.3</v>
      </c>
      <c r="AA25" s="3">
        <f t="shared" si="33"/>
        <v>0.3</v>
      </c>
      <c r="AC25" s="23" t="s">
        <v>81</v>
      </c>
      <c r="AD25" s="23">
        <f>AD23+AD24</f>
        <v>4714.6946058176281</v>
      </c>
    </row>
    <row r="26" spans="1:31" x14ac:dyDescent="0.35">
      <c r="B26" t="s">
        <v>75</v>
      </c>
      <c r="Q26" s="3">
        <f>Q15/Q14</f>
        <v>0.56153860103104225</v>
      </c>
      <c r="R26" s="3">
        <f t="shared" ref="R26:AA26" si="34">R15/R14</f>
        <v>0.15</v>
      </c>
      <c r="S26" s="3">
        <f t="shared" si="34"/>
        <v>0.15</v>
      </c>
      <c r="T26" s="3">
        <f t="shared" si="34"/>
        <v>0.15</v>
      </c>
      <c r="U26" s="3">
        <f t="shared" si="34"/>
        <v>0.15</v>
      </c>
      <c r="V26" s="3">
        <f t="shared" si="34"/>
        <v>0.15</v>
      </c>
      <c r="W26" s="3">
        <f t="shared" si="34"/>
        <v>0.15</v>
      </c>
      <c r="X26" s="3">
        <f t="shared" si="34"/>
        <v>0.15</v>
      </c>
      <c r="Y26" s="3">
        <f t="shared" si="34"/>
        <v>0.15</v>
      </c>
      <c r="Z26" s="3">
        <f t="shared" si="34"/>
        <v>0.15</v>
      </c>
      <c r="AA26" s="3">
        <f t="shared" si="34"/>
        <v>0.15</v>
      </c>
    </row>
    <row r="27" spans="1:31" x14ac:dyDescent="0.35">
      <c r="AC27" s="1" t="s">
        <v>82</v>
      </c>
      <c r="AD27" s="2">
        <f>AD25/Main!M5</f>
        <v>28.795745811785252</v>
      </c>
    </row>
    <row r="28" spans="1:31" x14ac:dyDescent="0.35">
      <c r="AC28" s="1" t="s">
        <v>83</v>
      </c>
      <c r="AD28" s="2">
        <f>Main!M4</f>
        <v>26.59</v>
      </c>
      <c r="AE28" s="24">
        <f>(AD27-AD28)/AD28</f>
        <v>8.2953960578610486E-2</v>
      </c>
    </row>
    <row r="29" spans="1:31" s="23" customFormat="1" x14ac:dyDescent="0.35">
      <c r="A29" s="22"/>
      <c r="B29" s="22" t="s">
        <v>84</v>
      </c>
      <c r="J29" s="23">
        <f>Main!M7-Main!M8</f>
        <v>325.60000000000002</v>
      </c>
      <c r="Q29" s="23">
        <f>J29+K16+L16</f>
        <v>377.20274690000002</v>
      </c>
      <c r="R29" s="23">
        <f>Q29+R16</f>
        <v>432.62514919295</v>
      </c>
      <c r="S29" s="23">
        <f t="shared" ref="S29:AA29" si="35">R29+S16</f>
        <v>542.86530536237012</v>
      </c>
      <c r="T29" s="23">
        <f t="shared" si="35"/>
        <v>733.22130530861045</v>
      </c>
      <c r="U29" s="23">
        <f t="shared" si="35"/>
        <v>1008.2646226920301</v>
      </c>
      <c r="V29" s="23">
        <f t="shared" si="35"/>
        <v>1373.199067406932</v>
      </c>
      <c r="W29" s="23">
        <f t="shared" si="35"/>
        <v>1828.0049684606745</v>
      </c>
      <c r="X29" s="23">
        <f t="shared" si="35"/>
        <v>2382.1825515476685</v>
      </c>
      <c r="Y29" s="23">
        <f t="shared" si="35"/>
        <v>2991.9168985008791</v>
      </c>
      <c r="Z29" s="23">
        <f t="shared" si="35"/>
        <v>3632.4063592065386</v>
      </c>
      <c r="AA29" s="23">
        <f t="shared" si="35"/>
        <v>4304.9506825268045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2E1E-E76D-4056-B2A6-AD7AF7A2BBE3}">
  <dimension ref="A1:S35"/>
  <sheetViews>
    <sheetView workbookViewId="0">
      <selection activeCell="R36" sqref="R36"/>
    </sheetView>
  </sheetViews>
  <sheetFormatPr defaultRowHeight="14.5" x14ac:dyDescent="0.35"/>
  <cols>
    <col min="1" max="1" width="5.08984375" bestFit="1" customWidth="1"/>
    <col min="2" max="2" width="13.81640625" customWidth="1"/>
  </cols>
  <sheetData>
    <row r="1" spans="1:3" x14ac:dyDescent="0.35">
      <c r="A1" s="18" t="s">
        <v>7</v>
      </c>
    </row>
    <row r="2" spans="1:3" x14ac:dyDescent="0.35">
      <c r="B2" t="s">
        <v>59</v>
      </c>
      <c r="C2" t="s">
        <v>16</v>
      </c>
    </row>
    <row r="3" spans="1:3" x14ac:dyDescent="0.35">
      <c r="B3" t="s">
        <v>40</v>
      </c>
      <c r="C3" t="s">
        <v>34</v>
      </c>
    </row>
    <row r="4" spans="1:3" x14ac:dyDescent="0.35">
      <c r="B4" t="s">
        <v>38</v>
      </c>
      <c r="C4" t="s">
        <v>62</v>
      </c>
    </row>
    <row r="5" spans="1:3" x14ac:dyDescent="0.35">
      <c r="C5" t="s">
        <v>63</v>
      </c>
    </row>
    <row r="6" spans="1:3" x14ac:dyDescent="0.35">
      <c r="B6" t="s">
        <v>42</v>
      </c>
      <c r="C6" t="s">
        <v>64</v>
      </c>
    </row>
    <row r="7" spans="1:3" x14ac:dyDescent="0.35">
      <c r="B7" t="s">
        <v>60</v>
      </c>
      <c r="C7" t="s">
        <v>65</v>
      </c>
    </row>
    <row r="8" spans="1:3" x14ac:dyDescent="0.35">
      <c r="C8" t="s">
        <v>50</v>
      </c>
    </row>
    <row r="9" spans="1:3" x14ac:dyDescent="0.35">
      <c r="B9" t="s">
        <v>43</v>
      </c>
    </row>
    <row r="19" spans="2:19" x14ac:dyDescent="0.35">
      <c r="S19" s="18" t="s">
        <v>66</v>
      </c>
    </row>
    <row r="22" spans="2:19" x14ac:dyDescent="0.35">
      <c r="B22" t="s">
        <v>61</v>
      </c>
    </row>
    <row r="24" spans="2:19" x14ac:dyDescent="0.35">
      <c r="C24" s="18" t="s">
        <v>51</v>
      </c>
    </row>
    <row r="26" spans="2:19" x14ac:dyDescent="0.35">
      <c r="C26" t="s">
        <v>49</v>
      </c>
    </row>
    <row r="27" spans="2:19" x14ac:dyDescent="0.35">
      <c r="C27" t="s">
        <v>52</v>
      </c>
    </row>
    <row r="28" spans="2:19" x14ac:dyDescent="0.35">
      <c r="C28" t="s">
        <v>57</v>
      </c>
    </row>
    <row r="30" spans="2:19" x14ac:dyDescent="0.35">
      <c r="C30" t="s">
        <v>53</v>
      </c>
    </row>
    <row r="31" spans="2:19" x14ac:dyDescent="0.35">
      <c r="C31" t="s">
        <v>54</v>
      </c>
    </row>
    <row r="32" spans="2:19" x14ac:dyDescent="0.35">
      <c r="C32" t="s">
        <v>55</v>
      </c>
    </row>
    <row r="34" spans="3:3" x14ac:dyDescent="0.35">
      <c r="C34" t="s">
        <v>56</v>
      </c>
    </row>
    <row r="35" spans="3:3" x14ac:dyDescent="0.35">
      <c r="C35" t="s">
        <v>58</v>
      </c>
    </row>
  </sheetData>
  <hyperlinks>
    <hyperlink ref="A1" location="Main!A1" display="Main" xr:uid="{86D6C7CC-6F3D-43B1-94A5-CEC0790B6472}"/>
    <hyperlink ref="C24" r:id="rId1" xr:uid="{652D42E3-E9A0-40A5-8818-4AC4462D8538}"/>
    <hyperlink ref="S19" r:id="rId2" xr:uid="{A14F7187-BE9A-4D33-B2F1-DA8A7FAE40D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pimavanserin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Grenci</dc:creator>
  <cp:lastModifiedBy>Michael Grenci</cp:lastModifiedBy>
  <dcterms:created xsi:type="dcterms:W3CDTF">2015-06-05T18:17:20Z</dcterms:created>
  <dcterms:modified xsi:type="dcterms:W3CDTF">2023-08-12T14:54:03Z</dcterms:modified>
</cp:coreProperties>
</file>