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cha\Investing\models\Neuroscience\"/>
    </mc:Choice>
  </mc:AlternateContent>
  <xr:revisionPtr revIDLastSave="0" documentId="13_ncr:1_{A3786C1A-A02D-45B1-85C7-6764FED7AD41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Main" sheetId="1" r:id="rId1"/>
    <sheet name="Model" sheetId="2" r:id="rId2"/>
    <sheet name="LYBALVI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6" i="2" l="1"/>
  <c r="Y16" i="2"/>
  <c r="X16" i="2"/>
  <c r="W16" i="2"/>
  <c r="V16" i="2"/>
  <c r="U16" i="2"/>
  <c r="T16" i="2"/>
  <c r="R4" i="2"/>
  <c r="U3" i="2"/>
  <c r="R3" i="2"/>
  <c r="R10" i="2"/>
  <c r="S10" i="2" s="1"/>
  <c r="T10" i="2" s="1"/>
  <c r="U10" i="2" s="1"/>
  <c r="V10" i="2" s="1"/>
  <c r="W10" i="2" s="1"/>
  <c r="X10" i="2" s="1"/>
  <c r="Y10" i="2" s="1"/>
  <c r="Z10" i="2" s="1"/>
  <c r="Q10" i="2"/>
  <c r="R8" i="2"/>
  <c r="S8" i="2" s="1"/>
  <c r="T8" i="2" s="1"/>
  <c r="U8" i="2" s="1"/>
  <c r="V8" i="2" s="1"/>
  <c r="W8" i="2" s="1"/>
  <c r="X8" i="2" s="1"/>
  <c r="Y8" i="2" s="1"/>
  <c r="Z8" i="2" s="1"/>
  <c r="Q8" i="2"/>
  <c r="Q11" i="2" s="1"/>
  <c r="V5" i="2"/>
  <c r="W5" i="2" s="1"/>
  <c r="X5" i="2" s="1"/>
  <c r="Y5" i="2" s="1"/>
  <c r="Z5" i="2" s="1"/>
  <c r="U5" i="2"/>
  <c r="Q4" i="2"/>
  <c r="Q28" i="2" s="1"/>
  <c r="Q3" i="2"/>
  <c r="P35" i="2"/>
  <c r="Q20" i="2"/>
  <c r="J40" i="2"/>
  <c r="AC42" i="2"/>
  <c r="AC38" i="2"/>
  <c r="P36" i="2"/>
  <c r="P37" i="2"/>
  <c r="O37" i="2"/>
  <c r="O36" i="2"/>
  <c r="S9" i="2"/>
  <c r="T9" i="2" s="1"/>
  <c r="U9" i="2" s="1"/>
  <c r="V9" i="2" s="1"/>
  <c r="W9" i="2" s="1"/>
  <c r="X9" i="2" s="1"/>
  <c r="Y9" i="2" s="1"/>
  <c r="Z9" i="2" s="1"/>
  <c r="R9" i="2"/>
  <c r="Q9" i="2"/>
  <c r="S7" i="2"/>
  <c r="T7" i="2" s="1"/>
  <c r="U7" i="2" s="1"/>
  <c r="V7" i="2" s="1"/>
  <c r="W7" i="2" s="1"/>
  <c r="X7" i="2" s="1"/>
  <c r="Y7" i="2" s="1"/>
  <c r="Z7" i="2" s="1"/>
  <c r="R7" i="2"/>
  <c r="Q7" i="2"/>
  <c r="T5" i="2"/>
  <c r="R5" i="2"/>
  <c r="Q5" i="2"/>
  <c r="Q27" i="2"/>
  <c r="S3" i="2"/>
  <c r="T3" i="2" s="1"/>
  <c r="Q29" i="2"/>
  <c r="S5" i="2"/>
  <c r="P29" i="2"/>
  <c r="P28" i="2"/>
  <c r="P27" i="2"/>
  <c r="P22" i="2"/>
  <c r="P23" i="2" s="1"/>
  <c r="L22" i="2"/>
  <c r="K22" i="2"/>
  <c r="O23" i="2"/>
  <c r="O22" i="2"/>
  <c r="P21" i="2"/>
  <c r="O21" i="2"/>
  <c r="L23" i="2"/>
  <c r="K23" i="2"/>
  <c r="L21" i="2"/>
  <c r="K21" i="2"/>
  <c r="P20" i="2"/>
  <c r="O20" i="2"/>
  <c r="O17" i="2"/>
  <c r="O18" i="2" s="1"/>
  <c r="O19" i="2" s="1"/>
  <c r="P17" i="2"/>
  <c r="P18" i="2"/>
  <c r="P19" i="2" s="1"/>
  <c r="L19" i="2"/>
  <c r="K19" i="2"/>
  <c r="L18" i="2"/>
  <c r="K18" i="2"/>
  <c r="L17" i="2"/>
  <c r="K17" i="2"/>
  <c r="O16" i="2"/>
  <c r="O15" i="2"/>
  <c r="O14" i="2"/>
  <c r="P16" i="2"/>
  <c r="P15" i="2"/>
  <c r="P14" i="2"/>
  <c r="L15" i="2"/>
  <c r="K15" i="2"/>
  <c r="L14" i="2"/>
  <c r="K14" i="2"/>
  <c r="L13" i="2"/>
  <c r="K13" i="2"/>
  <c r="L11" i="2"/>
  <c r="K11" i="2"/>
  <c r="L9" i="2"/>
  <c r="K9" i="2"/>
  <c r="L8" i="2"/>
  <c r="K8" i="2"/>
  <c r="P8" i="2"/>
  <c r="L7" i="2"/>
  <c r="P7" i="2" s="1"/>
  <c r="K7" i="2"/>
  <c r="I35" i="2"/>
  <c r="H35" i="2"/>
  <c r="G35" i="2"/>
  <c r="F35" i="2"/>
  <c r="E35" i="2"/>
  <c r="D35" i="2"/>
  <c r="C35" i="2"/>
  <c r="J35" i="2"/>
  <c r="L6" i="2"/>
  <c r="K6" i="2"/>
  <c r="L29" i="2"/>
  <c r="K29" i="2"/>
  <c r="L28" i="2"/>
  <c r="K28" i="2"/>
  <c r="L27" i="2"/>
  <c r="K27" i="2"/>
  <c r="K5" i="2"/>
  <c r="P5" i="2" s="1"/>
  <c r="L4" i="2"/>
  <c r="K4" i="2"/>
  <c r="L3" i="2"/>
  <c r="K3" i="2"/>
  <c r="O13" i="2"/>
  <c r="O12" i="2"/>
  <c r="O11" i="2"/>
  <c r="O10" i="2"/>
  <c r="O9" i="2"/>
  <c r="O8" i="2"/>
  <c r="O7" i="2"/>
  <c r="O6" i="2"/>
  <c r="O5" i="2"/>
  <c r="O4" i="2"/>
  <c r="O3" i="2"/>
  <c r="P12" i="2"/>
  <c r="P10" i="2"/>
  <c r="P9" i="2"/>
  <c r="P4" i="2"/>
  <c r="P3" i="2"/>
  <c r="I29" i="2"/>
  <c r="H29" i="2"/>
  <c r="I28" i="2"/>
  <c r="H28" i="2"/>
  <c r="G28" i="2"/>
  <c r="J29" i="2"/>
  <c r="J28" i="2"/>
  <c r="I27" i="2"/>
  <c r="H27" i="2"/>
  <c r="G27" i="2"/>
  <c r="J27" i="2"/>
  <c r="D20" i="2"/>
  <c r="D18" i="2"/>
  <c r="H20" i="2"/>
  <c r="H18" i="2"/>
  <c r="D12" i="2"/>
  <c r="D11" i="2"/>
  <c r="D6" i="2"/>
  <c r="H10" i="2"/>
  <c r="H9" i="2"/>
  <c r="H8" i="2"/>
  <c r="H7" i="2"/>
  <c r="H5" i="2"/>
  <c r="H4" i="2"/>
  <c r="H3" i="2"/>
  <c r="H6" i="2" s="1"/>
  <c r="C20" i="2"/>
  <c r="C18" i="2"/>
  <c r="C11" i="2"/>
  <c r="C6" i="2"/>
  <c r="C13" i="2" s="1"/>
  <c r="C15" i="2" s="1"/>
  <c r="G20" i="2"/>
  <c r="G18" i="2"/>
  <c r="G11" i="2"/>
  <c r="G6" i="2"/>
  <c r="E20" i="2"/>
  <c r="E12" i="2"/>
  <c r="E18" i="2"/>
  <c r="E11" i="2"/>
  <c r="E6" i="2"/>
  <c r="I20" i="2"/>
  <c r="I18" i="2"/>
  <c r="I11" i="2"/>
  <c r="I6" i="2"/>
  <c r="F20" i="2"/>
  <c r="F18" i="2"/>
  <c r="J20" i="2"/>
  <c r="J18" i="2"/>
  <c r="Q6" i="2" l="1"/>
  <c r="Q13" i="2" s="1"/>
  <c r="Q17" i="2" s="1"/>
  <c r="Q37" i="2" s="1"/>
  <c r="V3" i="2"/>
  <c r="U27" i="2"/>
  <c r="R27" i="2"/>
  <c r="T27" i="2"/>
  <c r="S27" i="2"/>
  <c r="Z29" i="2"/>
  <c r="U29" i="2"/>
  <c r="R29" i="2"/>
  <c r="S29" i="2"/>
  <c r="T29" i="2"/>
  <c r="V27" i="2"/>
  <c r="P11" i="2"/>
  <c r="P6" i="2"/>
  <c r="I13" i="2"/>
  <c r="I15" i="2" s="1"/>
  <c r="I19" i="2" s="1"/>
  <c r="I21" i="2" s="1"/>
  <c r="I23" i="2" s="1"/>
  <c r="I24" i="2" s="1"/>
  <c r="H11" i="2"/>
  <c r="H13" i="2" s="1"/>
  <c r="D13" i="2"/>
  <c r="D15" i="2" s="1"/>
  <c r="D19" i="2" s="1"/>
  <c r="D21" i="2" s="1"/>
  <c r="D23" i="2" s="1"/>
  <c r="D24" i="2" s="1"/>
  <c r="C19" i="2"/>
  <c r="C21" i="2" s="1"/>
  <c r="C23" i="2" s="1"/>
  <c r="C24" i="2" s="1"/>
  <c r="G13" i="2"/>
  <c r="E13" i="2"/>
  <c r="R11" i="2" l="1"/>
  <c r="Q14" i="2"/>
  <c r="Q15" i="2" s="1"/>
  <c r="Q16" i="2"/>
  <c r="Q36" i="2" s="1"/>
  <c r="S4" i="2"/>
  <c r="R28" i="2"/>
  <c r="R6" i="2"/>
  <c r="R13" i="2" s="1"/>
  <c r="W3" i="2"/>
  <c r="Y29" i="2"/>
  <c r="W29" i="2"/>
  <c r="X29" i="2"/>
  <c r="V29" i="2"/>
  <c r="P13" i="2"/>
  <c r="H34" i="2"/>
  <c r="H15" i="2"/>
  <c r="H19" i="2" s="1"/>
  <c r="H21" i="2" s="1"/>
  <c r="H23" i="2" s="1"/>
  <c r="H24" i="2" s="1"/>
  <c r="E15" i="2"/>
  <c r="E19" i="2" s="1"/>
  <c r="I34" i="2"/>
  <c r="G15" i="2"/>
  <c r="G19" i="2" s="1"/>
  <c r="G21" i="2" s="1"/>
  <c r="G23" i="2" s="1"/>
  <c r="G24" i="2" s="1"/>
  <c r="G34" i="2"/>
  <c r="S11" i="2" l="1"/>
  <c r="Q18" i="2"/>
  <c r="Q19" i="2" s="1"/>
  <c r="Q21" i="2" s="1"/>
  <c r="Q22" i="2" s="1"/>
  <c r="T4" i="2"/>
  <c r="S28" i="2"/>
  <c r="S6" i="2"/>
  <c r="S13" i="2" s="1"/>
  <c r="S17" i="2" s="1"/>
  <c r="R17" i="2"/>
  <c r="R37" i="2" s="1"/>
  <c r="R14" i="2"/>
  <c r="R15" i="2" s="1"/>
  <c r="R16" i="2"/>
  <c r="X3" i="2"/>
  <c r="W27" i="2"/>
  <c r="E21" i="2"/>
  <c r="E23" i="2" s="1"/>
  <c r="E24" i="2" s="1"/>
  <c r="T11" i="2" l="1"/>
  <c r="R36" i="2"/>
  <c r="R18" i="2"/>
  <c r="R19" i="2" s="1"/>
  <c r="S16" i="2"/>
  <c r="S37" i="2"/>
  <c r="S14" i="2"/>
  <c r="S15" i="2" s="1"/>
  <c r="U4" i="2"/>
  <c r="T28" i="2"/>
  <c r="T6" i="2"/>
  <c r="T13" i="2" s="1"/>
  <c r="T17" i="2" s="1"/>
  <c r="Q23" i="2"/>
  <c r="Q40" i="2" s="1"/>
  <c r="R20" i="2" s="1"/>
  <c r="Y3" i="2"/>
  <c r="X27" i="2"/>
  <c r="U11" i="2" l="1"/>
  <c r="R21" i="2"/>
  <c r="R22" i="2" s="1"/>
  <c r="R23" i="2" s="1"/>
  <c r="R40" i="2" s="1"/>
  <c r="S20" i="2" s="1"/>
  <c r="T14" i="2"/>
  <c r="T15" i="2" s="1"/>
  <c r="T37" i="2"/>
  <c r="V4" i="2"/>
  <c r="U28" i="2"/>
  <c r="U6" i="2"/>
  <c r="U13" i="2" s="1"/>
  <c r="U17" i="2" s="1"/>
  <c r="S18" i="2"/>
  <c r="S19" i="2" s="1"/>
  <c r="S36" i="2"/>
  <c r="Z3" i="2"/>
  <c r="Y27" i="2"/>
  <c r="V11" i="2" l="1"/>
  <c r="S21" i="2"/>
  <c r="S22" i="2" s="1"/>
  <c r="S23" i="2"/>
  <c r="S40" i="2" s="1"/>
  <c r="T20" i="2" s="1"/>
  <c r="U37" i="2"/>
  <c r="U14" i="2"/>
  <c r="U15" i="2" s="1"/>
  <c r="W4" i="2"/>
  <c r="V28" i="2"/>
  <c r="V6" i="2"/>
  <c r="V13" i="2" s="1"/>
  <c r="V17" i="2" s="1"/>
  <c r="T36" i="2"/>
  <c r="T18" i="2"/>
  <c r="T19" i="2" s="1"/>
  <c r="Z27" i="2"/>
  <c r="W11" i="2" l="1"/>
  <c r="V37" i="2"/>
  <c r="V14" i="2"/>
  <c r="V15" i="2" s="1"/>
  <c r="X4" i="2"/>
  <c r="W6" i="2"/>
  <c r="W13" i="2" s="1"/>
  <c r="W17" i="2" s="1"/>
  <c r="W28" i="2"/>
  <c r="U18" i="2"/>
  <c r="U19" i="2" s="1"/>
  <c r="U36" i="2"/>
  <c r="T21" i="2"/>
  <c r="T22" i="2" s="1"/>
  <c r="T23" i="2" s="1"/>
  <c r="T40" i="2" s="1"/>
  <c r="U20" i="2" s="1"/>
  <c r="U21" i="2" l="1"/>
  <c r="X11" i="2"/>
  <c r="V18" i="2"/>
  <c r="V19" i="2" s="1"/>
  <c r="V36" i="2"/>
  <c r="W14" i="2"/>
  <c r="W15" i="2" s="1"/>
  <c r="W37" i="2"/>
  <c r="Y4" i="2"/>
  <c r="X28" i="2"/>
  <c r="X6" i="2"/>
  <c r="U22" i="2" l="1"/>
  <c r="U23" i="2"/>
  <c r="U40" i="2" s="1"/>
  <c r="V20" i="2" s="1"/>
  <c r="V21" i="2" s="1"/>
  <c r="X13" i="2"/>
  <c r="X17" i="2" s="1"/>
  <c r="Z11" i="2"/>
  <c r="Y11" i="2"/>
  <c r="X14" i="2"/>
  <c r="X15" i="2" s="1"/>
  <c r="X37" i="2"/>
  <c r="Z4" i="2"/>
  <c r="Y28" i="2"/>
  <c r="Y6" i="2"/>
  <c r="W36" i="2"/>
  <c r="W18" i="2"/>
  <c r="W19" i="2" s="1"/>
  <c r="Y13" i="2" l="1"/>
  <c r="Y17" i="2" s="1"/>
  <c r="Y37" i="2"/>
  <c r="Y14" i="2"/>
  <c r="Y15" i="2"/>
  <c r="Z28" i="2"/>
  <c r="Z6" i="2"/>
  <c r="Z13" i="2" s="1"/>
  <c r="Z17" i="2" s="1"/>
  <c r="X18" i="2"/>
  <c r="X19" i="2" s="1"/>
  <c r="X36" i="2"/>
  <c r="V22" i="2"/>
  <c r="V23" i="2" s="1"/>
  <c r="Z14" i="2" l="1"/>
  <c r="Z15" i="2"/>
  <c r="Z37" i="2"/>
  <c r="Y18" i="2"/>
  <c r="Y19" i="2" s="1"/>
  <c r="Y36" i="2"/>
  <c r="V40" i="2"/>
  <c r="Z36" i="2" l="1"/>
  <c r="Z18" i="2"/>
  <c r="Z19" i="2" s="1"/>
  <c r="W20" i="2"/>
  <c r="W21" i="2" s="1"/>
  <c r="W22" i="2" l="1"/>
  <c r="W23" i="2" s="1"/>
  <c r="W40" i="2" l="1"/>
  <c r="X20" i="2" l="1"/>
  <c r="X21" i="2" s="1"/>
  <c r="X22" i="2" l="1"/>
  <c r="X23" i="2" s="1"/>
  <c r="X40" i="2" l="1"/>
  <c r="Y20" i="2" l="1"/>
  <c r="Y21" i="2" s="1"/>
  <c r="Y22" i="2" l="1"/>
  <c r="Y23" i="2" s="1"/>
  <c r="Y40" i="2" s="1"/>
  <c r="Z20" i="2" l="1"/>
  <c r="Z21" i="2" s="1"/>
  <c r="Z22" i="2" l="1"/>
  <c r="Z23" i="2" s="1"/>
  <c r="AA23" i="2" l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DO23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EF23" i="2" s="1"/>
  <c r="EG23" i="2" s="1"/>
  <c r="EH23" i="2" s="1"/>
  <c r="EI23" i="2" s="1"/>
  <c r="EJ23" i="2" s="1"/>
  <c r="EK23" i="2" s="1"/>
  <c r="EL23" i="2" s="1"/>
  <c r="EM23" i="2" s="1"/>
  <c r="EN23" i="2" s="1"/>
  <c r="EO23" i="2" s="1"/>
  <c r="EP23" i="2" s="1"/>
  <c r="EQ23" i="2" s="1"/>
  <c r="ER23" i="2" s="1"/>
  <c r="ES23" i="2" s="1"/>
  <c r="ET23" i="2" s="1"/>
  <c r="EU23" i="2" s="1"/>
  <c r="EV23" i="2" s="1"/>
  <c r="EW23" i="2" s="1"/>
  <c r="EX23" i="2" s="1"/>
  <c r="EY23" i="2" s="1"/>
  <c r="EZ23" i="2" s="1"/>
  <c r="FA23" i="2" s="1"/>
  <c r="FB23" i="2" s="1"/>
  <c r="FC23" i="2" s="1"/>
  <c r="FD23" i="2" s="1"/>
  <c r="FE23" i="2" s="1"/>
  <c r="FF23" i="2" s="1"/>
  <c r="FG23" i="2" s="1"/>
  <c r="FH23" i="2" s="1"/>
  <c r="FI23" i="2" s="1"/>
  <c r="FJ23" i="2" s="1"/>
  <c r="FK23" i="2" s="1"/>
  <c r="FL23" i="2" s="1"/>
  <c r="FM23" i="2" s="1"/>
  <c r="FN23" i="2" s="1"/>
  <c r="FO23" i="2" s="1"/>
  <c r="FP23" i="2" s="1"/>
  <c r="FQ23" i="2" s="1"/>
  <c r="FR23" i="2" s="1"/>
  <c r="FS23" i="2" s="1"/>
  <c r="FT23" i="2" s="1"/>
  <c r="FU23" i="2" s="1"/>
  <c r="FV23" i="2" s="1"/>
  <c r="FW23" i="2" s="1"/>
  <c r="FX23" i="2" s="1"/>
  <c r="FY23" i="2" s="1"/>
  <c r="FZ23" i="2" s="1"/>
  <c r="GA23" i="2" s="1"/>
  <c r="GB23" i="2" s="1"/>
  <c r="GC23" i="2" s="1"/>
  <c r="GD23" i="2" s="1"/>
  <c r="GE23" i="2" s="1"/>
  <c r="GF23" i="2" s="1"/>
  <c r="GG23" i="2" s="1"/>
  <c r="GH23" i="2" s="1"/>
  <c r="GI23" i="2" s="1"/>
  <c r="GJ23" i="2" s="1"/>
  <c r="GK23" i="2" s="1"/>
  <c r="GL23" i="2" s="1"/>
  <c r="GM23" i="2" s="1"/>
  <c r="GN23" i="2" s="1"/>
  <c r="GO23" i="2" s="1"/>
  <c r="GP23" i="2" s="1"/>
  <c r="GQ23" i="2" s="1"/>
  <c r="GR23" i="2" s="1"/>
  <c r="GS23" i="2" s="1"/>
  <c r="GT23" i="2" s="1"/>
  <c r="GU23" i="2" s="1"/>
  <c r="GV23" i="2" s="1"/>
  <c r="GW23" i="2" s="1"/>
  <c r="GX23" i="2" s="1"/>
  <c r="GY23" i="2" s="1"/>
  <c r="GZ23" i="2" s="1"/>
  <c r="HA23" i="2" s="1"/>
  <c r="HB23" i="2" s="1"/>
  <c r="HC23" i="2" s="1"/>
  <c r="HD23" i="2" s="1"/>
  <c r="HE23" i="2" s="1"/>
  <c r="HF23" i="2" s="1"/>
  <c r="HG23" i="2" s="1"/>
  <c r="HH23" i="2" s="1"/>
  <c r="HI23" i="2" s="1"/>
  <c r="HJ23" i="2" s="1"/>
  <c r="HK23" i="2" s="1"/>
  <c r="AC37" i="2" s="1"/>
  <c r="AC39" i="2" s="1"/>
  <c r="AC41" i="2" s="1"/>
  <c r="AD42" i="2" s="1"/>
  <c r="Z40" i="2"/>
  <c r="F11" i="2" l="1"/>
  <c r="J11" i="2"/>
  <c r="F6" i="2"/>
  <c r="J6" i="2"/>
  <c r="O2" i="2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O10" i="1"/>
  <c r="O8" i="1"/>
  <c r="O9" i="1"/>
  <c r="O7" i="1"/>
  <c r="J13" i="2" l="1"/>
  <c r="F13" i="2"/>
  <c r="F15" i="2" s="1"/>
  <c r="F19" i="2" s="1"/>
  <c r="F21" i="2" s="1"/>
  <c r="F23" i="2" s="1"/>
  <c r="F24" i="2" s="1"/>
  <c r="J15" i="2" l="1"/>
  <c r="J19" i="2" s="1"/>
  <c r="J21" i="2" s="1"/>
  <c r="J23" i="2" s="1"/>
  <c r="J24" i="2" s="1"/>
  <c r="J34" i="2"/>
</calcChain>
</file>

<file path=xl/sharedStrings.xml><?xml version="1.0" encoding="utf-8"?>
<sst xmlns="http://schemas.openxmlformats.org/spreadsheetml/2006/main" count="89" uniqueCount="75">
  <si>
    <t>Price</t>
  </si>
  <si>
    <t>S/O</t>
  </si>
  <si>
    <t xml:space="preserve">MC </t>
  </si>
  <si>
    <t xml:space="preserve">Cash </t>
  </si>
  <si>
    <t xml:space="preserve">Debt </t>
  </si>
  <si>
    <t xml:space="preserve">EV </t>
  </si>
  <si>
    <t>Q223</t>
  </si>
  <si>
    <t xml:space="preserve">Brand </t>
  </si>
  <si>
    <t xml:space="preserve">Generic </t>
  </si>
  <si>
    <t xml:space="preserve">Indication </t>
  </si>
  <si>
    <t xml:space="preserve">Phase </t>
  </si>
  <si>
    <t xml:space="preserve">MOA </t>
  </si>
  <si>
    <t>Economics</t>
  </si>
  <si>
    <t xml:space="preserve">IP </t>
  </si>
  <si>
    <t>Main</t>
  </si>
  <si>
    <t>Q122</t>
  </si>
  <si>
    <t>Q222</t>
  </si>
  <si>
    <t>Q322</t>
  </si>
  <si>
    <t>Q422</t>
  </si>
  <si>
    <t>Q123</t>
  </si>
  <si>
    <t>Q323</t>
  </si>
  <si>
    <t>Q423</t>
  </si>
  <si>
    <t>VIVITROL</t>
  </si>
  <si>
    <t>ARISTADA  and ARISTADA INITIO</t>
  </si>
  <si>
    <t xml:space="preserve">LYBALVI </t>
  </si>
  <si>
    <t xml:space="preserve">Product Revenue </t>
  </si>
  <si>
    <t>Schizophrenia</t>
  </si>
  <si>
    <t xml:space="preserve">aripiprazole lauroxil </t>
  </si>
  <si>
    <t xml:space="preserve">Marketed </t>
  </si>
  <si>
    <t xml:space="preserve">Bipolar 1 disorder </t>
  </si>
  <si>
    <t xml:space="preserve">olanzapine and samidorphan </t>
  </si>
  <si>
    <t xml:space="preserve">naltrexone </t>
  </si>
  <si>
    <t xml:space="preserve">alcohol &amp; opioid dependence </t>
  </si>
  <si>
    <t>III</t>
  </si>
  <si>
    <t>Schizophrenia or Bipolar I (pediatric)</t>
  </si>
  <si>
    <t xml:space="preserve">nemvaleukin alfa* </t>
  </si>
  <si>
    <t xml:space="preserve">Platinum-Resistant Ovarian Cancer </t>
  </si>
  <si>
    <t>Other Oncology and Neuroscience in Pipeline**</t>
  </si>
  <si>
    <t>Indication</t>
  </si>
  <si>
    <t>Q321</t>
  </si>
  <si>
    <t>Q421</t>
  </si>
  <si>
    <t xml:space="preserve">Long-acting INVEGA products </t>
  </si>
  <si>
    <t xml:space="preserve">VUMERITY </t>
  </si>
  <si>
    <t xml:space="preserve">RISPERDAL CONSTA </t>
  </si>
  <si>
    <t xml:space="preserve">Other </t>
  </si>
  <si>
    <t xml:space="preserve">Manufacturing and Royalty Revenue </t>
  </si>
  <si>
    <t xml:space="preserve">Other Revenue </t>
  </si>
  <si>
    <t xml:space="preserve">Revenue </t>
  </si>
  <si>
    <t xml:space="preserve">COGS </t>
  </si>
  <si>
    <t xml:space="preserve">R&amp;D </t>
  </si>
  <si>
    <t xml:space="preserve">SG&amp;A </t>
  </si>
  <si>
    <t xml:space="preserve">Operating Expenses </t>
  </si>
  <si>
    <t>Operating Income</t>
  </si>
  <si>
    <t>Other Income</t>
  </si>
  <si>
    <t xml:space="preserve">Pretax Income </t>
  </si>
  <si>
    <t xml:space="preserve">Taxes </t>
  </si>
  <si>
    <t>Net Income</t>
  </si>
  <si>
    <t xml:space="preserve">Gross Profit </t>
  </si>
  <si>
    <t xml:space="preserve">EPS </t>
  </si>
  <si>
    <t xml:space="preserve">Shares </t>
  </si>
  <si>
    <t>Revenue y/y</t>
  </si>
  <si>
    <t xml:space="preserve">Gross Margin </t>
  </si>
  <si>
    <t>VIVITROL y/y</t>
  </si>
  <si>
    <t>ARISTADA  and ARISTADA INITIO y/y</t>
  </si>
  <si>
    <t>LYBALVI y/y</t>
  </si>
  <si>
    <t>R&amp;D %</t>
  </si>
  <si>
    <t xml:space="preserve">SG&amp;A % </t>
  </si>
  <si>
    <t xml:space="preserve">ROIC </t>
  </si>
  <si>
    <t xml:space="preserve">Maturity </t>
  </si>
  <si>
    <t xml:space="preserve">Discount </t>
  </si>
  <si>
    <t xml:space="preserve">NPV </t>
  </si>
  <si>
    <t xml:space="preserve">Net NPV </t>
  </si>
  <si>
    <t xml:space="preserve">Share </t>
  </si>
  <si>
    <t xml:space="preserve">Current </t>
  </si>
  <si>
    <t xml:space="preserve">Net Cash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</si>
</sst>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2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4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0" fillId="0" borderId="0" xfId="2" applyFont="1"/>
    <xf numFmtId="9" fontId="1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0</xdr:row>
      <xdr:rowOff>44450</xdr:rowOff>
    </xdr:from>
    <xdr:to>
      <xdr:col>10</xdr:col>
      <xdr:colOff>12700</xdr:colOff>
      <xdr:row>39</xdr:row>
      <xdr:rowOff>146050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DB433A1-7B3B-FF47-753D-A5227CB19CBD}"/>
            </a:ext>
          </a:extLst>
        </xdr:cNvPr>
        <xdr:cNvCxnSpPr/>
      </xdr:nvCxnSpPr>
      <xdr:spPr>
        <a:xfrm>
          <a:off x="7461250" y="44450"/>
          <a:ext cx="6350" cy="599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603250</xdr:colOff>
      <xdr:row>0</xdr:row>
      <xdr:rowOff>82550</xdr:rowOff>
    </xdr:from>
    <xdr:to>
      <xdr:col>16</xdr:col>
      <xdr:colOff>31750</xdr:colOff>
      <xdr:row>39</xdr:row>
      <xdr:rowOff>120650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8C94C80-4B35-47DD-FB09-B0B3EE50861C}"/>
            </a:ext>
          </a:extLst>
        </xdr:cNvPr>
        <xdr:cNvCxnSpPr/>
      </xdr:nvCxnSpPr>
      <xdr:spPr>
        <a:xfrm flipH="1">
          <a:off x="11106150" y="82550"/>
          <a:ext cx="38100" cy="7219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P1048576"/>
  <sheetViews>
    <sheetView workbookViewId="0">
      <selection activeCell="D51" sqref="D51"/>
    </sheetView>
  </sheetViews>
  <sheetFormatPr defaultRowHeight="14.5" x14ac:dyDescent="0.35"/>
  <cols>
    <col min="3" max="3" width="28.1796875" bestFit="1" customWidth="1"/>
    <col min="4" max="4" width="25.90625" bestFit="1" customWidth="1"/>
    <col min="5" max="5" width="31.54296875" bestFit="1" customWidth="1"/>
    <col min="6" max="6" width="9.36328125" bestFit="1" customWidth="1"/>
  </cols>
  <sheetData>
    <row r="5" spans="3:16" x14ac:dyDescent="0.35">
      <c r="C5" s="8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10" t="s">
        <v>13</v>
      </c>
      <c r="N5" t="s">
        <v>0</v>
      </c>
      <c r="O5">
        <v>28.05</v>
      </c>
    </row>
    <row r="6" spans="3:16" x14ac:dyDescent="0.35">
      <c r="C6" s="3" t="s">
        <v>22</v>
      </c>
      <c r="D6" t="s">
        <v>31</v>
      </c>
      <c r="E6" t="s">
        <v>32</v>
      </c>
      <c r="F6" t="s">
        <v>28</v>
      </c>
      <c r="I6" s="4"/>
      <c r="N6" t="s">
        <v>1</v>
      </c>
      <c r="O6" s="1">
        <v>166.55873500000001</v>
      </c>
      <c r="P6" t="s">
        <v>6</v>
      </c>
    </row>
    <row r="7" spans="3:16" x14ac:dyDescent="0.35">
      <c r="C7" s="3" t="s">
        <v>23</v>
      </c>
      <c r="D7" t="s">
        <v>27</v>
      </c>
      <c r="E7" t="s">
        <v>26</v>
      </c>
      <c r="F7" t="s">
        <v>28</v>
      </c>
      <c r="I7" s="4"/>
      <c r="N7" t="s">
        <v>2</v>
      </c>
      <c r="O7" s="1">
        <f>O5*O6</f>
        <v>4671.9725167500001</v>
      </c>
    </row>
    <row r="8" spans="3:16" x14ac:dyDescent="0.35">
      <c r="C8" s="5" t="s">
        <v>24</v>
      </c>
      <c r="D8" s="6" t="s">
        <v>30</v>
      </c>
      <c r="E8" s="6" t="s">
        <v>29</v>
      </c>
      <c r="F8" s="6" t="s">
        <v>28</v>
      </c>
      <c r="G8" s="6"/>
      <c r="H8" s="6"/>
      <c r="I8" s="7"/>
      <c r="N8" t="s">
        <v>3</v>
      </c>
      <c r="O8" s="1">
        <f>665.795+163.254</f>
        <v>829.04899999999998</v>
      </c>
      <c r="P8" t="s">
        <v>6</v>
      </c>
    </row>
    <row r="9" spans="3:16" x14ac:dyDescent="0.35">
      <c r="C9" s="11"/>
      <c r="D9" s="12"/>
      <c r="E9" s="12"/>
      <c r="F9" s="12"/>
      <c r="G9" s="12"/>
      <c r="H9" s="12"/>
      <c r="I9" s="13"/>
      <c r="N9" t="s">
        <v>4</v>
      </c>
      <c r="O9" s="1">
        <f>3+15.192+289.001+82.342</f>
        <v>389.53499999999997</v>
      </c>
      <c r="P9" t="s">
        <v>6</v>
      </c>
    </row>
    <row r="10" spans="3:16" x14ac:dyDescent="0.35">
      <c r="C10" s="14"/>
      <c r="D10" s="15" t="s">
        <v>30</v>
      </c>
      <c r="E10" s="15" t="s">
        <v>34</v>
      </c>
      <c r="F10" s="15" t="s">
        <v>33</v>
      </c>
      <c r="G10" s="15"/>
      <c r="H10" s="15"/>
      <c r="I10" s="16"/>
      <c r="N10" t="s">
        <v>5</v>
      </c>
      <c r="O10" s="1">
        <f>O7-O8+O9</f>
        <v>4232.4585167499999</v>
      </c>
    </row>
    <row r="11" spans="3:16" x14ac:dyDescent="0.35">
      <c r="C11" s="3"/>
      <c r="I11" s="4"/>
    </row>
    <row r="12" spans="3:16" x14ac:dyDescent="0.35">
      <c r="C12" s="3"/>
      <c r="D12" t="s">
        <v>35</v>
      </c>
      <c r="E12" t="s">
        <v>36</v>
      </c>
      <c r="F12" t="s">
        <v>33</v>
      </c>
      <c r="I12" s="4"/>
    </row>
    <row r="13" spans="3:16" x14ac:dyDescent="0.35">
      <c r="C13" s="3"/>
      <c r="I13" s="4"/>
    </row>
    <row r="14" spans="3:16" x14ac:dyDescent="0.35">
      <c r="C14" s="3"/>
      <c r="D14" s="17" t="s">
        <v>37</v>
      </c>
      <c r="I14" s="4"/>
    </row>
    <row r="15" spans="3:16" x14ac:dyDescent="0.35">
      <c r="C15" s="5"/>
      <c r="D15" s="6"/>
      <c r="E15" s="6"/>
      <c r="F15" s="6"/>
      <c r="G15" s="6"/>
      <c r="H15" s="6"/>
      <c r="I15" s="7"/>
    </row>
    <row r="1048576" spans="4:4" x14ac:dyDescent="0.35">
      <c r="D104857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7C3F-C44B-4219-9C2C-AC57A6B5313A}">
  <dimension ref="A1:HK4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D34" sqref="AD34"/>
    </sheetView>
  </sheetViews>
  <sheetFormatPr defaultRowHeight="14.5" x14ac:dyDescent="0.35"/>
  <cols>
    <col min="1" max="1" width="5.08984375" bestFit="1" customWidth="1"/>
    <col min="2" max="2" width="31.81640625" bestFit="1" customWidth="1"/>
    <col min="3" max="9" width="8.7265625" style="1"/>
    <col min="10" max="10" width="8.7265625" style="1" customWidth="1"/>
    <col min="11" max="16384" width="8.7265625" style="1"/>
  </cols>
  <sheetData>
    <row r="1" spans="1:26" customFormat="1" x14ac:dyDescent="0.35">
      <c r="A1" s="2" t="s">
        <v>14</v>
      </c>
    </row>
    <row r="2" spans="1:26" customFormat="1" x14ac:dyDescent="0.35">
      <c r="C2" s="1" t="s">
        <v>39</v>
      </c>
      <c r="D2" t="s">
        <v>40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6</v>
      </c>
      <c r="K2" t="s">
        <v>20</v>
      </c>
      <c r="L2" t="s">
        <v>21</v>
      </c>
      <c r="N2">
        <v>2021</v>
      </c>
      <c r="O2">
        <f>N2+1</f>
        <v>2022</v>
      </c>
      <c r="P2">
        <f t="shared" ref="P2:Z2" si="0">O2+1</f>
        <v>2023</v>
      </c>
      <c r="Q2">
        <f t="shared" si="0"/>
        <v>2024</v>
      </c>
      <c r="R2">
        <f t="shared" si="0"/>
        <v>2025</v>
      </c>
      <c r="S2">
        <f t="shared" si="0"/>
        <v>2026</v>
      </c>
      <c r="T2">
        <f t="shared" si="0"/>
        <v>2027</v>
      </c>
      <c r="U2">
        <f t="shared" si="0"/>
        <v>2028</v>
      </c>
      <c r="V2">
        <f t="shared" si="0"/>
        <v>2029</v>
      </c>
      <c r="W2">
        <f t="shared" si="0"/>
        <v>2030</v>
      </c>
      <c r="X2">
        <f t="shared" si="0"/>
        <v>2031</v>
      </c>
      <c r="Y2">
        <f t="shared" si="0"/>
        <v>2032</v>
      </c>
      <c r="Z2">
        <f t="shared" si="0"/>
        <v>2033</v>
      </c>
    </row>
    <row r="3" spans="1:26" x14ac:dyDescent="0.35">
      <c r="B3" t="s">
        <v>22</v>
      </c>
      <c r="C3" s="1">
        <v>88.864000000000004</v>
      </c>
      <c r="D3" s="1">
        <v>92.037999999999997</v>
      </c>
      <c r="E3" s="1">
        <v>84.853999999999999</v>
      </c>
      <c r="F3" s="1">
        <v>96.105000000000004</v>
      </c>
      <c r="G3" s="1">
        <v>96.534000000000006</v>
      </c>
      <c r="H3" s="1">
        <f>379.478-G3-F3-E3</f>
        <v>101.985</v>
      </c>
      <c r="I3" s="1">
        <v>96.659000000000006</v>
      </c>
      <c r="J3" s="1">
        <v>102.071</v>
      </c>
      <c r="K3" s="1">
        <f>G3*1.1</f>
        <v>106.18740000000001</v>
      </c>
      <c r="L3" s="1">
        <f>H3*1.1</f>
        <v>112.18350000000001</v>
      </c>
      <c r="O3" s="1">
        <f>SUM(E3:H3)</f>
        <v>379.47800000000001</v>
      </c>
      <c r="P3" s="1">
        <f>SUM(I3:L3)</f>
        <v>417.10090000000002</v>
      </c>
      <c r="Q3" s="1">
        <f>P3*1.1</f>
        <v>458.81099000000006</v>
      </c>
      <c r="R3" s="1">
        <f>Q3*1.1</f>
        <v>504.69208900000012</v>
      </c>
      <c r="S3" s="1">
        <f t="shared" ref="R3:T3" si="1">R3*1.05</f>
        <v>529.92669345000013</v>
      </c>
      <c r="T3" s="1">
        <f t="shared" si="1"/>
        <v>556.42302812250011</v>
      </c>
      <c r="U3" s="1">
        <f>T3*1.05</f>
        <v>584.24417952862518</v>
      </c>
      <c r="V3" s="1">
        <f t="shared" ref="V3:Z3" si="2">U3*1.02</f>
        <v>595.92906311919774</v>
      </c>
      <c r="W3" s="1">
        <f t="shared" si="2"/>
        <v>607.84764438158174</v>
      </c>
      <c r="X3" s="1">
        <f t="shared" si="2"/>
        <v>620.00459726921338</v>
      </c>
      <c r="Y3" s="1">
        <f t="shared" si="2"/>
        <v>632.40468921459762</v>
      </c>
      <c r="Z3" s="1">
        <f t="shared" si="2"/>
        <v>645.0527829988896</v>
      </c>
    </row>
    <row r="4" spans="1:26" x14ac:dyDescent="0.35">
      <c r="B4" t="s">
        <v>23</v>
      </c>
      <c r="C4" s="1">
        <v>68.873000000000005</v>
      </c>
      <c r="D4" s="1">
        <v>78.662999999999997</v>
      </c>
      <c r="E4" s="1">
        <v>72.484999999999999</v>
      </c>
      <c r="F4" s="1">
        <v>74.622</v>
      </c>
      <c r="G4" s="1">
        <v>75.718999999999994</v>
      </c>
      <c r="H4" s="1">
        <f>302.052-G4-F4-E4</f>
        <v>79.226000000000013</v>
      </c>
      <c r="I4" s="1">
        <v>80.076999999999998</v>
      </c>
      <c r="J4" s="1">
        <v>82.409000000000006</v>
      </c>
      <c r="K4" s="1">
        <f>G4*1.1</f>
        <v>83.290899999999993</v>
      </c>
      <c r="L4" s="1">
        <f>H4*1.1</f>
        <v>87.148600000000016</v>
      </c>
      <c r="O4" s="1">
        <f>SUM(E4:H4)</f>
        <v>302.05200000000002</v>
      </c>
      <c r="P4" s="1">
        <f>SUM(I4:L4)</f>
        <v>332.9255</v>
      </c>
      <c r="Q4" s="1">
        <f>P4*1.1</f>
        <v>366.21805000000001</v>
      </c>
      <c r="R4" s="1">
        <f>Q4*1.1</f>
        <v>402.83985500000006</v>
      </c>
      <c r="S4" s="1">
        <f t="shared" ref="R4:T4" si="3">R4*1.05</f>
        <v>422.9818477500001</v>
      </c>
      <c r="T4" s="1">
        <f t="shared" si="3"/>
        <v>444.13094013750015</v>
      </c>
      <c r="U4" s="1">
        <f>T4*1.02</f>
        <v>453.01355894025016</v>
      </c>
      <c r="V4" s="1">
        <f t="shared" ref="V4:Z4" si="4">U4*1.02</f>
        <v>462.07383011905517</v>
      </c>
      <c r="W4" s="1">
        <f t="shared" si="4"/>
        <v>471.31530672143629</v>
      </c>
      <c r="X4" s="1">
        <f t="shared" si="4"/>
        <v>480.74161285586501</v>
      </c>
      <c r="Y4" s="1">
        <f t="shared" si="4"/>
        <v>490.35644511298233</v>
      </c>
      <c r="Z4" s="1">
        <f t="shared" si="4"/>
        <v>500.16357401524198</v>
      </c>
    </row>
    <row r="5" spans="1:26" x14ac:dyDescent="0.35">
      <c r="B5" t="s">
        <v>24</v>
      </c>
      <c r="C5" s="1">
        <v>0</v>
      </c>
      <c r="D5" s="1">
        <v>8.2149999999999999</v>
      </c>
      <c r="E5" s="1">
        <v>13.929</v>
      </c>
      <c r="F5" s="1">
        <v>20.059999999999999</v>
      </c>
      <c r="G5" s="1">
        <v>27.126999999999999</v>
      </c>
      <c r="H5" s="1">
        <f>96.022-G5-F5-E5</f>
        <v>34.906000000000006</v>
      </c>
      <c r="I5" s="1">
        <v>37.991</v>
      </c>
      <c r="J5" s="1">
        <v>46.997</v>
      </c>
      <c r="K5" s="1">
        <f>G5*2</f>
        <v>54.253999999999998</v>
      </c>
      <c r="L5" s="1">
        <v>60</v>
      </c>
      <c r="O5" s="1">
        <f>SUM(E5:H5)</f>
        <v>96.022000000000006</v>
      </c>
      <c r="P5" s="1">
        <f>SUM(I5:L5)</f>
        <v>199.24199999999999</v>
      </c>
      <c r="Q5" s="1">
        <f>P5*1.5</f>
        <v>298.863</v>
      </c>
      <c r="R5" s="1">
        <f>Q5*1.3</f>
        <v>388.52190000000002</v>
      </c>
      <c r="S5" s="1">
        <f t="shared" ref="S5" si="5">R5*1.2</f>
        <v>466.22627999999997</v>
      </c>
      <c r="T5" s="1">
        <f>S5*1.1</f>
        <v>512.84890800000005</v>
      </c>
      <c r="U5" s="1">
        <f>T5*1.05</f>
        <v>538.49135340000009</v>
      </c>
      <c r="V5" s="1">
        <f t="shared" ref="V5:Z5" si="6">U5*1.05</f>
        <v>565.41592107000008</v>
      </c>
      <c r="W5" s="1">
        <f t="shared" si="6"/>
        <v>593.6867171235001</v>
      </c>
      <c r="X5" s="1">
        <f t="shared" si="6"/>
        <v>623.37105297967514</v>
      </c>
      <c r="Y5" s="1">
        <f t="shared" si="6"/>
        <v>654.53960562865893</v>
      </c>
      <c r="Z5" s="1">
        <f t="shared" si="6"/>
        <v>687.26658591009186</v>
      </c>
    </row>
    <row r="6" spans="1:26" x14ac:dyDescent="0.35">
      <c r="B6" t="s">
        <v>25</v>
      </c>
      <c r="C6" s="1">
        <f t="shared" ref="C6:J6" si="7">SUM(C3:C5)</f>
        <v>157.73700000000002</v>
      </c>
      <c r="D6" s="1">
        <f t="shared" si="7"/>
        <v>178.916</v>
      </c>
      <c r="E6" s="1">
        <f t="shared" si="7"/>
        <v>171.268</v>
      </c>
      <c r="F6" s="1">
        <f t="shared" si="7"/>
        <v>190.78700000000001</v>
      </c>
      <c r="G6" s="1">
        <f t="shared" si="7"/>
        <v>199.38</v>
      </c>
      <c r="H6" s="1">
        <f t="shared" si="7"/>
        <v>216.11700000000002</v>
      </c>
      <c r="I6" s="1">
        <f t="shared" si="7"/>
        <v>214.72699999999998</v>
      </c>
      <c r="J6" s="1">
        <f t="shared" si="7"/>
        <v>231.47700000000003</v>
      </c>
      <c r="K6" s="1">
        <f t="shared" ref="K6:L6" si="8">SUM(K3:K5)</f>
        <v>243.73229999999998</v>
      </c>
      <c r="L6" s="1">
        <f t="shared" si="8"/>
        <v>259.33210000000003</v>
      </c>
      <c r="O6" s="1">
        <f>SUM(O3:O5)</f>
        <v>777.55200000000002</v>
      </c>
      <c r="P6" s="1">
        <f>SUM(P3:P5)</f>
        <v>949.26839999999993</v>
      </c>
      <c r="Q6" s="1">
        <f t="shared" ref="Q6:Z6" si="9">SUM(Q3:Q5)</f>
        <v>1123.8920400000002</v>
      </c>
      <c r="R6" s="1">
        <f t="shared" si="9"/>
        <v>1296.0538440000003</v>
      </c>
      <c r="S6" s="1">
        <f t="shared" si="9"/>
        <v>1419.1348212000003</v>
      </c>
      <c r="T6" s="1">
        <f t="shared" si="9"/>
        <v>1513.4028762600003</v>
      </c>
      <c r="U6" s="1">
        <f t="shared" si="9"/>
        <v>1575.7490918688754</v>
      </c>
      <c r="V6" s="1">
        <f t="shared" si="9"/>
        <v>1623.4188143082529</v>
      </c>
      <c r="W6" s="1">
        <f t="shared" si="9"/>
        <v>1672.8496682265181</v>
      </c>
      <c r="X6" s="1">
        <f t="shared" si="9"/>
        <v>1724.1172631047536</v>
      </c>
      <c r="Y6" s="1">
        <f t="shared" si="9"/>
        <v>1777.3007399562389</v>
      </c>
      <c r="Z6" s="1">
        <f t="shared" si="9"/>
        <v>1832.4829429242234</v>
      </c>
    </row>
    <row r="7" spans="1:26" x14ac:dyDescent="0.35">
      <c r="B7" t="s">
        <v>41</v>
      </c>
      <c r="C7" s="1">
        <v>79.322999999999993</v>
      </c>
      <c r="D7" s="1">
        <v>92.427000000000007</v>
      </c>
      <c r="E7" s="1">
        <v>37.054000000000002</v>
      </c>
      <c r="F7" s="1">
        <v>26.648</v>
      </c>
      <c r="G7" s="1">
        <v>26.736999999999998</v>
      </c>
      <c r="H7" s="1">
        <f>115.655-G7-F7-E7</f>
        <v>25.216000000000008</v>
      </c>
      <c r="I7" s="1">
        <v>13.561999999999999</v>
      </c>
      <c r="J7" s="1">
        <v>321.23899999999998</v>
      </c>
      <c r="K7" s="1">
        <f>G7*1.02</f>
        <v>27.271739999999998</v>
      </c>
      <c r="L7" s="1">
        <f>H7*1.02</f>
        <v>25.720320000000008</v>
      </c>
      <c r="O7" s="1">
        <f>SUM(E7:H7)</f>
        <v>115.655</v>
      </c>
      <c r="P7" s="1">
        <f>SUM(I7:L7)</f>
        <v>387.79306000000003</v>
      </c>
      <c r="Q7" s="1">
        <f>O7*1.05</f>
        <v>121.43775000000001</v>
      </c>
      <c r="R7" s="1">
        <f>Q7*1.02</f>
        <v>123.866505</v>
      </c>
      <c r="S7" s="1">
        <f t="shared" ref="S7:Z8" si="10">R7*1.02</f>
        <v>126.34383510000001</v>
      </c>
      <c r="T7" s="1">
        <f t="shared" si="10"/>
        <v>128.87071180200002</v>
      </c>
      <c r="U7" s="1">
        <f t="shared" si="10"/>
        <v>131.44812603804002</v>
      </c>
      <c r="V7" s="1">
        <f t="shared" si="10"/>
        <v>134.07708855880082</v>
      </c>
      <c r="W7" s="1">
        <f t="shared" si="10"/>
        <v>136.75863032997685</v>
      </c>
      <c r="X7" s="1">
        <f t="shared" si="10"/>
        <v>139.4938029365764</v>
      </c>
      <c r="Y7" s="1">
        <f t="shared" si="10"/>
        <v>142.28367899530792</v>
      </c>
      <c r="Z7" s="1">
        <f t="shared" si="10"/>
        <v>145.12935257521409</v>
      </c>
    </row>
    <row r="8" spans="1:26" x14ac:dyDescent="0.35">
      <c r="B8" t="s">
        <v>42</v>
      </c>
      <c r="C8" s="1">
        <v>26.748999999999999</v>
      </c>
      <c r="D8" s="1">
        <v>26.885000000000002</v>
      </c>
      <c r="E8" s="1">
        <v>30.594999999999999</v>
      </c>
      <c r="F8" s="1">
        <v>26.17</v>
      </c>
      <c r="G8" s="1">
        <v>26.25</v>
      </c>
      <c r="H8" s="1">
        <f>115.496-G8-F8-E8</f>
        <v>32.480999999999995</v>
      </c>
      <c r="I8" s="1">
        <v>28.873999999999999</v>
      </c>
      <c r="J8" s="1">
        <v>32.295000000000002</v>
      </c>
      <c r="K8" s="1">
        <f>G8*1.02</f>
        <v>26.775000000000002</v>
      </c>
      <c r="L8" s="1">
        <f>H8*1.02</f>
        <v>33.130619999999993</v>
      </c>
      <c r="O8" s="1">
        <f>SUM(E8:H8)</f>
        <v>115.496</v>
      </c>
      <c r="P8" s="1">
        <f>SUM(I8:L8)</f>
        <v>121.07462</v>
      </c>
      <c r="Q8" s="1">
        <f>P8*1.02</f>
        <v>123.4961124</v>
      </c>
      <c r="R8" s="1">
        <f t="shared" ref="R8:Z8" si="11">Q8*1.02</f>
        <v>125.966034648</v>
      </c>
      <c r="S8" s="1">
        <f t="shared" si="10"/>
        <v>128.48535534096001</v>
      </c>
      <c r="T8" s="1">
        <f t="shared" si="10"/>
        <v>131.05506244777922</v>
      </c>
      <c r="U8" s="1">
        <f t="shared" si="10"/>
        <v>133.67616369673482</v>
      </c>
      <c r="V8" s="1">
        <f t="shared" si="10"/>
        <v>136.34968697066952</v>
      </c>
      <c r="W8" s="1">
        <f t="shared" si="10"/>
        <v>139.07668071008291</v>
      </c>
      <c r="X8" s="1">
        <f t="shared" si="10"/>
        <v>141.85821432428457</v>
      </c>
      <c r="Y8" s="1">
        <f t="shared" si="10"/>
        <v>144.69537861077026</v>
      </c>
      <c r="Z8" s="1">
        <f t="shared" si="10"/>
        <v>147.58928618298566</v>
      </c>
    </row>
    <row r="9" spans="1:26" x14ac:dyDescent="0.35">
      <c r="B9" t="s">
        <v>43</v>
      </c>
      <c r="C9" s="1">
        <v>10.97</v>
      </c>
      <c r="E9" s="1">
        <v>17.425999999999998</v>
      </c>
      <c r="F9" s="1">
        <v>10.391</v>
      </c>
      <c r="G9" s="1">
        <v>10.228</v>
      </c>
      <c r="H9" s="1">
        <f>49.913-G9-F9-E9</f>
        <v>11.867999999999999</v>
      </c>
      <c r="I9" s="1">
        <v>10.981999999999999</v>
      </c>
      <c r="J9" s="1">
        <v>5.141</v>
      </c>
      <c r="K9" s="1">
        <f>G9*0.9</f>
        <v>9.2051999999999996</v>
      </c>
      <c r="L9" s="1">
        <f>H9*0.9</f>
        <v>10.681199999999999</v>
      </c>
      <c r="O9" s="1">
        <f>SUM(E9:H9)</f>
        <v>49.912999999999997</v>
      </c>
      <c r="P9" s="1">
        <f>SUM(I9:L9)</f>
        <v>36.009399999999992</v>
      </c>
      <c r="Q9" s="1">
        <f>P9*0.8</f>
        <v>28.807519999999997</v>
      </c>
      <c r="R9" s="1">
        <f t="shared" ref="R9:Z9" si="12">Q9*0.8</f>
        <v>23.046015999999998</v>
      </c>
      <c r="S9" s="1">
        <f t="shared" si="12"/>
        <v>18.436812799999998</v>
      </c>
      <c r="T9" s="1">
        <f t="shared" si="12"/>
        <v>14.74945024</v>
      </c>
      <c r="U9" s="1">
        <f t="shared" si="12"/>
        <v>11.799560192000001</v>
      </c>
      <c r="V9" s="1">
        <f t="shared" si="12"/>
        <v>9.4396481536000021</v>
      </c>
      <c r="W9" s="1">
        <f t="shared" si="12"/>
        <v>7.5517185228800017</v>
      </c>
      <c r="X9" s="1">
        <f t="shared" si="12"/>
        <v>6.0413748183040017</v>
      </c>
      <c r="Y9" s="1">
        <f t="shared" si="12"/>
        <v>4.8330998546432014</v>
      </c>
      <c r="Z9" s="1">
        <f t="shared" si="12"/>
        <v>3.8664798837145611</v>
      </c>
    </row>
    <row r="10" spans="1:26" x14ac:dyDescent="0.35">
      <c r="B10" t="s">
        <v>44</v>
      </c>
      <c r="C10" s="1">
        <v>19.251999999999999</v>
      </c>
      <c r="D10" s="1">
        <v>24.06</v>
      </c>
      <c r="E10" s="1">
        <v>20.094999999999999</v>
      </c>
      <c r="F10" s="1">
        <v>22.117000000000001</v>
      </c>
      <c r="G10" s="1">
        <v>-10.273999999999999</v>
      </c>
      <c r="H10" s="1">
        <f>50.919-G10-F10-E10</f>
        <v>18.980999999999995</v>
      </c>
      <c r="I10" s="1">
        <v>19.443999999999999</v>
      </c>
      <c r="J10" s="1">
        <v>27.238</v>
      </c>
      <c r="K10" s="1">
        <v>10</v>
      </c>
      <c r="L10" s="1">
        <v>10</v>
      </c>
      <c r="O10" s="1">
        <f>SUM(E10:H10)</f>
        <v>50.918999999999997</v>
      </c>
      <c r="P10" s="1">
        <f>SUM(I10:L10)</f>
        <v>66.682000000000002</v>
      </c>
      <c r="Q10" s="1">
        <f>P10*1.05</f>
        <v>70.016100000000009</v>
      </c>
      <c r="R10" s="1">
        <f t="shared" ref="R10:Z10" si="13">Q10*1.05</f>
        <v>73.516905000000008</v>
      </c>
      <c r="S10" s="1">
        <f t="shared" si="13"/>
        <v>77.192750250000017</v>
      </c>
      <c r="T10" s="1">
        <f t="shared" si="13"/>
        <v>81.052387762500018</v>
      </c>
      <c r="U10" s="1">
        <f t="shared" si="13"/>
        <v>85.105007150625028</v>
      </c>
      <c r="V10" s="1">
        <f t="shared" si="13"/>
        <v>89.36025750815628</v>
      </c>
      <c r="W10" s="1">
        <f t="shared" si="13"/>
        <v>93.828270383564103</v>
      </c>
      <c r="X10" s="1">
        <f t="shared" si="13"/>
        <v>98.519683902742315</v>
      </c>
      <c r="Y10" s="1">
        <f t="shared" si="13"/>
        <v>103.44566809787943</v>
      </c>
      <c r="Z10" s="1">
        <f t="shared" si="13"/>
        <v>108.61795150277341</v>
      </c>
    </row>
    <row r="11" spans="1:26" x14ac:dyDescent="0.35">
      <c r="B11" t="s">
        <v>45</v>
      </c>
      <c r="C11" s="1">
        <f t="shared" ref="C11:J11" si="14">SUM(C7:C10)</f>
        <v>136.29399999999998</v>
      </c>
      <c r="D11" s="1">
        <f t="shared" si="14"/>
        <v>143.37200000000001</v>
      </c>
      <c r="E11" s="1">
        <f t="shared" si="14"/>
        <v>105.17</v>
      </c>
      <c r="F11" s="1">
        <f t="shared" si="14"/>
        <v>85.325999999999993</v>
      </c>
      <c r="G11" s="1">
        <f t="shared" si="14"/>
        <v>52.940999999999995</v>
      </c>
      <c r="H11" s="1">
        <f t="shared" si="14"/>
        <v>88.545999999999992</v>
      </c>
      <c r="I11" s="1">
        <f t="shared" si="14"/>
        <v>72.861999999999995</v>
      </c>
      <c r="J11" s="1">
        <f t="shared" si="14"/>
        <v>385.91300000000001</v>
      </c>
      <c r="K11" s="1">
        <f t="shared" ref="K11:L11" si="15">SUM(K7:K10)</f>
        <v>73.251939999999991</v>
      </c>
      <c r="L11" s="1">
        <f t="shared" si="15"/>
        <v>79.532139999999998</v>
      </c>
      <c r="O11" s="1">
        <f>SUM(O7:O10)</f>
        <v>331.983</v>
      </c>
      <c r="P11" s="1">
        <f>SUM(P7:P10)</f>
        <v>611.55907999999999</v>
      </c>
      <c r="Q11" s="1">
        <f t="shared" ref="Q11:Z11" si="16">SUM(Q7:Q10)</f>
        <v>343.75748240000001</v>
      </c>
      <c r="R11" s="1">
        <f t="shared" si="16"/>
        <v>346.39546064800004</v>
      </c>
      <c r="S11" s="1">
        <f t="shared" si="16"/>
        <v>350.45875349096002</v>
      </c>
      <c r="T11" s="1">
        <f t="shared" si="16"/>
        <v>355.72761225227924</v>
      </c>
      <c r="U11" s="1">
        <f t="shared" si="16"/>
        <v>362.02885707739983</v>
      </c>
      <c r="V11" s="1">
        <f t="shared" si="16"/>
        <v>369.22668119122659</v>
      </c>
      <c r="W11" s="1">
        <f t="shared" si="16"/>
        <v>377.21529994650382</v>
      </c>
      <c r="X11" s="1">
        <f t="shared" si="16"/>
        <v>385.9130759819073</v>
      </c>
      <c r="Y11" s="1">
        <f t="shared" si="16"/>
        <v>395.25782555860081</v>
      </c>
      <c r="Z11" s="1">
        <f t="shared" si="16"/>
        <v>405.20307014468767</v>
      </c>
    </row>
    <row r="12" spans="1:26" x14ac:dyDescent="0.35">
      <c r="B12" t="s">
        <v>46</v>
      </c>
      <c r="C12" s="1">
        <v>0.11</v>
      </c>
      <c r="D12" s="1">
        <f>2+0.175</f>
        <v>2.1749999999999998</v>
      </c>
      <c r="E12" s="1">
        <f>2+0.107</f>
        <v>2.1070000000000002</v>
      </c>
      <c r="F12" s="1">
        <v>0.106</v>
      </c>
      <c r="G12" s="1">
        <v>3.5999999999999997E-2</v>
      </c>
      <c r="H12" s="1">
        <v>1.0999999999999999E-2</v>
      </c>
      <c r="I12" s="1">
        <v>6.0000000000000001E-3</v>
      </c>
      <c r="J12" s="1">
        <v>7.0000000000000001E-3</v>
      </c>
      <c r="K12" s="1">
        <v>0</v>
      </c>
      <c r="L12" s="1">
        <v>0</v>
      </c>
      <c r="O12" s="1">
        <f>SUM(E12:H12)</f>
        <v>2.2600000000000002</v>
      </c>
      <c r="P12" s="1">
        <f>SUM(I12:L12)</f>
        <v>1.3000000000000001E-2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s="20" customFormat="1" x14ac:dyDescent="0.35">
      <c r="A13" s="19"/>
      <c r="B13" s="19" t="s">
        <v>47</v>
      </c>
      <c r="C13" s="20">
        <f t="shared" ref="C13:J13" si="17">C12+C11+C6</f>
        <v>294.14100000000002</v>
      </c>
      <c r="D13" s="20">
        <f t="shared" si="17"/>
        <v>324.46300000000002</v>
      </c>
      <c r="E13" s="20">
        <f t="shared" si="17"/>
        <v>278.54500000000002</v>
      </c>
      <c r="F13" s="20">
        <f t="shared" si="17"/>
        <v>276.21899999999999</v>
      </c>
      <c r="G13" s="20">
        <f t="shared" si="17"/>
        <v>252.357</v>
      </c>
      <c r="H13" s="20">
        <f t="shared" si="17"/>
        <v>304.67399999999998</v>
      </c>
      <c r="I13" s="20">
        <f t="shared" si="17"/>
        <v>287.59499999999997</v>
      </c>
      <c r="J13" s="20">
        <f t="shared" si="17"/>
        <v>617.39700000000005</v>
      </c>
      <c r="K13" s="20">
        <f t="shared" ref="K13:L13" si="18">K12+K11+K6</f>
        <v>316.98424</v>
      </c>
      <c r="L13" s="20">
        <f t="shared" si="18"/>
        <v>338.86424</v>
      </c>
      <c r="O13" s="20">
        <f>O12+O11+O6</f>
        <v>1111.7950000000001</v>
      </c>
      <c r="P13" s="20">
        <f>P12+P11+P6</f>
        <v>1560.8404799999998</v>
      </c>
      <c r="Q13" s="20">
        <f t="shared" ref="Q13:Z13" si="19">Q12+Q11+Q6</f>
        <v>1467.6495224000003</v>
      </c>
      <c r="R13" s="20">
        <f t="shared" si="19"/>
        <v>1642.4493046480002</v>
      </c>
      <c r="S13" s="20">
        <f t="shared" si="19"/>
        <v>1769.5935746909604</v>
      </c>
      <c r="T13" s="20">
        <f t="shared" si="19"/>
        <v>1869.1304885122795</v>
      </c>
      <c r="U13" s="20">
        <f t="shared" si="19"/>
        <v>1937.7779489462753</v>
      </c>
      <c r="V13" s="20">
        <f t="shared" si="19"/>
        <v>1992.6454954994795</v>
      </c>
      <c r="W13" s="20">
        <f t="shared" si="19"/>
        <v>2050.064968173022</v>
      </c>
      <c r="X13" s="20">
        <f t="shared" si="19"/>
        <v>2110.0303390866611</v>
      </c>
      <c r="Y13" s="20">
        <f t="shared" si="19"/>
        <v>2172.5585655148398</v>
      </c>
      <c r="Z13" s="20">
        <f t="shared" si="19"/>
        <v>2237.6860130689111</v>
      </c>
    </row>
    <row r="14" spans="1:26" x14ac:dyDescent="0.35">
      <c r="B14" t="s">
        <v>48</v>
      </c>
      <c r="C14" s="1">
        <v>49.561</v>
      </c>
      <c r="D14" s="1">
        <v>53.682000000000002</v>
      </c>
      <c r="E14" s="1">
        <v>55.158999999999999</v>
      </c>
      <c r="F14" s="1">
        <v>58.36</v>
      </c>
      <c r="G14" s="1">
        <v>50.625</v>
      </c>
      <c r="H14" s="1">
        <v>53.963999999999999</v>
      </c>
      <c r="I14" s="1">
        <v>58.174999999999997</v>
      </c>
      <c r="J14" s="1">
        <v>63.26</v>
      </c>
      <c r="K14" s="1">
        <f>K13*0.2</f>
        <v>63.396848000000006</v>
      </c>
      <c r="L14" s="1">
        <f>L13*0.2</f>
        <v>67.772847999999996</v>
      </c>
      <c r="O14" s="1">
        <f>SUM(E14:H14)</f>
        <v>218.108</v>
      </c>
      <c r="P14" s="1">
        <f>SUM(I14:L14)</f>
        <v>252.60469599999999</v>
      </c>
      <c r="Q14" s="1">
        <f>Q13*0.2</f>
        <v>293.52990448000008</v>
      </c>
      <c r="R14" s="1">
        <f t="shared" ref="R14:Z14" si="20">R13*0.2</f>
        <v>328.48986092960007</v>
      </c>
      <c r="S14" s="1">
        <f t="shared" si="20"/>
        <v>353.91871493819212</v>
      </c>
      <c r="T14" s="1">
        <f t="shared" si="20"/>
        <v>373.82609770245591</v>
      </c>
      <c r="U14" s="1">
        <f t="shared" si="20"/>
        <v>387.55558978925507</v>
      </c>
      <c r="V14" s="1">
        <f t="shared" si="20"/>
        <v>398.52909909989592</v>
      </c>
      <c r="W14" s="1">
        <f t="shared" si="20"/>
        <v>410.01299363460441</v>
      </c>
      <c r="X14" s="1">
        <f t="shared" si="20"/>
        <v>422.00606781733222</v>
      </c>
      <c r="Y14" s="1">
        <f t="shared" si="20"/>
        <v>434.51171310296797</v>
      </c>
      <c r="Z14" s="1">
        <f t="shared" si="20"/>
        <v>447.53720261378226</v>
      </c>
    </row>
    <row r="15" spans="1:26" x14ac:dyDescent="0.35">
      <c r="B15" t="s">
        <v>57</v>
      </c>
      <c r="C15" s="1">
        <f t="shared" ref="C15:J15" si="21">C13-C14</f>
        <v>244.58</v>
      </c>
      <c r="D15" s="1">
        <f t="shared" si="21"/>
        <v>270.78100000000001</v>
      </c>
      <c r="E15" s="1">
        <f t="shared" si="21"/>
        <v>223.38600000000002</v>
      </c>
      <c r="F15" s="1">
        <f t="shared" si="21"/>
        <v>217.85899999999998</v>
      </c>
      <c r="G15" s="1">
        <f t="shared" si="21"/>
        <v>201.732</v>
      </c>
      <c r="H15" s="1">
        <f t="shared" si="21"/>
        <v>250.70999999999998</v>
      </c>
      <c r="I15" s="1">
        <f t="shared" si="21"/>
        <v>229.41999999999996</v>
      </c>
      <c r="J15" s="1">
        <f t="shared" si="21"/>
        <v>554.13700000000006</v>
      </c>
      <c r="K15" s="1">
        <f t="shared" ref="K15:L15" si="22">K13-K14</f>
        <v>253.58739199999999</v>
      </c>
      <c r="L15" s="1">
        <f t="shared" si="22"/>
        <v>271.09139199999998</v>
      </c>
      <c r="O15" s="1">
        <f t="shared" ref="O15:P15" si="23">O13-O14</f>
        <v>893.68700000000013</v>
      </c>
      <c r="P15" s="1">
        <f t="shared" si="23"/>
        <v>1308.235784</v>
      </c>
      <c r="Q15" s="1">
        <f t="shared" ref="Q15" si="24">Q13-Q14</f>
        <v>1174.1196179200001</v>
      </c>
      <c r="R15" s="1">
        <f t="shared" ref="R15" si="25">R13-R14</f>
        <v>1313.9594437184001</v>
      </c>
      <c r="S15" s="1">
        <f t="shared" ref="S15" si="26">S13-S14</f>
        <v>1415.6748597527683</v>
      </c>
      <c r="T15" s="1">
        <f t="shared" ref="T15" si="27">T13-T14</f>
        <v>1495.3043908098236</v>
      </c>
      <c r="U15" s="1">
        <f t="shared" ref="U15" si="28">U13-U14</f>
        <v>1550.2223591570203</v>
      </c>
      <c r="V15" s="1">
        <f t="shared" ref="V15" si="29">V13-V14</f>
        <v>1594.1163963995837</v>
      </c>
      <c r="W15" s="1">
        <f t="shared" ref="W15" si="30">W13-W14</f>
        <v>1640.0519745384177</v>
      </c>
      <c r="X15" s="1">
        <f t="shared" ref="X15" si="31">X13-X14</f>
        <v>1688.0242712693289</v>
      </c>
      <c r="Y15" s="1">
        <f t="shared" ref="Y15" si="32">Y13-Y14</f>
        <v>1738.0468524118719</v>
      </c>
      <c r="Z15" s="1">
        <f t="shared" ref="Z15" si="33">Z13-Z14</f>
        <v>1790.1488104551288</v>
      </c>
    </row>
    <row r="16" spans="1:26" x14ac:dyDescent="0.35">
      <c r="B16" t="s">
        <v>49</v>
      </c>
      <c r="C16" s="1">
        <v>118.411</v>
      </c>
      <c r="D16" s="1">
        <v>98.373999999999995</v>
      </c>
      <c r="E16" s="1">
        <v>95.953000000000003</v>
      </c>
      <c r="F16" s="1">
        <v>92.873000000000005</v>
      </c>
      <c r="G16" s="1">
        <v>100.43</v>
      </c>
      <c r="H16" s="1">
        <v>104.586</v>
      </c>
      <c r="I16" s="1">
        <v>93.637</v>
      </c>
      <c r="J16" s="1">
        <v>100.788</v>
      </c>
      <c r="K16" s="1">
        <v>100</v>
      </c>
      <c r="L16" s="1">
        <v>100</v>
      </c>
      <c r="O16" s="1">
        <f>SUM(E16:H16)</f>
        <v>393.84200000000004</v>
      </c>
      <c r="P16" s="1">
        <f>SUM(I16:L16)</f>
        <v>394.42500000000001</v>
      </c>
      <c r="Q16" s="1">
        <f>Q13*0.26</f>
        <v>381.58887582400007</v>
      </c>
      <c r="R16" s="1">
        <f t="shared" ref="R16:Z16" si="34">R13*0.26</f>
        <v>427.03681920848004</v>
      </c>
      <c r="S16" s="1">
        <f t="shared" si="34"/>
        <v>460.09432941964974</v>
      </c>
      <c r="T16" s="1">
        <f>T13*0.24</f>
        <v>448.59131724294707</v>
      </c>
      <c r="U16" s="1">
        <f t="shared" ref="U16:V16" si="35">U13*0.24</f>
        <v>465.06670774710602</v>
      </c>
      <c r="V16" s="1">
        <f t="shared" si="35"/>
        <v>478.23491891987504</v>
      </c>
      <c r="W16" s="1">
        <f>W13*0.22</f>
        <v>451.01429299806483</v>
      </c>
      <c r="X16" s="1">
        <f t="shared" ref="X16:Z16" si="36">X13*0.22</f>
        <v>464.20667459906542</v>
      </c>
      <c r="Y16" s="1">
        <f t="shared" si="36"/>
        <v>477.96288441326476</v>
      </c>
      <c r="Z16" s="1">
        <f t="shared" si="36"/>
        <v>492.29092287516045</v>
      </c>
    </row>
    <row r="17" spans="1:219" x14ac:dyDescent="0.35">
      <c r="B17" t="s">
        <v>50</v>
      </c>
      <c r="C17" s="1">
        <v>136.21299999999999</v>
      </c>
      <c r="D17" s="1">
        <v>160.40799999999999</v>
      </c>
      <c r="E17" s="1">
        <v>145.05199999999999</v>
      </c>
      <c r="F17" s="1">
        <v>150.37700000000001</v>
      </c>
      <c r="G17" s="1">
        <v>152.77699999999999</v>
      </c>
      <c r="H17" s="1">
        <v>157.541</v>
      </c>
      <c r="I17" s="1">
        <v>174.477</v>
      </c>
      <c r="J17" s="1">
        <v>205.25800000000001</v>
      </c>
      <c r="K17" s="1">
        <f>G17*0.99</f>
        <v>151.24922999999998</v>
      </c>
      <c r="L17" s="1">
        <f>H17*0.99</f>
        <v>155.96558999999999</v>
      </c>
      <c r="O17" s="1">
        <f>SUM(E17:H17)</f>
        <v>605.74699999999996</v>
      </c>
      <c r="P17" s="1">
        <f>SUM(I17:L17)</f>
        <v>686.94982000000005</v>
      </c>
      <c r="Q17" s="1">
        <f>Q13*0.44</f>
        <v>645.76578985600008</v>
      </c>
      <c r="R17" s="1">
        <f t="shared" ref="R17:Z17" si="37">R13*0.44</f>
        <v>722.67769404512012</v>
      </c>
      <c r="S17" s="1">
        <f>S13*0.4</f>
        <v>707.83742987638425</v>
      </c>
      <c r="T17" s="1">
        <f t="shared" ref="T17:U17" si="38">T13*0.4</f>
        <v>747.65219540491182</v>
      </c>
      <c r="U17" s="1">
        <f t="shared" si="38"/>
        <v>775.11117957851013</v>
      </c>
      <c r="V17" s="1">
        <f>V13*0.38</f>
        <v>757.20528828980218</v>
      </c>
      <c r="W17" s="1">
        <f t="shared" ref="W17:Y17" si="39">W13*0.38</f>
        <v>779.02468790574835</v>
      </c>
      <c r="X17" s="1">
        <f t="shared" si="39"/>
        <v>801.81152885293125</v>
      </c>
      <c r="Y17" s="1">
        <f>Y13*0.35</f>
        <v>760.39549793019387</v>
      </c>
      <c r="Z17" s="1">
        <f>Z13*0.35</f>
        <v>783.19010457411878</v>
      </c>
    </row>
    <row r="18" spans="1:219" x14ac:dyDescent="0.35">
      <c r="B18" t="s">
        <v>51</v>
      </c>
      <c r="C18" s="1">
        <f t="shared" ref="C18:J18" si="40">SUM(C16:C17)</f>
        <v>254.624</v>
      </c>
      <c r="D18" s="1">
        <f t="shared" si="40"/>
        <v>258.78199999999998</v>
      </c>
      <c r="E18" s="1">
        <f t="shared" si="40"/>
        <v>241.005</v>
      </c>
      <c r="F18" s="1">
        <f t="shared" si="40"/>
        <v>243.25</v>
      </c>
      <c r="G18" s="1">
        <f t="shared" si="40"/>
        <v>253.20699999999999</v>
      </c>
      <c r="H18" s="1">
        <f t="shared" si="40"/>
        <v>262.12700000000001</v>
      </c>
      <c r="I18" s="1">
        <f t="shared" si="40"/>
        <v>268.11400000000003</v>
      </c>
      <c r="J18" s="1">
        <f t="shared" si="40"/>
        <v>306.04599999999999</v>
      </c>
      <c r="K18" s="1">
        <f t="shared" ref="K18:L18" si="41">SUM(K16:K17)</f>
        <v>251.24922999999998</v>
      </c>
      <c r="L18" s="1">
        <f t="shared" si="41"/>
        <v>255.96558999999999</v>
      </c>
      <c r="O18" s="1">
        <f t="shared" ref="O18:P18" si="42">SUM(O16:O17)</f>
        <v>999.58899999999994</v>
      </c>
      <c r="P18" s="1">
        <f t="shared" si="42"/>
        <v>1081.37482</v>
      </c>
      <c r="Q18" s="1">
        <f t="shared" ref="Q18" si="43">SUM(Q16:Q17)</f>
        <v>1027.3546656800002</v>
      </c>
      <c r="R18" s="1">
        <f t="shared" ref="R18" si="44">SUM(R16:R17)</f>
        <v>1149.7145132536002</v>
      </c>
      <c r="S18" s="1">
        <f t="shared" ref="S18" si="45">SUM(S16:S17)</f>
        <v>1167.931759296034</v>
      </c>
      <c r="T18" s="1">
        <f t="shared" ref="T18" si="46">SUM(T16:T17)</f>
        <v>1196.243512647859</v>
      </c>
      <c r="U18" s="1">
        <f t="shared" ref="U18" si="47">SUM(U16:U17)</f>
        <v>1240.1778873256162</v>
      </c>
      <c r="V18" s="1">
        <f t="shared" ref="V18" si="48">SUM(V16:V17)</f>
        <v>1235.4402072096773</v>
      </c>
      <c r="W18" s="1">
        <f t="shared" ref="W18" si="49">SUM(W16:W17)</f>
        <v>1230.0389809038131</v>
      </c>
      <c r="X18" s="1">
        <f t="shared" ref="X18" si="50">SUM(X16:X17)</f>
        <v>1266.0182034519967</v>
      </c>
      <c r="Y18" s="1">
        <f t="shared" ref="Y18" si="51">SUM(Y16:Y17)</f>
        <v>1238.3583823434587</v>
      </c>
      <c r="Z18" s="1">
        <f t="shared" ref="Z18" si="52">SUM(Z16:Z17)</f>
        <v>1275.4810274492793</v>
      </c>
    </row>
    <row r="19" spans="1:219" x14ac:dyDescent="0.35">
      <c r="B19" t="s">
        <v>52</v>
      </c>
      <c r="C19" s="1">
        <f t="shared" ref="C19:J19" si="53">C15-C18</f>
        <v>-10.043999999999983</v>
      </c>
      <c r="D19" s="1">
        <f t="shared" si="53"/>
        <v>11.999000000000024</v>
      </c>
      <c r="E19" s="1">
        <f t="shared" si="53"/>
        <v>-17.618999999999971</v>
      </c>
      <c r="F19" s="1">
        <f t="shared" si="53"/>
        <v>-25.39100000000002</v>
      </c>
      <c r="G19" s="1">
        <f t="shared" si="53"/>
        <v>-51.474999999999994</v>
      </c>
      <c r="H19" s="1">
        <f t="shared" si="53"/>
        <v>-11.41700000000003</v>
      </c>
      <c r="I19" s="1">
        <f t="shared" si="53"/>
        <v>-38.694000000000074</v>
      </c>
      <c r="J19" s="1">
        <f t="shared" si="53"/>
        <v>248.09100000000007</v>
      </c>
      <c r="K19" s="1">
        <f t="shared" ref="K19:L19" si="54">K15-K18</f>
        <v>2.3381620000000112</v>
      </c>
      <c r="L19" s="1">
        <f t="shared" si="54"/>
        <v>15.125801999999993</v>
      </c>
      <c r="O19" s="1">
        <f t="shared" ref="O19:P19" si="55">O15-O18</f>
        <v>-105.90199999999982</v>
      </c>
      <c r="P19" s="1">
        <f t="shared" si="55"/>
        <v>226.86096399999997</v>
      </c>
      <c r="Q19" s="1">
        <f t="shared" ref="Q19" si="56">Q15-Q18</f>
        <v>146.76495223999996</v>
      </c>
      <c r="R19" s="1">
        <f t="shared" ref="R19" si="57">R15-R18</f>
        <v>164.24493046479984</v>
      </c>
      <c r="S19" s="1">
        <f t="shared" ref="S19" si="58">S15-S18</f>
        <v>247.74310045673428</v>
      </c>
      <c r="T19" s="1">
        <f t="shared" ref="T19" si="59">T15-T18</f>
        <v>299.06087816196464</v>
      </c>
      <c r="U19" s="1">
        <f t="shared" ref="U19" si="60">U15-U18</f>
        <v>310.04447183140405</v>
      </c>
      <c r="V19" s="1">
        <f t="shared" ref="V19" si="61">V15-V18</f>
        <v>358.67618918990638</v>
      </c>
      <c r="W19" s="1">
        <f t="shared" ref="W19" si="62">W15-W18</f>
        <v>410.01299363460453</v>
      </c>
      <c r="X19" s="1">
        <f t="shared" ref="X19" si="63">X15-X18</f>
        <v>422.00606781733222</v>
      </c>
      <c r="Y19" s="1">
        <f t="shared" ref="Y19:Z19" si="64">Y15-Y18</f>
        <v>499.68847006841315</v>
      </c>
      <c r="Z19" s="1">
        <f t="shared" si="64"/>
        <v>514.66778300584951</v>
      </c>
    </row>
    <row r="20" spans="1:219" x14ac:dyDescent="0.35">
      <c r="B20" t="s">
        <v>53</v>
      </c>
      <c r="C20" s="1">
        <f>0.468+-2.437+-5.195+0.288</f>
        <v>-6.8759999999999994</v>
      </c>
      <c r="D20" s="1">
        <f>0.453+-2.405+-0.75+0.546</f>
        <v>-2.1559999999999997</v>
      </c>
      <c r="E20" s="1">
        <f>0.573+-2.35+-19.067+2.431</f>
        <v>-18.413</v>
      </c>
      <c r="F20" s="1">
        <f>0.896+-2.369+0.87+1.81</f>
        <v>1.2069999999999999</v>
      </c>
      <c r="G20" s="1">
        <f>2.239+-3.552+-3.553+-1.861</f>
        <v>-6.7269999999999994</v>
      </c>
      <c r="H20" s="1">
        <f>3.921-4.769</f>
        <v>-0.84800000000000031</v>
      </c>
      <c r="I20" s="1">
        <f>4.966+-5.288-0.039</f>
        <v>-0.36100000000000004</v>
      </c>
      <c r="J20" s="1">
        <f>6.769-5.684-0.525</f>
        <v>0.55999999999999994</v>
      </c>
      <c r="K20" s="1">
        <v>0</v>
      </c>
      <c r="L20" s="1">
        <v>0</v>
      </c>
      <c r="O20" s="1">
        <f>SUM(E20:H20)</f>
        <v>-24.780999999999999</v>
      </c>
      <c r="P20" s="1">
        <f>SUM(I20:L20)</f>
        <v>0.1989999999999999</v>
      </c>
      <c r="Q20" s="1">
        <f>J40*AC34</f>
        <v>21.975700000000003</v>
      </c>
      <c r="R20" s="1">
        <f>Q40*$AC$34</f>
        <v>29.147177720200002</v>
      </c>
      <c r="S20" s="1">
        <f t="shared" ref="S20:Z20" si="65">R40*$AC$34</f>
        <v>37.366342318062493</v>
      </c>
      <c r="T20" s="1">
        <f t="shared" si="65"/>
        <v>49.483493635991358</v>
      </c>
      <c r="U20" s="1">
        <f t="shared" si="65"/>
        <v>64.296629437404491</v>
      </c>
      <c r="V20" s="1">
        <f t="shared" si="65"/>
        <v>80.206126241328846</v>
      </c>
      <c r="W20" s="1">
        <f t="shared" si="65"/>
        <v>98.858624647156347</v>
      </c>
      <c r="X20" s="1">
        <f t="shared" si="65"/>
        <v>120.48566842413118</v>
      </c>
      <c r="Y20" s="1">
        <f t="shared" si="65"/>
        <v>143.54156721439338</v>
      </c>
      <c r="Z20" s="1">
        <f t="shared" si="65"/>
        <v>170.87884379891267</v>
      </c>
    </row>
    <row r="21" spans="1:219" x14ac:dyDescent="0.35">
      <c r="B21" t="s">
        <v>54</v>
      </c>
      <c r="C21" s="1">
        <f t="shared" ref="C21:J21" si="66">C19+C20</f>
        <v>-16.91999999999998</v>
      </c>
      <c r="D21" s="1">
        <f t="shared" si="66"/>
        <v>9.8430000000000248</v>
      </c>
      <c r="E21" s="1">
        <f t="shared" si="66"/>
        <v>-36.031999999999968</v>
      </c>
      <c r="F21" s="1">
        <f t="shared" si="66"/>
        <v>-24.184000000000019</v>
      </c>
      <c r="G21" s="1">
        <f t="shared" si="66"/>
        <v>-58.201999999999991</v>
      </c>
      <c r="H21" s="1">
        <f t="shared" si="66"/>
        <v>-12.265000000000031</v>
      </c>
      <c r="I21" s="1">
        <f t="shared" si="66"/>
        <v>-39.055000000000071</v>
      </c>
      <c r="J21" s="1">
        <f t="shared" si="66"/>
        <v>248.65100000000007</v>
      </c>
      <c r="K21" s="1">
        <f t="shared" ref="K21:L21" si="67">K19+K20</f>
        <v>2.3381620000000112</v>
      </c>
      <c r="L21" s="1">
        <f t="shared" si="67"/>
        <v>15.125801999999993</v>
      </c>
      <c r="O21" s="1">
        <f t="shared" ref="O21:P21" si="68">O19+O20</f>
        <v>-130.68299999999982</v>
      </c>
      <c r="P21" s="1">
        <f t="shared" si="68"/>
        <v>227.05996399999998</v>
      </c>
      <c r="Q21" s="1">
        <f t="shared" ref="Q21" si="69">Q19+Q20</f>
        <v>168.74065223999997</v>
      </c>
      <c r="R21" s="1">
        <f t="shared" ref="R21" si="70">R19+R20</f>
        <v>193.39210818499984</v>
      </c>
      <c r="S21" s="1">
        <f t="shared" ref="S21" si="71">S19+S20</f>
        <v>285.10944277479678</v>
      </c>
      <c r="T21" s="1">
        <f t="shared" ref="T21" si="72">T19+T20</f>
        <v>348.54437179795599</v>
      </c>
      <c r="U21" s="1">
        <f t="shared" ref="U21" si="73">U19+U20</f>
        <v>374.34110126880853</v>
      </c>
      <c r="V21" s="1">
        <f t="shared" ref="V21" si="74">V19+V20</f>
        <v>438.88231543123521</v>
      </c>
      <c r="W21" s="1">
        <f t="shared" ref="W21" si="75">W19+W20</f>
        <v>508.8716182817609</v>
      </c>
      <c r="X21" s="1">
        <f t="shared" ref="X21" si="76">X19+X20</f>
        <v>542.4917362414634</v>
      </c>
      <c r="Y21" s="1">
        <f t="shared" ref="Y21" si="77">Y19+Y20</f>
        <v>643.23003728280651</v>
      </c>
      <c r="Z21" s="1">
        <f t="shared" ref="Z21" si="78">Z19+Z20</f>
        <v>685.54662680476213</v>
      </c>
    </row>
    <row r="22" spans="1:219" x14ac:dyDescent="0.35">
      <c r="B22" t="s">
        <v>55</v>
      </c>
      <c r="C22" s="1">
        <v>2.4529999999999998</v>
      </c>
      <c r="D22" s="1">
        <v>-0.64600000000000002</v>
      </c>
      <c r="E22" s="1">
        <v>-9.0950000000000006</v>
      </c>
      <c r="F22" s="1">
        <v>-3.1139999999999999</v>
      </c>
      <c r="G22" s="1">
        <v>-3.3940000000000001</v>
      </c>
      <c r="H22" s="1">
        <v>6.5659999999999998</v>
      </c>
      <c r="I22" s="1">
        <v>-6.01</v>
      </c>
      <c r="J22" s="1">
        <v>2.6880000000000002</v>
      </c>
      <c r="K22" s="1">
        <f>K21*0.15</f>
        <v>0.35072430000000165</v>
      </c>
      <c r="L22" s="1">
        <f>L21*0.15</f>
        <v>2.2688702999999988</v>
      </c>
      <c r="O22" s="1">
        <f>SUM(E22:H22)</f>
        <v>-9.036999999999999</v>
      </c>
      <c r="P22" s="1">
        <f>SUM(I22:L22)</f>
        <v>-0.70240539999999907</v>
      </c>
      <c r="Q22" s="1">
        <f>Q21*0.15</f>
        <v>25.311097835999995</v>
      </c>
      <c r="R22" s="1">
        <f t="shared" ref="R22:Z22" si="79">R21*0.15</f>
        <v>29.008816227749975</v>
      </c>
      <c r="S22" s="1">
        <f t="shared" si="79"/>
        <v>42.766416416219514</v>
      </c>
      <c r="T22" s="1">
        <f t="shared" si="79"/>
        <v>52.281655769693394</v>
      </c>
      <c r="U22" s="1">
        <f t="shared" si="79"/>
        <v>56.151165190321279</v>
      </c>
      <c r="V22" s="1">
        <f t="shared" si="79"/>
        <v>65.832347314685279</v>
      </c>
      <c r="W22" s="1">
        <f t="shared" si="79"/>
        <v>76.330742742264135</v>
      </c>
      <c r="X22" s="1">
        <f t="shared" si="79"/>
        <v>81.373760436219513</v>
      </c>
      <c r="Y22" s="1">
        <f t="shared" si="79"/>
        <v>96.484505592420973</v>
      </c>
      <c r="Z22" s="1">
        <f t="shared" si="79"/>
        <v>102.83199402071432</v>
      </c>
    </row>
    <row r="23" spans="1:219" s="20" customFormat="1" x14ac:dyDescent="0.35">
      <c r="A23" s="19"/>
      <c r="B23" s="19" t="s">
        <v>56</v>
      </c>
      <c r="C23" s="20">
        <f t="shared" ref="C23:J23" si="80">C21-C22</f>
        <v>-19.37299999999998</v>
      </c>
      <c r="D23" s="20">
        <f t="shared" si="80"/>
        <v>10.489000000000026</v>
      </c>
      <c r="E23" s="20">
        <f t="shared" si="80"/>
        <v>-26.936999999999969</v>
      </c>
      <c r="F23" s="20">
        <f t="shared" si="80"/>
        <v>-21.070000000000018</v>
      </c>
      <c r="G23" s="20">
        <f t="shared" si="80"/>
        <v>-54.807999999999993</v>
      </c>
      <c r="H23" s="20">
        <f t="shared" si="80"/>
        <v>-18.831000000000031</v>
      </c>
      <c r="I23" s="20">
        <f t="shared" si="80"/>
        <v>-33.045000000000073</v>
      </c>
      <c r="J23" s="20">
        <f t="shared" si="80"/>
        <v>245.96300000000008</v>
      </c>
      <c r="K23" s="20">
        <f t="shared" ref="K23:L23" si="81">K21-K22</f>
        <v>1.9874377000000094</v>
      </c>
      <c r="L23" s="20">
        <f t="shared" si="81"/>
        <v>12.856931699999993</v>
      </c>
      <c r="O23" s="20">
        <f>O21-O22</f>
        <v>-121.64599999999982</v>
      </c>
      <c r="P23" s="20">
        <f>P21-P22</f>
        <v>227.76236939999998</v>
      </c>
      <c r="Q23" s="20">
        <f t="shared" ref="Q23:Z23" si="82">Q21-Q22</f>
        <v>143.42955440399999</v>
      </c>
      <c r="R23" s="20">
        <f t="shared" si="82"/>
        <v>164.38329195724987</v>
      </c>
      <c r="S23" s="20">
        <f t="shared" si="82"/>
        <v>242.34302635857728</v>
      </c>
      <c r="T23" s="20">
        <f t="shared" si="82"/>
        <v>296.26271602826262</v>
      </c>
      <c r="U23" s="20">
        <f t="shared" si="82"/>
        <v>318.18993607848722</v>
      </c>
      <c r="V23" s="20">
        <f t="shared" si="82"/>
        <v>373.04996811654996</v>
      </c>
      <c r="W23" s="20">
        <f t="shared" si="82"/>
        <v>432.54087553949677</v>
      </c>
      <c r="X23" s="20">
        <f t="shared" si="82"/>
        <v>461.11797580524387</v>
      </c>
      <c r="Y23" s="20">
        <f t="shared" si="82"/>
        <v>546.74553169038552</v>
      </c>
      <c r="Z23" s="20">
        <f t="shared" si="82"/>
        <v>582.71463278404781</v>
      </c>
      <c r="AA23" s="20">
        <f>Z23*(1+$AC$35)</f>
        <v>576.88748645620728</v>
      </c>
      <c r="AB23" s="20">
        <f t="shared" ref="AB23:CM23" si="83">AA23*(1+$AC$35)</f>
        <v>571.11861159164516</v>
      </c>
      <c r="AC23" s="20">
        <f t="shared" si="83"/>
        <v>565.4074254757287</v>
      </c>
      <c r="AD23" s="20">
        <f t="shared" si="83"/>
        <v>559.75335122097135</v>
      </c>
      <c r="AE23" s="20">
        <f t="shared" si="83"/>
        <v>554.15581770876167</v>
      </c>
      <c r="AF23" s="20">
        <f t="shared" si="83"/>
        <v>548.61425953167407</v>
      </c>
      <c r="AG23" s="20">
        <f t="shared" si="83"/>
        <v>543.12811693635729</v>
      </c>
      <c r="AH23" s="20">
        <f t="shared" si="83"/>
        <v>537.69683576699367</v>
      </c>
      <c r="AI23" s="20">
        <f t="shared" si="83"/>
        <v>532.31986740932371</v>
      </c>
      <c r="AJ23" s="20">
        <f t="shared" si="83"/>
        <v>526.99666873523051</v>
      </c>
      <c r="AK23" s="20">
        <f t="shared" si="83"/>
        <v>521.72670204787823</v>
      </c>
      <c r="AL23" s="20">
        <f t="shared" si="83"/>
        <v>516.50943502739949</v>
      </c>
      <c r="AM23" s="20">
        <f t="shared" si="83"/>
        <v>511.3443406771255</v>
      </c>
      <c r="AN23" s="20">
        <f t="shared" si="83"/>
        <v>506.23089727035426</v>
      </c>
      <c r="AO23" s="20">
        <f t="shared" si="83"/>
        <v>501.16858829765073</v>
      </c>
      <c r="AP23" s="20">
        <f t="shared" si="83"/>
        <v>496.15690241467422</v>
      </c>
      <c r="AQ23" s="20">
        <f t="shared" si="83"/>
        <v>491.19533339052748</v>
      </c>
      <c r="AR23" s="20">
        <f t="shared" si="83"/>
        <v>486.28338005662221</v>
      </c>
      <c r="AS23" s="20">
        <f t="shared" si="83"/>
        <v>481.42054625605596</v>
      </c>
      <c r="AT23" s="20">
        <f t="shared" si="83"/>
        <v>476.60634079349541</v>
      </c>
      <c r="AU23" s="20">
        <f t="shared" si="83"/>
        <v>471.84027738556046</v>
      </c>
      <c r="AV23" s="20">
        <f t="shared" si="83"/>
        <v>467.12187461170487</v>
      </c>
      <c r="AW23" s="20">
        <f t="shared" si="83"/>
        <v>462.45065586558781</v>
      </c>
      <c r="AX23" s="20">
        <f t="shared" si="83"/>
        <v>457.82614930693194</v>
      </c>
      <c r="AY23" s="20">
        <f t="shared" si="83"/>
        <v>453.24788781386263</v>
      </c>
      <c r="AZ23" s="20">
        <f t="shared" si="83"/>
        <v>448.71540893572399</v>
      </c>
      <c r="BA23" s="20">
        <f t="shared" si="83"/>
        <v>444.22825484636672</v>
      </c>
      <c r="BB23" s="20">
        <f t="shared" si="83"/>
        <v>439.78597229790307</v>
      </c>
      <c r="BC23" s="20">
        <f t="shared" si="83"/>
        <v>435.38811257492404</v>
      </c>
      <c r="BD23" s="20">
        <f t="shared" si="83"/>
        <v>431.0342314491748</v>
      </c>
      <c r="BE23" s="20">
        <f t="shared" si="83"/>
        <v>426.72388913468302</v>
      </c>
      <c r="BF23" s="20">
        <f t="shared" si="83"/>
        <v>422.45665024333618</v>
      </c>
      <c r="BG23" s="20">
        <f t="shared" si="83"/>
        <v>418.23208374090279</v>
      </c>
      <c r="BH23" s="20">
        <f t="shared" si="83"/>
        <v>414.04976290349379</v>
      </c>
      <c r="BI23" s="20">
        <f t="shared" si="83"/>
        <v>409.90926527445885</v>
      </c>
      <c r="BJ23" s="20">
        <f t="shared" si="83"/>
        <v>405.81017262171423</v>
      </c>
      <c r="BK23" s="20">
        <f t="shared" si="83"/>
        <v>401.75207089549707</v>
      </c>
      <c r="BL23" s="20">
        <f t="shared" si="83"/>
        <v>397.73455018654209</v>
      </c>
      <c r="BM23" s="20">
        <f t="shared" si="83"/>
        <v>393.75720468467665</v>
      </c>
      <c r="BN23" s="20">
        <f t="shared" si="83"/>
        <v>389.8196326378299</v>
      </c>
      <c r="BO23" s="20">
        <f t="shared" si="83"/>
        <v>385.9214363114516</v>
      </c>
      <c r="BP23" s="20">
        <f t="shared" si="83"/>
        <v>382.06222194833708</v>
      </c>
      <c r="BQ23" s="20">
        <f t="shared" si="83"/>
        <v>378.24159972885371</v>
      </c>
      <c r="BR23" s="20">
        <f t="shared" si="83"/>
        <v>374.45918373156519</v>
      </c>
      <c r="BS23" s="20">
        <f t="shared" si="83"/>
        <v>370.71459189424951</v>
      </c>
      <c r="BT23" s="20">
        <f t="shared" si="83"/>
        <v>367.00744597530701</v>
      </c>
      <c r="BU23" s="20">
        <f t="shared" si="83"/>
        <v>363.33737151555391</v>
      </c>
      <c r="BV23" s="20">
        <f t="shared" si="83"/>
        <v>359.70399780039838</v>
      </c>
      <c r="BW23" s="20">
        <f t="shared" si="83"/>
        <v>356.10695782239441</v>
      </c>
      <c r="BX23" s="20">
        <f t="shared" si="83"/>
        <v>352.54588824417044</v>
      </c>
      <c r="BY23" s="20">
        <f t="shared" si="83"/>
        <v>349.02042936172876</v>
      </c>
      <c r="BZ23" s="20">
        <f t="shared" si="83"/>
        <v>345.53022506811146</v>
      </c>
      <c r="CA23" s="20">
        <f t="shared" si="83"/>
        <v>342.07492281743032</v>
      </c>
      <c r="CB23" s="20">
        <f t="shared" si="83"/>
        <v>338.654173589256</v>
      </c>
      <c r="CC23" s="20">
        <f t="shared" si="83"/>
        <v>335.26763185336347</v>
      </c>
      <c r="CD23" s="20">
        <f t="shared" si="83"/>
        <v>331.91495553482986</v>
      </c>
      <c r="CE23" s="20">
        <f t="shared" si="83"/>
        <v>328.59580597948155</v>
      </c>
      <c r="CF23" s="20">
        <f t="shared" si="83"/>
        <v>325.30984791968672</v>
      </c>
      <c r="CG23" s="20">
        <f t="shared" si="83"/>
        <v>322.05674944048985</v>
      </c>
      <c r="CH23" s="20">
        <f t="shared" si="83"/>
        <v>318.83618194608493</v>
      </c>
      <c r="CI23" s="20">
        <f t="shared" si="83"/>
        <v>315.64782012662408</v>
      </c>
      <c r="CJ23" s="20">
        <f t="shared" si="83"/>
        <v>312.49134192535786</v>
      </c>
      <c r="CK23" s="20">
        <f t="shared" si="83"/>
        <v>309.36642850610428</v>
      </c>
      <c r="CL23" s="20">
        <f t="shared" si="83"/>
        <v>306.27276422104325</v>
      </c>
      <c r="CM23" s="20">
        <f t="shared" si="83"/>
        <v>303.21003657883278</v>
      </c>
      <c r="CN23" s="20">
        <f t="shared" ref="CN23:EY23" si="84">CM23*(1+$AC$35)</f>
        <v>300.17793621304446</v>
      </c>
      <c r="CO23" s="20">
        <f t="shared" si="84"/>
        <v>297.17615685091403</v>
      </c>
      <c r="CP23" s="20">
        <f t="shared" si="84"/>
        <v>294.2043952824049</v>
      </c>
      <c r="CQ23" s="20">
        <f t="shared" si="84"/>
        <v>291.26235132958084</v>
      </c>
      <c r="CR23" s="20">
        <f t="shared" si="84"/>
        <v>288.34972781628505</v>
      </c>
      <c r="CS23" s="20">
        <f t="shared" si="84"/>
        <v>285.4662305381222</v>
      </c>
      <c r="CT23" s="20">
        <f t="shared" si="84"/>
        <v>282.61156823274098</v>
      </c>
      <c r="CU23" s="20">
        <f t="shared" si="84"/>
        <v>279.78545255041354</v>
      </c>
      <c r="CV23" s="20">
        <f t="shared" si="84"/>
        <v>276.9875980249094</v>
      </c>
      <c r="CW23" s="20">
        <f t="shared" si="84"/>
        <v>274.21772204466032</v>
      </c>
      <c r="CX23" s="20">
        <f t="shared" si="84"/>
        <v>271.47554482421373</v>
      </c>
      <c r="CY23" s="20">
        <f t="shared" si="84"/>
        <v>268.76078937597157</v>
      </c>
      <c r="CZ23" s="20">
        <f t="shared" si="84"/>
        <v>266.07318148221185</v>
      </c>
      <c r="DA23" s="20">
        <f t="shared" si="84"/>
        <v>263.41244966738975</v>
      </c>
      <c r="DB23" s="20">
        <f t="shared" si="84"/>
        <v>260.77832517071585</v>
      </c>
      <c r="DC23" s="20">
        <f t="shared" si="84"/>
        <v>258.17054191900871</v>
      </c>
      <c r="DD23" s="20">
        <f t="shared" si="84"/>
        <v>255.58883649981863</v>
      </c>
      <c r="DE23" s="20">
        <f t="shared" si="84"/>
        <v>253.03294813482043</v>
      </c>
      <c r="DF23" s="20">
        <f t="shared" si="84"/>
        <v>250.50261865347221</v>
      </c>
      <c r="DG23" s="20">
        <f t="shared" si="84"/>
        <v>247.99759246693748</v>
      </c>
      <c r="DH23" s="20">
        <f t="shared" si="84"/>
        <v>245.51761654226809</v>
      </c>
      <c r="DI23" s="20">
        <f t="shared" si="84"/>
        <v>243.06244037684542</v>
      </c>
      <c r="DJ23" s="20">
        <f t="shared" si="84"/>
        <v>240.63181597307695</v>
      </c>
      <c r="DK23" s="20">
        <f t="shared" si="84"/>
        <v>238.22549781334618</v>
      </c>
      <c r="DL23" s="20">
        <f t="shared" si="84"/>
        <v>235.84324283521272</v>
      </c>
      <c r="DM23" s="20">
        <f t="shared" si="84"/>
        <v>233.48481040686059</v>
      </c>
      <c r="DN23" s="20">
        <f t="shared" si="84"/>
        <v>231.14996230279198</v>
      </c>
      <c r="DO23" s="20">
        <f t="shared" si="84"/>
        <v>228.83846267976406</v>
      </c>
      <c r="DP23" s="20">
        <f t="shared" si="84"/>
        <v>226.55007805296643</v>
      </c>
      <c r="DQ23" s="20">
        <f t="shared" si="84"/>
        <v>224.28457727243676</v>
      </c>
      <c r="DR23" s="20">
        <f t="shared" si="84"/>
        <v>222.0417314997124</v>
      </c>
      <c r="DS23" s="20">
        <f t="shared" si="84"/>
        <v>219.82131418471528</v>
      </c>
      <c r="DT23" s="20">
        <f t="shared" si="84"/>
        <v>217.62310104286811</v>
      </c>
      <c r="DU23" s="20">
        <f t="shared" si="84"/>
        <v>215.44687003243942</v>
      </c>
      <c r="DV23" s="20">
        <f t="shared" si="84"/>
        <v>213.29240133211502</v>
      </c>
      <c r="DW23" s="20">
        <f t="shared" si="84"/>
        <v>211.15947731879388</v>
      </c>
      <c r="DX23" s="20">
        <f t="shared" si="84"/>
        <v>209.04788254560594</v>
      </c>
      <c r="DY23" s="20">
        <f t="shared" si="84"/>
        <v>206.95740372014987</v>
      </c>
      <c r="DZ23" s="20">
        <f t="shared" si="84"/>
        <v>204.88782968294836</v>
      </c>
      <c r="EA23" s="20">
        <f t="shared" si="84"/>
        <v>202.83895138611888</v>
      </c>
      <c r="EB23" s="20">
        <f t="shared" si="84"/>
        <v>200.81056187225769</v>
      </c>
      <c r="EC23" s="20">
        <f t="shared" si="84"/>
        <v>198.80245625353513</v>
      </c>
      <c r="ED23" s="20">
        <f t="shared" si="84"/>
        <v>196.81443169099978</v>
      </c>
      <c r="EE23" s="20">
        <f t="shared" si="84"/>
        <v>194.84628737408977</v>
      </c>
      <c r="EF23" s="20">
        <f t="shared" si="84"/>
        <v>192.89782450034886</v>
      </c>
      <c r="EG23" s="20">
        <f t="shared" si="84"/>
        <v>190.96884625534537</v>
      </c>
      <c r="EH23" s="20">
        <f t="shared" si="84"/>
        <v>189.05915779279192</v>
      </c>
      <c r="EI23" s="20">
        <f t="shared" si="84"/>
        <v>187.168566214864</v>
      </c>
      <c r="EJ23" s="20">
        <f t="shared" si="84"/>
        <v>185.29688055271535</v>
      </c>
      <c r="EK23" s="20">
        <f t="shared" si="84"/>
        <v>183.4439117471882</v>
      </c>
      <c r="EL23" s="20">
        <f t="shared" si="84"/>
        <v>181.60947262971632</v>
      </c>
      <c r="EM23" s="20">
        <f t="shared" si="84"/>
        <v>179.79337790341916</v>
      </c>
      <c r="EN23" s="20">
        <f t="shared" si="84"/>
        <v>177.99544412438496</v>
      </c>
      <c r="EO23" s="20">
        <f t="shared" si="84"/>
        <v>176.2154896831411</v>
      </c>
      <c r="EP23" s="20">
        <f t="shared" si="84"/>
        <v>174.45333478630968</v>
      </c>
      <c r="EQ23" s="20">
        <f t="shared" si="84"/>
        <v>172.70880143844659</v>
      </c>
      <c r="ER23" s="20">
        <f t="shared" si="84"/>
        <v>170.98171342406212</v>
      </c>
      <c r="ES23" s="20">
        <f t="shared" si="84"/>
        <v>169.27189628982151</v>
      </c>
      <c r="ET23" s="20">
        <f t="shared" si="84"/>
        <v>167.57917732692329</v>
      </c>
      <c r="EU23" s="20">
        <f t="shared" si="84"/>
        <v>165.90338555365406</v>
      </c>
      <c r="EV23" s="20">
        <f t="shared" si="84"/>
        <v>164.24435169811753</v>
      </c>
      <c r="EW23" s="20">
        <f t="shared" si="84"/>
        <v>162.60190818113634</v>
      </c>
      <c r="EX23" s="20">
        <f t="shared" si="84"/>
        <v>160.97588909932497</v>
      </c>
      <c r="EY23" s="20">
        <f t="shared" si="84"/>
        <v>159.36613020833173</v>
      </c>
      <c r="EZ23" s="20">
        <f t="shared" ref="EZ23:HK23" si="85">EY23*(1+$AC$35)</f>
        <v>157.77246890624841</v>
      </c>
      <c r="FA23" s="20">
        <f t="shared" si="85"/>
        <v>156.19474421718593</v>
      </c>
      <c r="FB23" s="20">
        <f t="shared" si="85"/>
        <v>154.63279677501407</v>
      </c>
      <c r="FC23" s="20">
        <f t="shared" si="85"/>
        <v>153.08646880726394</v>
      </c>
      <c r="FD23" s="20">
        <f t="shared" si="85"/>
        <v>151.55560411919129</v>
      </c>
      <c r="FE23" s="20">
        <f t="shared" si="85"/>
        <v>150.04004807799936</v>
      </c>
      <c r="FF23" s="20">
        <f t="shared" si="85"/>
        <v>148.53964759721936</v>
      </c>
      <c r="FG23" s="20">
        <f t="shared" si="85"/>
        <v>147.05425112124715</v>
      </c>
      <c r="FH23" s="20">
        <f t="shared" si="85"/>
        <v>145.58370861003468</v>
      </c>
      <c r="FI23" s="20">
        <f t="shared" si="85"/>
        <v>144.12787152393432</v>
      </c>
      <c r="FJ23" s="20">
        <f t="shared" si="85"/>
        <v>142.68659280869497</v>
      </c>
      <c r="FK23" s="20">
        <f t="shared" si="85"/>
        <v>141.25972688060801</v>
      </c>
      <c r="FL23" s="20">
        <f t="shared" si="85"/>
        <v>139.84712961180193</v>
      </c>
      <c r="FM23" s="20">
        <f t="shared" si="85"/>
        <v>138.4486583156839</v>
      </c>
      <c r="FN23" s="20">
        <f t="shared" si="85"/>
        <v>137.06417173252706</v>
      </c>
      <c r="FO23" s="20">
        <f t="shared" si="85"/>
        <v>135.69353001520179</v>
      </c>
      <c r="FP23" s="20">
        <f t="shared" si="85"/>
        <v>134.33659471504976</v>
      </c>
      <c r="FQ23" s="20">
        <f t="shared" si="85"/>
        <v>132.99322876789927</v>
      </c>
      <c r="FR23" s="20">
        <f t="shared" si="85"/>
        <v>131.66329648022028</v>
      </c>
      <c r="FS23" s="20">
        <f t="shared" si="85"/>
        <v>130.34666351541807</v>
      </c>
      <c r="FT23" s="20">
        <f t="shared" si="85"/>
        <v>129.04319688026388</v>
      </c>
      <c r="FU23" s="20">
        <f t="shared" si="85"/>
        <v>127.75276491146124</v>
      </c>
      <c r="FV23" s="20">
        <f t="shared" si="85"/>
        <v>126.47523726234662</v>
      </c>
      <c r="FW23" s="20">
        <f t="shared" si="85"/>
        <v>125.21048488972316</v>
      </c>
      <c r="FX23" s="20">
        <f t="shared" si="85"/>
        <v>123.95838004082593</v>
      </c>
      <c r="FY23" s="20">
        <f t="shared" si="85"/>
        <v>122.71879624041767</v>
      </c>
      <c r="FZ23" s="20">
        <f t="shared" si="85"/>
        <v>121.4916082780135</v>
      </c>
      <c r="GA23" s="20">
        <f t="shared" si="85"/>
        <v>120.27669219523337</v>
      </c>
      <c r="GB23" s="20">
        <f t="shared" si="85"/>
        <v>119.07392527328103</v>
      </c>
      <c r="GC23" s="20">
        <f t="shared" si="85"/>
        <v>117.88318602054822</v>
      </c>
      <c r="GD23" s="20">
        <f t="shared" si="85"/>
        <v>116.70435416034275</v>
      </c>
      <c r="GE23" s="20">
        <f t="shared" si="85"/>
        <v>115.53731061873931</v>
      </c>
      <c r="GF23" s="20">
        <f t="shared" si="85"/>
        <v>114.38193751255191</v>
      </c>
      <c r="GG23" s="20">
        <f t="shared" si="85"/>
        <v>113.2381181374264</v>
      </c>
      <c r="GH23" s="20">
        <f t="shared" si="85"/>
        <v>112.10573695605213</v>
      </c>
      <c r="GI23" s="20">
        <f t="shared" si="85"/>
        <v>110.98467958649161</v>
      </c>
      <c r="GJ23" s="20">
        <f t="shared" si="85"/>
        <v>109.8748327906267</v>
      </c>
      <c r="GK23" s="20">
        <f t="shared" si="85"/>
        <v>108.77608446272043</v>
      </c>
      <c r="GL23" s="20">
        <f t="shared" si="85"/>
        <v>107.68832361809322</v>
      </c>
      <c r="GM23" s="20">
        <f t="shared" si="85"/>
        <v>106.61144038191229</v>
      </c>
      <c r="GN23" s="20">
        <f t="shared" si="85"/>
        <v>105.54532597809316</v>
      </c>
      <c r="GO23" s="20">
        <f t="shared" si="85"/>
        <v>104.48987271831223</v>
      </c>
      <c r="GP23" s="20">
        <f t="shared" si="85"/>
        <v>103.4449739911291</v>
      </c>
      <c r="GQ23" s="20">
        <f t="shared" si="85"/>
        <v>102.41052425121781</v>
      </c>
      <c r="GR23" s="20">
        <f t="shared" si="85"/>
        <v>101.38641900870563</v>
      </c>
      <c r="GS23" s="20">
        <f t="shared" si="85"/>
        <v>100.37255481861857</v>
      </c>
      <c r="GT23" s="20">
        <f t="shared" si="85"/>
        <v>99.368829270432386</v>
      </c>
      <c r="GU23" s="20">
        <f t="shared" si="85"/>
        <v>98.375140977728066</v>
      </c>
      <c r="GV23" s="20">
        <f t="shared" si="85"/>
        <v>97.391389567950782</v>
      </c>
      <c r="GW23" s="20">
        <f t="shared" si="85"/>
        <v>96.41747567227128</v>
      </c>
      <c r="GX23" s="20">
        <f t="shared" si="85"/>
        <v>95.453300915548567</v>
      </c>
      <c r="GY23" s="20">
        <f t="shared" si="85"/>
        <v>94.498767906393084</v>
      </c>
      <c r="GZ23" s="20">
        <f t="shared" si="85"/>
        <v>93.553780227329156</v>
      </c>
      <c r="HA23" s="20">
        <f t="shared" si="85"/>
        <v>92.618242425055868</v>
      </c>
      <c r="HB23" s="20">
        <f t="shared" si="85"/>
        <v>91.692060000805313</v>
      </c>
      <c r="HC23" s="20">
        <f t="shared" si="85"/>
        <v>90.775139400797258</v>
      </c>
      <c r="HD23" s="20">
        <f t="shared" si="85"/>
        <v>89.867388006789284</v>
      </c>
      <c r="HE23" s="20">
        <f t="shared" si="85"/>
        <v>88.968714126721395</v>
      </c>
      <c r="HF23" s="20">
        <f t="shared" si="85"/>
        <v>88.079026985454178</v>
      </c>
      <c r="HG23" s="20">
        <f t="shared" si="85"/>
        <v>87.198236715599634</v>
      </c>
      <c r="HH23" s="20">
        <f t="shared" si="85"/>
        <v>86.326254348443641</v>
      </c>
      <c r="HI23" s="20">
        <f t="shared" si="85"/>
        <v>85.462991804959202</v>
      </c>
      <c r="HJ23" s="20">
        <f t="shared" si="85"/>
        <v>84.608361886909606</v>
      </c>
      <c r="HK23" s="20">
        <f t="shared" si="85"/>
        <v>83.762278268040504</v>
      </c>
    </row>
    <row r="24" spans="1:219" x14ac:dyDescent="0.35">
      <c r="B24" t="s">
        <v>58</v>
      </c>
      <c r="C24" s="18">
        <f t="shared" ref="C24:J24" si="86">C23/C25</f>
        <v>-0.11998934694282022</v>
      </c>
      <c r="D24" s="18">
        <f t="shared" si="86"/>
        <v>6.4813727731674167E-2</v>
      </c>
      <c r="E24" s="18">
        <f t="shared" si="86"/>
        <v>-0.16578349735049186</v>
      </c>
      <c r="F24" s="18">
        <f t="shared" si="86"/>
        <v>-0.12860185914220679</v>
      </c>
      <c r="G24" s="18">
        <f t="shared" si="86"/>
        <v>-0.3336214557894352</v>
      </c>
      <c r="H24" s="18">
        <f t="shared" si="86"/>
        <v>-0.11458840424496172</v>
      </c>
      <c r="I24" s="18">
        <f t="shared" si="86"/>
        <v>-0.20016960959505753</v>
      </c>
      <c r="J24" s="18">
        <f t="shared" si="86"/>
        <v>1.4792186626092296</v>
      </c>
    </row>
    <row r="25" spans="1:219" x14ac:dyDescent="0.35">
      <c r="B25" t="s">
        <v>59</v>
      </c>
      <c r="C25" s="1">
        <v>161.45599999999999</v>
      </c>
      <c r="D25" s="1">
        <v>161.833</v>
      </c>
      <c r="E25" s="1">
        <v>162.483</v>
      </c>
      <c r="F25" s="1">
        <v>163.839</v>
      </c>
      <c r="G25" s="1">
        <v>164.28200000000001</v>
      </c>
      <c r="H25" s="1">
        <v>164.33600000000001</v>
      </c>
      <c r="I25" s="1">
        <v>165.08500000000001</v>
      </c>
      <c r="J25" s="1">
        <v>166.279</v>
      </c>
    </row>
    <row r="27" spans="1:219" x14ac:dyDescent="0.35">
      <c r="B27" t="s">
        <v>62</v>
      </c>
      <c r="G27" s="21">
        <f t="shared" ref="G27:I27" si="87">(G3-C3)/C3</f>
        <v>8.631166726683473E-2</v>
      </c>
      <c r="H27" s="21">
        <f t="shared" si="87"/>
        <v>0.10807492557421938</v>
      </c>
      <c r="I27" s="21">
        <f t="shared" si="87"/>
        <v>0.13912131425743049</v>
      </c>
      <c r="J27" s="21">
        <f>(J3-F3)/F3</f>
        <v>6.2077935591280303E-2</v>
      </c>
      <c r="K27" s="21">
        <f t="shared" ref="K27:L27" si="88">(K3-G3)/G3</f>
        <v>0.10000000000000005</v>
      </c>
      <c r="L27" s="21">
        <f t="shared" si="88"/>
        <v>0.1000000000000001</v>
      </c>
      <c r="P27" s="21">
        <f>(P3-O3)/O3</f>
        <v>9.9143823884388596E-2</v>
      </c>
      <c r="Q27" s="21">
        <f t="shared" ref="Q27:Z27" si="89">(Q3-P3)/P3</f>
        <v>0.10000000000000007</v>
      </c>
      <c r="R27" s="21">
        <f t="shared" si="89"/>
        <v>0.10000000000000013</v>
      </c>
      <c r="S27" s="21">
        <f t="shared" si="89"/>
        <v>0.05</v>
      </c>
      <c r="T27" s="21">
        <f t="shared" si="89"/>
        <v>4.9999999999999954E-2</v>
      </c>
      <c r="U27" s="21">
        <f t="shared" si="89"/>
        <v>5.0000000000000114E-2</v>
      </c>
      <c r="V27" s="21">
        <f t="shared" si="89"/>
        <v>2.0000000000000087E-2</v>
      </c>
      <c r="W27" s="21">
        <f t="shared" si="89"/>
        <v>2.0000000000000091E-2</v>
      </c>
      <c r="X27" s="21">
        <f t="shared" si="89"/>
        <v>1.9999999999999997E-2</v>
      </c>
      <c r="Y27" s="21">
        <f t="shared" si="89"/>
        <v>1.9999999999999966E-2</v>
      </c>
      <c r="Z27" s="21">
        <f t="shared" si="89"/>
        <v>2.0000000000000032E-2</v>
      </c>
    </row>
    <row r="28" spans="1:219" x14ac:dyDescent="0.35">
      <c r="B28" t="s">
        <v>63</v>
      </c>
      <c r="G28" s="21">
        <f t="shared" ref="G28:I28" si="90">(G4-C4)/C4</f>
        <v>9.940034556357337E-2</v>
      </c>
      <c r="H28" s="21">
        <f t="shared" si="90"/>
        <v>7.1571132552790588E-3</v>
      </c>
      <c r="I28" s="21">
        <f t="shared" si="90"/>
        <v>0.1047389114989308</v>
      </c>
      <c r="J28" s="21">
        <f>(J4-F4)/F4</f>
        <v>0.10435260378976717</v>
      </c>
      <c r="K28" s="21">
        <f t="shared" ref="K28:L28" si="91">(K4-G4)/G4</f>
        <v>0.1</v>
      </c>
      <c r="L28" s="21">
        <f t="shared" si="91"/>
        <v>0.10000000000000002</v>
      </c>
      <c r="P28" s="21">
        <f t="shared" ref="P28:Z29" si="92">(P4-O4)/O4</f>
        <v>0.10221253294134777</v>
      </c>
      <c r="Q28" s="21">
        <f t="shared" si="92"/>
        <v>0.10000000000000002</v>
      </c>
      <c r="R28" s="21">
        <f t="shared" si="92"/>
        <v>0.10000000000000014</v>
      </c>
      <c r="S28" s="21">
        <f t="shared" si="92"/>
        <v>5.00000000000001E-2</v>
      </c>
      <c r="T28" s="21">
        <f t="shared" si="92"/>
        <v>5.00000000000001E-2</v>
      </c>
      <c r="U28" s="21">
        <f t="shared" si="92"/>
        <v>2.0000000000000032E-2</v>
      </c>
      <c r="V28" s="21">
        <f t="shared" si="92"/>
        <v>2.0000000000000014E-2</v>
      </c>
      <c r="W28" s="21">
        <f t="shared" si="92"/>
        <v>2.0000000000000021E-2</v>
      </c>
      <c r="X28" s="21">
        <f t="shared" si="92"/>
        <v>2.0000000000000004E-2</v>
      </c>
      <c r="Y28" s="21">
        <f t="shared" si="92"/>
        <v>2.0000000000000028E-2</v>
      </c>
      <c r="Z28" s="21">
        <f t="shared" si="92"/>
        <v>2.0000000000000004E-2</v>
      </c>
    </row>
    <row r="29" spans="1:219" x14ac:dyDescent="0.35">
      <c r="B29" t="s">
        <v>64</v>
      </c>
      <c r="G29" s="21"/>
      <c r="H29" s="21">
        <f t="shared" ref="H29:I29" si="93">(H5-D5)/D5</f>
        <v>3.2490566037735857</v>
      </c>
      <c r="I29" s="21">
        <f t="shared" si="93"/>
        <v>1.7274750520496802</v>
      </c>
      <c r="J29" s="21">
        <f>(J5-F5)/F5</f>
        <v>1.3428215353938187</v>
      </c>
      <c r="K29" s="21">
        <f t="shared" ref="K29:L29" si="94">(K5-G5)/G5</f>
        <v>1</v>
      </c>
      <c r="L29" s="21">
        <f t="shared" si="94"/>
        <v>0.71890219446513459</v>
      </c>
      <c r="P29" s="21">
        <f t="shared" si="92"/>
        <v>1.0749619878777779</v>
      </c>
      <c r="Q29" s="21">
        <f t="shared" si="92"/>
        <v>0.50000000000000011</v>
      </c>
      <c r="R29" s="21">
        <f t="shared" si="92"/>
        <v>0.30000000000000004</v>
      </c>
      <c r="S29" s="21">
        <f t="shared" si="92"/>
        <v>0.19999999999999987</v>
      </c>
      <c r="T29" s="21">
        <f t="shared" si="92"/>
        <v>0.10000000000000017</v>
      </c>
      <c r="U29" s="21">
        <f t="shared" si="92"/>
        <v>5.0000000000000079E-2</v>
      </c>
      <c r="V29" s="21">
        <f t="shared" si="92"/>
        <v>4.9999999999999968E-2</v>
      </c>
      <c r="W29" s="21">
        <f t="shared" si="92"/>
        <v>5.0000000000000031E-2</v>
      </c>
      <c r="X29" s="21">
        <f t="shared" si="92"/>
        <v>5.0000000000000058E-2</v>
      </c>
      <c r="Y29" s="21">
        <f t="shared" si="92"/>
        <v>5.0000000000000051E-2</v>
      </c>
      <c r="Z29" s="21">
        <f t="shared" si="92"/>
        <v>4.9999999999999975E-2</v>
      </c>
      <c r="AA29" s="21"/>
      <c r="AB29" s="21"/>
    </row>
    <row r="34" spans="1:30" x14ac:dyDescent="0.35">
      <c r="B34" t="s">
        <v>60</v>
      </c>
      <c r="G34" s="21">
        <f t="shared" ref="G34:I34" si="95">(G13-C13)/C13</f>
        <v>-0.14205432088692163</v>
      </c>
      <c r="H34" s="21">
        <f t="shared" si="95"/>
        <v>-6.0990005023685422E-2</v>
      </c>
      <c r="I34" s="21">
        <f t="shared" si="95"/>
        <v>3.2490261896641309E-2</v>
      </c>
      <c r="J34" s="21">
        <f>(J13-F13)/F13</f>
        <v>1.2351720917098392</v>
      </c>
      <c r="AB34" s="1" t="s">
        <v>67</v>
      </c>
      <c r="AC34" s="21">
        <v>0.05</v>
      </c>
    </row>
    <row r="35" spans="1:30" x14ac:dyDescent="0.35">
      <c r="B35" t="s">
        <v>61</v>
      </c>
      <c r="C35" s="21">
        <f t="shared" ref="C35:I35" si="96">C15/C13</f>
        <v>0.83150597842531304</v>
      </c>
      <c r="D35" s="21">
        <f t="shared" si="96"/>
        <v>0.83455124313095785</v>
      </c>
      <c r="E35" s="21">
        <f t="shared" si="96"/>
        <v>0.80197454630311082</v>
      </c>
      <c r="F35" s="21">
        <f t="shared" si="96"/>
        <v>0.78871837201640727</v>
      </c>
      <c r="G35" s="21">
        <f t="shared" si="96"/>
        <v>0.79939133846098975</v>
      </c>
      <c r="H35" s="21">
        <f t="shared" si="96"/>
        <v>0.82287953681640047</v>
      </c>
      <c r="I35" s="21">
        <f t="shared" si="96"/>
        <v>0.79771901458648442</v>
      </c>
      <c r="J35" s="21">
        <f>J15/J13</f>
        <v>0.89753756497035131</v>
      </c>
      <c r="P35" s="21">
        <f>P15/P13</f>
        <v>0.83816110663659882</v>
      </c>
      <c r="AB35" s="1" t="s">
        <v>68</v>
      </c>
      <c r="AC35" s="21">
        <v>-0.01</v>
      </c>
    </row>
    <row r="36" spans="1:30" x14ac:dyDescent="0.35">
      <c r="B36" t="s">
        <v>65</v>
      </c>
      <c r="O36" s="21">
        <f>O16/O13</f>
        <v>0.35423976542438129</v>
      </c>
      <c r="P36" s="21">
        <f>P16/P13</f>
        <v>0.25270039126612098</v>
      </c>
      <c r="Q36" s="21">
        <f t="shared" ref="Q36:Z36" si="97">Q16/Q13</f>
        <v>0.26</v>
      </c>
      <c r="R36" s="21">
        <f t="shared" si="97"/>
        <v>0.26</v>
      </c>
      <c r="S36" s="21">
        <f t="shared" si="97"/>
        <v>0.26</v>
      </c>
      <c r="T36" s="21">
        <f t="shared" si="97"/>
        <v>0.24</v>
      </c>
      <c r="U36" s="21">
        <f t="shared" si="97"/>
        <v>0.24</v>
      </c>
      <c r="V36" s="21">
        <f t="shared" si="97"/>
        <v>0.24</v>
      </c>
      <c r="W36" s="21">
        <f t="shared" si="97"/>
        <v>0.22</v>
      </c>
      <c r="X36" s="21">
        <f t="shared" si="97"/>
        <v>0.22</v>
      </c>
      <c r="Y36" s="21">
        <f t="shared" si="97"/>
        <v>0.22</v>
      </c>
      <c r="Z36" s="21">
        <f t="shared" si="97"/>
        <v>0.22</v>
      </c>
      <c r="AB36" s="1" t="s">
        <v>69</v>
      </c>
      <c r="AC36" s="21">
        <v>0.1</v>
      </c>
    </row>
    <row r="37" spans="1:30" x14ac:dyDescent="0.35">
      <c r="B37" t="s">
        <v>66</v>
      </c>
      <c r="O37" s="21">
        <f>O17/O13</f>
        <v>0.54483695285551736</v>
      </c>
      <c r="P37" s="21">
        <f>P17/P13</f>
        <v>0.44011532812116722</v>
      </c>
      <c r="Q37" s="21">
        <f t="shared" ref="Q37:Z37" si="98">Q17/Q13</f>
        <v>0.44</v>
      </c>
      <c r="R37" s="21">
        <f t="shared" si="98"/>
        <v>0.44</v>
      </c>
      <c r="S37" s="21">
        <f t="shared" si="98"/>
        <v>0.40000000000000008</v>
      </c>
      <c r="T37" s="21">
        <f t="shared" si="98"/>
        <v>0.4</v>
      </c>
      <c r="U37" s="21">
        <f t="shared" si="98"/>
        <v>0.4</v>
      </c>
      <c r="V37" s="21">
        <f t="shared" si="98"/>
        <v>0.38</v>
      </c>
      <c r="W37" s="21">
        <f t="shared" si="98"/>
        <v>0.38</v>
      </c>
      <c r="X37" s="21">
        <f t="shared" si="98"/>
        <v>0.38</v>
      </c>
      <c r="Y37" s="21">
        <f t="shared" si="98"/>
        <v>0.35</v>
      </c>
      <c r="Z37" s="21">
        <f t="shared" si="98"/>
        <v>0.35</v>
      </c>
      <c r="AB37" s="1" t="s">
        <v>70</v>
      </c>
      <c r="AC37" s="1">
        <f>NPV(AC36,Q23:HK23)</f>
        <v>3974.3871246670979</v>
      </c>
    </row>
    <row r="38" spans="1:30" x14ac:dyDescent="0.35">
      <c r="AB38" s="1" t="s">
        <v>3</v>
      </c>
      <c r="AC38" s="1">
        <f>Main!O8-Main!O9</f>
        <v>439.51400000000001</v>
      </c>
    </row>
    <row r="39" spans="1:30" x14ac:dyDescent="0.35">
      <c r="AB39" s="1" t="s">
        <v>71</v>
      </c>
      <c r="AC39" s="1">
        <f>AC37+AC38</f>
        <v>4413.901124667098</v>
      </c>
    </row>
    <row r="40" spans="1:30" s="20" customFormat="1" x14ac:dyDescent="0.35">
      <c r="A40" s="19"/>
      <c r="B40" s="19" t="s">
        <v>74</v>
      </c>
      <c r="J40" s="20">
        <f>Main!O8-Main!O9</f>
        <v>439.51400000000001</v>
      </c>
      <c r="Q40" s="20">
        <f>J40+Q23</f>
        <v>582.943554404</v>
      </c>
      <c r="R40" s="20">
        <f>R23+Q40</f>
        <v>747.32684636124986</v>
      </c>
      <c r="S40" s="20">
        <f t="shared" ref="S40:Z40" si="99">S23+R40</f>
        <v>989.66987271982714</v>
      </c>
      <c r="T40" s="20">
        <f t="shared" si="99"/>
        <v>1285.9325887480898</v>
      </c>
      <c r="U40" s="20">
        <f t="shared" si="99"/>
        <v>1604.1225248265769</v>
      </c>
      <c r="V40" s="20">
        <f t="shared" si="99"/>
        <v>1977.1724929431268</v>
      </c>
      <c r="W40" s="20">
        <f t="shared" si="99"/>
        <v>2409.7133684826235</v>
      </c>
      <c r="X40" s="20">
        <f t="shared" si="99"/>
        <v>2870.8313442878675</v>
      </c>
      <c r="Y40" s="20">
        <f t="shared" si="99"/>
        <v>3417.5768759782532</v>
      </c>
      <c r="Z40" s="20">
        <f t="shared" si="99"/>
        <v>4000.291508762301</v>
      </c>
    </row>
    <row r="41" spans="1:30" x14ac:dyDescent="0.35">
      <c r="AB41" s="1" t="s">
        <v>72</v>
      </c>
      <c r="AC41" s="18">
        <f>AC39/Main!O6</f>
        <v>26.500568250996249</v>
      </c>
    </row>
    <row r="42" spans="1:30" x14ac:dyDescent="0.35">
      <c r="AB42" s="1" t="s">
        <v>73</v>
      </c>
      <c r="AC42" s="18">
        <f>Main!O5</f>
        <v>28.05</v>
      </c>
      <c r="AD42" s="22">
        <f>(AC41-AC42)/AC42</f>
        <v>-5.523820852063286E-2</v>
      </c>
    </row>
  </sheetData>
  <hyperlinks>
    <hyperlink ref="A1" location="Main!A1" display="Main" xr:uid="{E2644831-140F-49C8-88D8-6FE3600E97F4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B186-7C7F-4FF3-B46C-17992692B58C}">
  <dimension ref="A1:B4"/>
  <sheetViews>
    <sheetView workbookViewId="0">
      <selection activeCell="G20" sqref="G20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2" t="s">
        <v>14</v>
      </c>
    </row>
    <row r="2" spans="1:2" x14ac:dyDescent="0.35">
      <c r="B2" t="s">
        <v>7</v>
      </c>
    </row>
    <row r="3" spans="1:2" x14ac:dyDescent="0.35">
      <c r="B3" t="s">
        <v>8</v>
      </c>
    </row>
    <row r="4" spans="1:2" x14ac:dyDescent="0.35">
      <c r="B4" t="s">
        <v>38</v>
      </c>
    </row>
  </sheetData>
  <hyperlinks>
    <hyperlink ref="A1" location="Main!A1" display="Main" xr:uid="{07092C63-7DA5-4B7A-8587-F23E65DD0F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LYBALVI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Grenci</dc:creator>
  <cp:lastModifiedBy>Michael Grenci</cp:lastModifiedBy>
  <dcterms:created xsi:type="dcterms:W3CDTF">2015-06-05T18:17:20Z</dcterms:created>
  <dcterms:modified xsi:type="dcterms:W3CDTF">2023-08-12T14:08:35Z</dcterms:modified>
</cp:coreProperties>
</file>