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f45dd68b2362293/Desktop/"/>
    </mc:Choice>
  </mc:AlternateContent>
  <xr:revisionPtr revIDLastSave="990" documentId="8_{C84B5980-F975-404B-9F1C-A79C9817C4A6}" xr6:coauthVersionLast="47" xr6:coauthVersionMax="47" xr10:uidLastSave="{A32BDF9A-EF68-48A0-A632-45EA2252B4AF}"/>
  <bookViews>
    <workbookView xWindow="-110" yWindow="-110" windowWidth="38620" windowHeight="21100" activeTab="1" xr2:uid="{43F8E53F-3838-4488-AA49-FB0D2CB657D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" i="2" l="1"/>
  <c r="AJ5" i="2" s="1"/>
  <c r="AK5" i="2" s="1"/>
  <c r="AL5" i="2" s="1"/>
  <c r="AM5" i="2" s="1"/>
  <c r="AN5" i="2" s="1"/>
  <c r="AO5" i="2" s="1"/>
  <c r="AP5" i="2" s="1"/>
  <c r="AH5" i="2"/>
  <c r="AH13" i="2" s="1"/>
  <c r="AI9" i="2"/>
  <c r="AJ9" i="2" s="1"/>
  <c r="AK9" i="2" s="1"/>
  <c r="AL9" i="2" s="1"/>
  <c r="AM9" i="2" s="1"/>
  <c r="AN9" i="2" s="1"/>
  <c r="AO9" i="2" s="1"/>
  <c r="AP9" i="2" s="1"/>
  <c r="AH9" i="2"/>
  <c r="AI8" i="2"/>
  <c r="AJ8" i="2" s="1"/>
  <c r="AK8" i="2" s="1"/>
  <c r="AL8" i="2" s="1"/>
  <c r="AM8" i="2" s="1"/>
  <c r="AN8" i="2" s="1"/>
  <c r="AO8" i="2" s="1"/>
  <c r="AP8" i="2" s="1"/>
  <c r="AH8" i="2"/>
  <c r="AI4" i="2"/>
  <c r="AJ4" i="2" s="1"/>
  <c r="AK4" i="2" s="1"/>
  <c r="AL4" i="2" s="1"/>
  <c r="AM4" i="2" s="1"/>
  <c r="AN4" i="2" s="1"/>
  <c r="AO4" i="2" s="1"/>
  <c r="AP4" i="2" s="1"/>
  <c r="AH4" i="2"/>
  <c r="Z8" i="2"/>
  <c r="Y8" i="2"/>
  <c r="X8" i="2"/>
  <c r="W8" i="2"/>
  <c r="E12" i="2"/>
  <c r="O11" i="1"/>
  <c r="AH44" i="2"/>
  <c r="B10" i="1"/>
  <c r="B5" i="1"/>
  <c r="G45" i="2"/>
  <c r="G44" i="2"/>
  <c r="G43" i="2"/>
  <c r="G41" i="2"/>
  <c r="G40" i="2"/>
  <c r="G39" i="2"/>
  <c r="G37" i="2"/>
  <c r="N45" i="2"/>
  <c r="M45" i="2"/>
  <c r="L45" i="2"/>
  <c r="K45" i="2"/>
  <c r="J45" i="2"/>
  <c r="I45" i="2"/>
  <c r="H45" i="2"/>
  <c r="N44" i="2"/>
  <c r="M44" i="2"/>
  <c r="L44" i="2"/>
  <c r="K44" i="2"/>
  <c r="J44" i="2"/>
  <c r="I44" i="2"/>
  <c r="H44" i="2"/>
  <c r="N43" i="2"/>
  <c r="M43" i="2"/>
  <c r="L43" i="2"/>
  <c r="K43" i="2"/>
  <c r="J43" i="2"/>
  <c r="I43" i="2"/>
  <c r="H43" i="2"/>
  <c r="N41" i="2"/>
  <c r="M41" i="2"/>
  <c r="L41" i="2"/>
  <c r="K41" i="2"/>
  <c r="J41" i="2"/>
  <c r="I41" i="2"/>
  <c r="H41" i="2"/>
  <c r="N40" i="2"/>
  <c r="M40" i="2"/>
  <c r="L40" i="2"/>
  <c r="K40" i="2"/>
  <c r="J40" i="2"/>
  <c r="I40" i="2"/>
  <c r="H40" i="2"/>
  <c r="N39" i="2"/>
  <c r="M39" i="2"/>
  <c r="L39" i="2"/>
  <c r="K39" i="2"/>
  <c r="J39" i="2"/>
  <c r="I39" i="2"/>
  <c r="H39" i="2"/>
  <c r="N37" i="2"/>
  <c r="M37" i="2"/>
  <c r="L37" i="2"/>
  <c r="K37" i="2"/>
  <c r="J37" i="2"/>
  <c r="I37" i="2"/>
  <c r="H37" i="2"/>
  <c r="N36" i="2"/>
  <c r="M36" i="2"/>
  <c r="L36" i="2"/>
  <c r="K36" i="2"/>
  <c r="J36" i="2"/>
  <c r="N35" i="2"/>
  <c r="M35" i="2"/>
  <c r="L35" i="2"/>
  <c r="K35" i="2"/>
  <c r="J35" i="2"/>
  <c r="J6" i="2"/>
  <c r="I6" i="2"/>
  <c r="H6" i="2"/>
  <c r="G6" i="2"/>
  <c r="F6" i="2"/>
  <c r="E6" i="2"/>
  <c r="D6" i="2"/>
  <c r="C6" i="2"/>
  <c r="K6" i="2"/>
  <c r="F5" i="2"/>
  <c r="C5" i="2"/>
  <c r="D5" i="2"/>
  <c r="E5" i="2"/>
  <c r="G5" i="2"/>
  <c r="H5" i="2"/>
  <c r="I5" i="2"/>
  <c r="J5" i="2"/>
  <c r="J4" i="2"/>
  <c r="C4" i="2"/>
  <c r="D4" i="2"/>
  <c r="E4" i="2"/>
  <c r="F4" i="2"/>
  <c r="G4" i="2"/>
  <c r="H4" i="2"/>
  <c r="I4" i="2"/>
  <c r="J14" i="2"/>
  <c r="I14" i="2"/>
  <c r="H14" i="2"/>
  <c r="G14" i="2"/>
  <c r="F14" i="2"/>
  <c r="E14" i="2"/>
  <c r="D14" i="2"/>
  <c r="C14" i="2"/>
  <c r="D13" i="2"/>
  <c r="E13" i="2"/>
  <c r="D12" i="2"/>
  <c r="E10" i="2"/>
  <c r="D10" i="2"/>
  <c r="C10" i="2"/>
  <c r="G10" i="2"/>
  <c r="C13" i="2"/>
  <c r="C12" i="2"/>
  <c r="H10" i="2"/>
  <c r="I10" i="2"/>
  <c r="F10" i="2"/>
  <c r="J10" i="2"/>
  <c r="AP40" i="2" l="1"/>
  <c r="AH40" i="2"/>
  <c r="AI40" i="2"/>
  <c r="AJ40" i="2"/>
  <c r="AK40" i="2"/>
  <c r="AL40" i="2"/>
  <c r="AM40" i="2"/>
  <c r="AN40" i="2"/>
  <c r="AO40" i="2"/>
  <c r="U47" i="2" l="1"/>
  <c r="AG22" i="2"/>
  <c r="U36" i="2"/>
  <c r="U35" i="2"/>
  <c r="Y9" i="2"/>
  <c r="Y40" i="2" s="1"/>
  <c r="X9" i="2"/>
  <c r="X40" i="2" s="1"/>
  <c r="W9" i="2"/>
  <c r="W40" i="2" s="1"/>
  <c r="AC40" i="2"/>
  <c r="AC39" i="2"/>
  <c r="AC36" i="2"/>
  <c r="AC35" i="2"/>
  <c r="AB22" i="2"/>
  <c r="AC22" i="2"/>
  <c r="AB20" i="2"/>
  <c r="AD24" i="2"/>
  <c r="AC20" i="2"/>
  <c r="AB5" i="2"/>
  <c r="AC5" i="2"/>
  <c r="AC44" i="2" s="1"/>
  <c r="AB4" i="2"/>
  <c r="AC4" i="2"/>
  <c r="AC43" i="2" s="1"/>
  <c r="AB10" i="2"/>
  <c r="AC10" i="2"/>
  <c r="AB14" i="2"/>
  <c r="AB30" i="2" s="1"/>
  <c r="AC14" i="2"/>
  <c r="AC37" i="2" s="1"/>
  <c r="AD9" i="2"/>
  <c r="AD8" i="2"/>
  <c r="AD27" i="2"/>
  <c r="AD19" i="2"/>
  <c r="AD18" i="2"/>
  <c r="AD17" i="2"/>
  <c r="AD15" i="2"/>
  <c r="AE13" i="2"/>
  <c r="AD13" i="2"/>
  <c r="AD36" i="2" s="1"/>
  <c r="AD12" i="2"/>
  <c r="AD14" i="2" s="1"/>
  <c r="AE9" i="2"/>
  <c r="AE8" i="2"/>
  <c r="AE27" i="2"/>
  <c r="AE24" i="2"/>
  <c r="AE19" i="2"/>
  <c r="AE18" i="2"/>
  <c r="AE17" i="2"/>
  <c r="AE15" i="2"/>
  <c r="AE12" i="2"/>
  <c r="AF27" i="2"/>
  <c r="V9" i="2"/>
  <c r="V40" i="2" s="1"/>
  <c r="V8" i="2"/>
  <c r="AF8" i="2" s="1"/>
  <c r="T40" i="2"/>
  <c r="S40" i="2"/>
  <c r="R40" i="2"/>
  <c r="Q40" i="2"/>
  <c r="P40" i="2"/>
  <c r="O40" i="2"/>
  <c r="T39" i="2"/>
  <c r="S39" i="2"/>
  <c r="R39" i="2"/>
  <c r="Q39" i="2"/>
  <c r="P39" i="2"/>
  <c r="O39" i="2"/>
  <c r="U40" i="2"/>
  <c r="U39" i="2"/>
  <c r="T36" i="2"/>
  <c r="S36" i="2"/>
  <c r="R36" i="2"/>
  <c r="Q36" i="2"/>
  <c r="P36" i="2"/>
  <c r="O36" i="2"/>
  <c r="T35" i="2"/>
  <c r="S35" i="2"/>
  <c r="R35" i="2"/>
  <c r="Q35" i="2"/>
  <c r="P35" i="2"/>
  <c r="O35" i="2"/>
  <c r="K22" i="2"/>
  <c r="K20" i="2"/>
  <c r="K14" i="2"/>
  <c r="K16" i="2" s="1"/>
  <c r="K29" i="2" s="1"/>
  <c r="K10" i="2"/>
  <c r="K5" i="2"/>
  <c r="K4" i="2"/>
  <c r="L22" i="2"/>
  <c r="L20" i="2"/>
  <c r="L14" i="2"/>
  <c r="L10" i="2"/>
  <c r="L5" i="2"/>
  <c r="L4" i="2"/>
  <c r="M22" i="2"/>
  <c r="M20" i="2"/>
  <c r="M14" i="2"/>
  <c r="M16" i="2" s="1"/>
  <c r="M10" i="2"/>
  <c r="M5" i="2"/>
  <c r="M4" i="2"/>
  <c r="N22" i="2"/>
  <c r="N20" i="2"/>
  <c r="N14" i="2"/>
  <c r="N16" i="2" s="1"/>
  <c r="N29" i="2" s="1"/>
  <c r="N10" i="2"/>
  <c r="N5" i="2"/>
  <c r="N4" i="2"/>
  <c r="O22" i="2"/>
  <c r="O20" i="2"/>
  <c r="O14" i="2"/>
  <c r="O16" i="2" s="1"/>
  <c r="O29" i="2" s="1"/>
  <c r="O10" i="2"/>
  <c r="O6" i="2" s="1"/>
  <c r="O5" i="2"/>
  <c r="O4" i="2"/>
  <c r="P22" i="2"/>
  <c r="P20" i="2"/>
  <c r="P14" i="2"/>
  <c r="P16" i="2" s="1"/>
  <c r="P29" i="2" s="1"/>
  <c r="P10" i="2"/>
  <c r="P5" i="2"/>
  <c r="P4" i="2"/>
  <c r="Q22" i="2"/>
  <c r="Q20" i="2"/>
  <c r="Q14" i="2"/>
  <c r="Q16" i="2" s="1"/>
  <c r="Q29" i="2" s="1"/>
  <c r="Q10" i="2"/>
  <c r="Q5" i="2"/>
  <c r="Q4" i="2"/>
  <c r="Q43" i="2" s="1"/>
  <c r="R22" i="2"/>
  <c r="R20" i="2"/>
  <c r="R14" i="2"/>
  <c r="R16" i="2" s="1"/>
  <c r="R29" i="2" s="1"/>
  <c r="R10" i="2"/>
  <c r="R5" i="2"/>
  <c r="V5" i="2" s="1"/>
  <c r="R4" i="2"/>
  <c r="S22" i="2"/>
  <c r="S20" i="2"/>
  <c r="S14" i="2"/>
  <c r="S16" i="2" s="1"/>
  <c r="S29" i="2" s="1"/>
  <c r="S10" i="2"/>
  <c r="S5" i="2"/>
  <c r="W5" i="2" s="1"/>
  <c r="W44" i="2" s="1"/>
  <c r="S4" i="2"/>
  <c r="W4" i="2" s="1"/>
  <c r="W43" i="2" s="1"/>
  <c r="T22" i="2"/>
  <c r="T20" i="2"/>
  <c r="T14" i="2"/>
  <c r="T16" i="2" s="1"/>
  <c r="T29" i="2" s="1"/>
  <c r="T10" i="2"/>
  <c r="T5" i="2"/>
  <c r="X5" i="2" s="1"/>
  <c r="X44" i="2" s="1"/>
  <c r="T4" i="2"/>
  <c r="U22" i="2"/>
  <c r="U20" i="2"/>
  <c r="U5" i="2"/>
  <c r="U4" i="2"/>
  <c r="Y4" i="2" s="1"/>
  <c r="Y43" i="2" s="1"/>
  <c r="U10" i="2"/>
  <c r="U14" i="2"/>
  <c r="U30" i="2" s="1"/>
  <c r="AC3" i="2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M21" i="2" l="1"/>
  <c r="T31" i="2"/>
  <c r="P43" i="2"/>
  <c r="P44" i="2"/>
  <c r="S32" i="2"/>
  <c r="R41" i="2"/>
  <c r="AE22" i="2"/>
  <c r="AE39" i="2"/>
  <c r="Q30" i="2"/>
  <c r="T30" i="2"/>
  <c r="AE5" i="2"/>
  <c r="Q44" i="2"/>
  <c r="S30" i="2"/>
  <c r="T37" i="2"/>
  <c r="AE20" i="2"/>
  <c r="Q31" i="2"/>
  <c r="T43" i="2"/>
  <c r="AD30" i="2"/>
  <c r="U31" i="2"/>
  <c r="N32" i="2"/>
  <c r="U41" i="2"/>
  <c r="U16" i="2"/>
  <c r="U29" i="2" s="1"/>
  <c r="U6" i="2"/>
  <c r="AD35" i="2"/>
  <c r="AC31" i="2"/>
  <c r="T41" i="2"/>
  <c r="AD4" i="2"/>
  <c r="AD43" i="2" s="1"/>
  <c r="AD5" i="2"/>
  <c r="AD44" i="2" s="1"/>
  <c r="P32" i="2"/>
  <c r="Z9" i="2"/>
  <c r="Z40" i="2" s="1"/>
  <c r="S43" i="2"/>
  <c r="P41" i="2"/>
  <c r="K30" i="2"/>
  <c r="AF22" i="2"/>
  <c r="M30" i="2"/>
  <c r="AC30" i="2"/>
  <c r="U37" i="2"/>
  <c r="R43" i="2"/>
  <c r="N30" i="2"/>
  <c r="AD22" i="2"/>
  <c r="AD20" i="2"/>
  <c r="P30" i="2"/>
  <c r="AB31" i="2"/>
  <c r="M32" i="2"/>
  <c r="Q37" i="2"/>
  <c r="AD32" i="2"/>
  <c r="M29" i="2"/>
  <c r="R31" i="2"/>
  <c r="S31" i="2"/>
  <c r="Y10" i="2"/>
  <c r="Y41" i="2" s="1"/>
  <c r="AC41" i="2"/>
  <c r="U32" i="2"/>
  <c r="AD31" i="2"/>
  <c r="AF9" i="2"/>
  <c r="AF40" i="2" s="1"/>
  <c r="AE35" i="2"/>
  <c r="AE40" i="2"/>
  <c r="K32" i="2"/>
  <c r="X13" i="2"/>
  <c r="X36" i="2" s="1"/>
  <c r="O44" i="2"/>
  <c r="S44" i="2"/>
  <c r="L30" i="2"/>
  <c r="L31" i="2"/>
  <c r="L32" i="2"/>
  <c r="P37" i="2"/>
  <c r="V13" i="2"/>
  <c r="V44" i="2"/>
  <c r="Z5" i="2"/>
  <c r="AD37" i="2"/>
  <c r="AD16" i="2"/>
  <c r="Y5" i="2"/>
  <c r="Y44" i="2" s="1"/>
  <c r="U44" i="2"/>
  <c r="O37" i="2"/>
  <c r="O43" i="2"/>
  <c r="S41" i="2"/>
  <c r="R37" i="2"/>
  <c r="O30" i="2"/>
  <c r="AB32" i="2"/>
  <c r="X10" i="2"/>
  <c r="X41" i="2" s="1"/>
  <c r="R44" i="2"/>
  <c r="Q32" i="2"/>
  <c r="T44" i="2"/>
  <c r="AE4" i="2"/>
  <c r="AC6" i="2"/>
  <c r="AB6" i="2"/>
  <c r="AC16" i="2"/>
  <c r="M31" i="2"/>
  <c r="W13" i="2"/>
  <c r="N31" i="2"/>
  <c r="AE14" i="2"/>
  <c r="AE32" i="2" s="1"/>
  <c r="AE36" i="2"/>
  <c r="AD40" i="2"/>
  <c r="O31" i="2"/>
  <c r="AB16" i="2"/>
  <c r="P31" i="2"/>
  <c r="S37" i="2"/>
  <c r="AC32" i="2"/>
  <c r="R30" i="2"/>
  <c r="O32" i="2"/>
  <c r="W10" i="2"/>
  <c r="W41" i="2" s="1"/>
  <c r="R32" i="2"/>
  <c r="K31" i="2"/>
  <c r="T32" i="2"/>
  <c r="AD39" i="2"/>
  <c r="Y39" i="2"/>
  <c r="O41" i="2"/>
  <c r="Q41" i="2"/>
  <c r="X4" i="2"/>
  <c r="X43" i="2" s="1"/>
  <c r="V4" i="2"/>
  <c r="Z4" i="2" s="1"/>
  <c r="Z43" i="2" s="1"/>
  <c r="U43" i="2"/>
  <c r="V39" i="2"/>
  <c r="V10" i="2"/>
  <c r="V41" i="2" s="1"/>
  <c r="AF39" i="2"/>
  <c r="AD10" i="2"/>
  <c r="L6" i="2"/>
  <c r="X39" i="2"/>
  <c r="W39" i="2"/>
  <c r="W12" i="2"/>
  <c r="Y12" i="2"/>
  <c r="AE10" i="2"/>
  <c r="K21" i="2"/>
  <c r="K23" i="2" s="1"/>
  <c r="O45" i="2"/>
  <c r="L16" i="2"/>
  <c r="M23" i="2"/>
  <c r="M6" i="2"/>
  <c r="N21" i="2"/>
  <c r="N23" i="2" s="1"/>
  <c r="N6" i="2"/>
  <c r="O21" i="2"/>
  <c r="O23" i="2" s="1"/>
  <c r="P21" i="2"/>
  <c r="P23" i="2" s="1"/>
  <c r="P6" i="2"/>
  <c r="Q21" i="2"/>
  <c r="Q23" i="2" s="1"/>
  <c r="Q6" i="2"/>
  <c r="R21" i="2"/>
  <c r="R23" i="2" s="1"/>
  <c r="R6" i="2"/>
  <c r="S21" i="2"/>
  <c r="S23" i="2" s="1"/>
  <c r="S6" i="2"/>
  <c r="S45" i="2" s="1"/>
  <c r="T21" i="2"/>
  <c r="T23" i="2" s="1"/>
  <c r="T6" i="2"/>
  <c r="O9" i="1"/>
  <c r="O8" i="1"/>
  <c r="O6" i="1"/>
  <c r="AE44" i="2" l="1"/>
  <c r="AE43" i="2"/>
  <c r="AG9" i="2"/>
  <c r="AG40" i="2" s="1"/>
  <c r="Z10" i="2"/>
  <c r="U21" i="2"/>
  <c r="U23" i="2" s="1"/>
  <c r="U25" i="2" s="1"/>
  <c r="U26" i="2" s="1"/>
  <c r="Y13" i="2"/>
  <c r="Y36" i="2" s="1"/>
  <c r="AF10" i="2"/>
  <c r="R25" i="2"/>
  <c r="R26" i="2" s="1"/>
  <c r="R33" i="2"/>
  <c r="AD29" i="2"/>
  <c r="AD21" i="2"/>
  <c r="AD23" i="2" s="1"/>
  <c r="AC29" i="2"/>
  <c r="AC21" i="2"/>
  <c r="AC23" i="2" s="1"/>
  <c r="Q25" i="2"/>
  <c r="Q26" i="2" s="1"/>
  <c r="Q33" i="2"/>
  <c r="Z44" i="2"/>
  <c r="Z13" i="2"/>
  <c r="Z36" i="2" s="1"/>
  <c r="AC45" i="2"/>
  <c r="P25" i="2"/>
  <c r="P26" i="2" s="1"/>
  <c r="P33" i="2"/>
  <c r="AF13" i="2"/>
  <c r="V36" i="2"/>
  <c r="O25" i="2"/>
  <c r="O26" i="2" s="1"/>
  <c r="O33" i="2"/>
  <c r="N25" i="2"/>
  <c r="N26" i="2" s="1"/>
  <c r="N33" i="2"/>
  <c r="M25" i="2"/>
  <c r="M26" i="2" s="1"/>
  <c r="M33" i="2"/>
  <c r="L21" i="2"/>
  <c r="L23" i="2" s="1"/>
  <c r="L29" i="2"/>
  <c r="K25" i="2"/>
  <c r="K26" i="2" s="1"/>
  <c r="K33" i="2"/>
  <c r="AB29" i="2"/>
  <c r="AB21" i="2"/>
  <c r="AB23" i="2" s="1"/>
  <c r="V43" i="2"/>
  <c r="V12" i="2"/>
  <c r="V14" i="2" s="1"/>
  <c r="T45" i="2"/>
  <c r="T25" i="2"/>
  <c r="T26" i="2" s="1"/>
  <c r="T33" i="2"/>
  <c r="AE16" i="2"/>
  <c r="AE31" i="2"/>
  <c r="AE30" i="2"/>
  <c r="AE37" i="2"/>
  <c r="S25" i="2"/>
  <c r="S26" i="2" s="1"/>
  <c r="S33" i="2"/>
  <c r="R45" i="2"/>
  <c r="W36" i="2"/>
  <c r="AE6" i="2"/>
  <c r="AE41" i="2"/>
  <c r="AD6" i="2"/>
  <c r="AD45" i="2" s="1"/>
  <c r="AD41" i="2"/>
  <c r="AG8" i="2"/>
  <c r="Z41" i="2"/>
  <c r="Y35" i="2"/>
  <c r="Y14" i="2"/>
  <c r="X12" i="2"/>
  <c r="Q45" i="2"/>
  <c r="P45" i="2"/>
  <c r="Z12" i="2"/>
  <c r="Z39" i="2"/>
  <c r="U45" i="2"/>
  <c r="W14" i="2"/>
  <c r="W35" i="2"/>
  <c r="AH10" i="2" l="1"/>
  <c r="U33" i="2"/>
  <c r="AF41" i="2"/>
  <c r="Z35" i="2"/>
  <c r="AC25" i="2"/>
  <c r="AC33" i="2"/>
  <c r="V35" i="2"/>
  <c r="AF12" i="2"/>
  <c r="AF35" i="2" s="1"/>
  <c r="AE21" i="2"/>
  <c r="AE23" i="2" s="1"/>
  <c r="AE29" i="2"/>
  <c r="AF5" i="2"/>
  <c r="AF44" i="2" s="1"/>
  <c r="AF36" i="2"/>
  <c r="AB25" i="2"/>
  <c r="AB33" i="2"/>
  <c r="AG12" i="2"/>
  <c r="AG4" i="2" s="1"/>
  <c r="AD25" i="2"/>
  <c r="AD26" i="2" s="1"/>
  <c r="AD33" i="2"/>
  <c r="AG13" i="2"/>
  <c r="L25" i="2"/>
  <c r="L26" i="2" s="1"/>
  <c r="L33" i="2"/>
  <c r="Y19" i="2"/>
  <c r="Y32" i="2" s="1"/>
  <c r="Y17" i="2"/>
  <c r="Y18" i="2"/>
  <c r="Y31" i="2" s="1"/>
  <c r="Y15" i="2"/>
  <c r="Y16" i="2" s="1"/>
  <c r="Y37" i="2"/>
  <c r="Y6" i="2"/>
  <c r="Y45" i="2" s="1"/>
  <c r="AG10" i="2"/>
  <c r="AG41" i="2" s="1"/>
  <c r="AG39" i="2"/>
  <c r="V37" i="2"/>
  <c r="V15" i="2"/>
  <c r="AF15" i="2" s="1"/>
  <c r="V6" i="2"/>
  <c r="V45" i="2" s="1"/>
  <c r="V19" i="2"/>
  <c r="V18" i="2"/>
  <c r="V17" i="2"/>
  <c r="X14" i="2"/>
  <c r="X18" i="2" s="1"/>
  <c r="X31" i="2" s="1"/>
  <c r="X35" i="2"/>
  <c r="Z14" i="2"/>
  <c r="Z6" i="2" s="1"/>
  <c r="AE45" i="2"/>
  <c r="AH39" i="2"/>
  <c r="W6" i="2"/>
  <c r="W45" i="2" s="1"/>
  <c r="W15" i="2"/>
  <c r="W16" i="2" s="1"/>
  <c r="W17" i="2"/>
  <c r="W18" i="2"/>
  <c r="W37" i="2"/>
  <c r="W19" i="2"/>
  <c r="AH41" i="2" l="1"/>
  <c r="AI10" i="2"/>
  <c r="AI41" i="2" s="1"/>
  <c r="AF14" i="2"/>
  <c r="AF16" i="2" s="1"/>
  <c r="X6" i="2"/>
  <c r="X45" i="2" s="1"/>
  <c r="AF4" i="2"/>
  <c r="AF43" i="2" s="1"/>
  <c r="X15" i="2"/>
  <c r="X16" i="2" s="1"/>
  <c r="X29" i="2" s="1"/>
  <c r="X19" i="2"/>
  <c r="X32" i="2" s="1"/>
  <c r="Z17" i="2"/>
  <c r="Z30" i="2" s="1"/>
  <c r="Z18" i="2"/>
  <c r="Z31" i="2" s="1"/>
  <c r="Z19" i="2"/>
  <c r="Z32" i="2" s="1"/>
  <c r="Z37" i="2"/>
  <c r="Z15" i="2"/>
  <c r="Z16" i="2" s="1"/>
  <c r="Z29" i="2" s="1"/>
  <c r="AH43" i="2"/>
  <c r="AH36" i="2"/>
  <c r="AG36" i="2"/>
  <c r="AG5" i="2"/>
  <c r="AE25" i="2"/>
  <c r="AE26" i="2" s="1"/>
  <c r="AE33" i="2"/>
  <c r="AG14" i="2"/>
  <c r="AG35" i="2"/>
  <c r="Y29" i="2"/>
  <c r="AF19" i="2"/>
  <c r="V32" i="2"/>
  <c r="Z45" i="2"/>
  <c r="AF18" i="2"/>
  <c r="V31" i="2"/>
  <c r="AI39" i="2"/>
  <c r="Y20" i="2"/>
  <c r="Y21" i="2" s="1"/>
  <c r="Y23" i="2" s="1"/>
  <c r="Y30" i="2"/>
  <c r="X17" i="2"/>
  <c r="X37" i="2"/>
  <c r="V16" i="2"/>
  <c r="AF17" i="2"/>
  <c r="V30" i="2"/>
  <c r="V20" i="2"/>
  <c r="W20" i="2"/>
  <c r="W21" i="2" s="1"/>
  <c r="W23" i="2" s="1"/>
  <c r="W30" i="2"/>
  <c r="W29" i="2"/>
  <c r="W32" i="2"/>
  <c r="W31" i="2"/>
  <c r="AJ10" i="2" l="1"/>
  <c r="AJ41" i="2" s="1"/>
  <c r="AG43" i="2"/>
  <c r="X20" i="2"/>
  <c r="X21" i="2" s="1"/>
  <c r="X23" i="2" s="1"/>
  <c r="X24" i="2" s="1"/>
  <c r="X25" i="2" s="1"/>
  <c r="AG18" i="2"/>
  <c r="AG31" i="2" s="1"/>
  <c r="AG37" i="2"/>
  <c r="AF6" i="2"/>
  <c r="AF45" i="2" s="1"/>
  <c r="AF37" i="2"/>
  <c r="AF31" i="2"/>
  <c r="AG19" i="2"/>
  <c r="AG32" i="2" s="1"/>
  <c r="AF32" i="2"/>
  <c r="AG15" i="2"/>
  <c r="AG16" i="2" s="1"/>
  <c r="AG29" i="2" s="1"/>
  <c r="Z20" i="2"/>
  <c r="Z21" i="2" s="1"/>
  <c r="Z23" i="2" s="1"/>
  <c r="Z24" i="2" s="1"/>
  <c r="Z25" i="2" s="1"/>
  <c r="AG6" i="2"/>
  <c r="AG44" i="2"/>
  <c r="AI43" i="2"/>
  <c r="AH12" i="2"/>
  <c r="AF20" i="2"/>
  <c r="AF21" i="2" s="1"/>
  <c r="AF23" i="2" s="1"/>
  <c r="AF30" i="2"/>
  <c r="V29" i="2"/>
  <c r="V21" i="2"/>
  <c r="V23" i="2" s="1"/>
  <c r="Y24" i="2"/>
  <c r="Y25" i="2" s="1"/>
  <c r="AG17" i="2"/>
  <c r="X30" i="2"/>
  <c r="AJ39" i="2"/>
  <c r="AF29" i="2"/>
  <c r="W24" i="2"/>
  <c r="W25" i="2" s="1"/>
  <c r="AK10" i="2" l="1"/>
  <c r="AK41" i="2" s="1"/>
  <c r="AI44" i="2"/>
  <c r="AI13" i="2"/>
  <c r="AI36" i="2" s="1"/>
  <c r="AG20" i="2"/>
  <c r="AG45" i="2"/>
  <c r="AG21" i="2"/>
  <c r="AG23" i="2" s="1"/>
  <c r="AH35" i="2"/>
  <c r="AH14" i="2"/>
  <c r="AH6" i="2" s="1"/>
  <c r="AH45" i="2" s="1"/>
  <c r="AI12" i="2"/>
  <c r="AK39" i="2"/>
  <c r="V24" i="2"/>
  <c r="AG30" i="2"/>
  <c r="AG24" i="2"/>
  <c r="AL10" i="2" l="1"/>
  <c r="AL41" i="2" s="1"/>
  <c r="AJ44" i="2"/>
  <c r="AJ13" i="2"/>
  <c r="AJ36" i="2" s="1"/>
  <c r="AG25" i="2"/>
  <c r="AI35" i="2"/>
  <c r="AI14" i="2"/>
  <c r="AI6" i="2" s="1"/>
  <c r="AI45" i="2" s="1"/>
  <c r="AK43" i="2"/>
  <c r="AJ12" i="2"/>
  <c r="AH18" i="2"/>
  <c r="AH31" i="2" s="1"/>
  <c r="AH37" i="2"/>
  <c r="AH17" i="2"/>
  <c r="AH19" i="2"/>
  <c r="AH32" i="2" s="1"/>
  <c r="AH15" i="2"/>
  <c r="AH16" i="2" s="1"/>
  <c r="AH29" i="2" s="1"/>
  <c r="AJ43" i="2"/>
  <c r="AG33" i="2"/>
  <c r="AF24" i="2"/>
  <c r="V33" i="2"/>
  <c r="V25" i="2"/>
  <c r="V47" i="2" s="1"/>
  <c r="W47" i="2" s="1"/>
  <c r="X47" i="2" s="1"/>
  <c r="Y47" i="2" s="1"/>
  <c r="Z47" i="2" s="1"/>
  <c r="AG47" i="2" s="1"/>
  <c r="AL39" i="2"/>
  <c r="AM10" i="2" l="1"/>
  <c r="AM41" i="2" s="1"/>
  <c r="AK13" i="2"/>
  <c r="AK36" i="2" s="1"/>
  <c r="AK44" i="2"/>
  <c r="AH30" i="2"/>
  <c r="AH20" i="2"/>
  <c r="AH21" i="2" s="1"/>
  <c r="AJ35" i="2"/>
  <c r="AJ14" i="2"/>
  <c r="AJ6" i="2" s="1"/>
  <c r="AJ45" i="2" s="1"/>
  <c r="AL43" i="2"/>
  <c r="AK12" i="2"/>
  <c r="AI18" i="2"/>
  <c r="AI31" i="2" s="1"/>
  <c r="AI17" i="2"/>
  <c r="AI15" i="2"/>
  <c r="AI16" i="2" s="1"/>
  <c r="AI37" i="2"/>
  <c r="AI19" i="2"/>
  <c r="AI32" i="2" s="1"/>
  <c r="AM39" i="2"/>
  <c r="AH22" i="2"/>
  <c r="AF33" i="2"/>
  <c r="AF25" i="2"/>
  <c r="AN10" i="2" l="1"/>
  <c r="AN41" i="2" s="1"/>
  <c r="AL13" i="2"/>
  <c r="AL36" i="2" s="1"/>
  <c r="AL44" i="2"/>
  <c r="AI29" i="2"/>
  <c r="AI20" i="2"/>
  <c r="AI21" i="2" s="1"/>
  <c r="AI30" i="2"/>
  <c r="AK35" i="2"/>
  <c r="AK14" i="2"/>
  <c r="AK6" i="2" s="1"/>
  <c r="AK45" i="2" s="1"/>
  <c r="AM43" i="2"/>
  <c r="AL12" i="2"/>
  <c r="AJ18" i="2"/>
  <c r="AJ31" i="2" s="1"/>
  <c r="AJ37" i="2"/>
  <c r="AJ19" i="2"/>
  <c r="AJ32" i="2" s="1"/>
  <c r="AJ17" i="2"/>
  <c r="AJ15" i="2"/>
  <c r="AJ16" i="2" s="1"/>
  <c r="AF26" i="2"/>
  <c r="AH23" i="2"/>
  <c r="AN39" i="2"/>
  <c r="AP10" i="2" l="1"/>
  <c r="AO10" i="2"/>
  <c r="AO41" i="2" s="1"/>
  <c r="AM13" i="2"/>
  <c r="AM36" i="2" s="1"/>
  <c r="AM44" i="2"/>
  <c r="AH24" i="2"/>
  <c r="AH33" i="2" s="1"/>
  <c r="AJ29" i="2"/>
  <c r="AJ20" i="2"/>
  <c r="AJ21" i="2" s="1"/>
  <c r="AJ30" i="2"/>
  <c r="AL35" i="2"/>
  <c r="AL14" i="2"/>
  <c r="AL6" i="2" s="1"/>
  <c r="AL45" i="2" s="1"/>
  <c r="AM12" i="2"/>
  <c r="AK18" i="2"/>
  <c r="AK31" i="2" s="1"/>
  <c r="AK37" i="2"/>
  <c r="AK19" i="2"/>
  <c r="AK32" i="2" s="1"/>
  <c r="AK15" i="2"/>
  <c r="AK16" i="2" s="1"/>
  <c r="AK17" i="2"/>
  <c r="AO39" i="2"/>
  <c r="AH25" i="2" l="1"/>
  <c r="AH47" i="2" s="1"/>
  <c r="AI22" i="2" s="1"/>
  <c r="AI23" i="2" s="1"/>
  <c r="AI24" i="2" s="1"/>
  <c r="AI33" i="2" s="1"/>
  <c r="AP41" i="2"/>
  <c r="AN13" i="2"/>
  <c r="AN36" i="2" s="1"/>
  <c r="AN44" i="2"/>
  <c r="AK20" i="2"/>
  <c r="AK21" i="2" s="1"/>
  <c r="AK30" i="2"/>
  <c r="AK29" i="2"/>
  <c r="AM35" i="2"/>
  <c r="AM14" i="2"/>
  <c r="AM6" i="2" s="1"/>
  <c r="AM45" i="2" s="1"/>
  <c r="AN12" i="2"/>
  <c r="AL18" i="2"/>
  <c r="AL31" i="2" s="1"/>
  <c r="AL37" i="2"/>
  <c r="AL19" i="2"/>
  <c r="AL32" i="2" s="1"/>
  <c r="AL15" i="2"/>
  <c r="AL16" i="2" s="1"/>
  <c r="AL17" i="2"/>
  <c r="AN43" i="2"/>
  <c r="AP39" i="2"/>
  <c r="AO13" i="2" l="1"/>
  <c r="AO36" i="2" s="1"/>
  <c r="AO44" i="2"/>
  <c r="AI25" i="2"/>
  <c r="AI47" i="2" s="1"/>
  <c r="AJ22" i="2" s="1"/>
  <c r="AJ23" i="2" s="1"/>
  <c r="AJ24" i="2" s="1"/>
  <c r="AL20" i="2"/>
  <c r="AL21" i="2" s="1"/>
  <c r="AL30" i="2"/>
  <c r="AL29" i="2"/>
  <c r="AN35" i="2"/>
  <c r="AN14" i="2"/>
  <c r="AN6" i="2" s="1"/>
  <c r="AN45" i="2" s="1"/>
  <c r="AP43" i="2"/>
  <c r="AO12" i="2"/>
  <c r="AM18" i="2"/>
  <c r="AM31" i="2" s="1"/>
  <c r="AM15" i="2"/>
  <c r="AM16" i="2" s="1"/>
  <c r="AM29" i="2" s="1"/>
  <c r="AM37" i="2"/>
  <c r="AM19" i="2"/>
  <c r="AM32" i="2" s="1"/>
  <c r="AM17" i="2"/>
  <c r="AO43" i="2"/>
  <c r="AJ25" i="2"/>
  <c r="AJ47" i="2" s="1"/>
  <c r="AK22" i="2" s="1"/>
  <c r="AK23" i="2" s="1"/>
  <c r="AK24" i="2" s="1"/>
  <c r="AJ33" i="2"/>
  <c r="AP13" i="2" l="1"/>
  <c r="AP36" i="2" s="1"/>
  <c r="AP44" i="2"/>
  <c r="AM30" i="2"/>
  <c r="AM20" i="2"/>
  <c r="AM21" i="2" s="1"/>
  <c r="AO35" i="2"/>
  <c r="AO14" i="2"/>
  <c r="AO6" i="2" s="1"/>
  <c r="AO45" i="2" s="1"/>
  <c r="AN37" i="2"/>
  <c r="AN17" i="2"/>
  <c r="AN19" i="2"/>
  <c r="AN32" i="2" s="1"/>
  <c r="AN18" i="2"/>
  <c r="AN31" i="2" s="1"/>
  <c r="AN15" i="2"/>
  <c r="AN16" i="2" s="1"/>
  <c r="AN29" i="2" s="1"/>
  <c r="AP12" i="2"/>
  <c r="AK25" i="2"/>
  <c r="AK47" i="2" s="1"/>
  <c r="AK33" i="2"/>
  <c r="AP14" i="2" l="1"/>
  <c r="AP6" i="2" s="1"/>
  <c r="AP45" i="2" s="1"/>
  <c r="AP35" i="2"/>
  <c r="AN30" i="2"/>
  <c r="AN20" i="2"/>
  <c r="AN21" i="2" s="1"/>
  <c r="AO19" i="2"/>
  <c r="AO32" i="2" s="1"/>
  <c r="AO18" i="2"/>
  <c r="AO31" i="2" s="1"/>
  <c r="AO15" i="2"/>
  <c r="AO16" i="2" s="1"/>
  <c r="AO29" i="2" s="1"/>
  <c r="AO37" i="2"/>
  <c r="AO17" i="2"/>
  <c r="AL22" i="2"/>
  <c r="AL23" i="2" s="1"/>
  <c r="AL24" i="2" s="1"/>
  <c r="AP37" i="2"/>
  <c r="AP17" i="2"/>
  <c r="AP30" i="2" s="1"/>
  <c r="AP19" i="2"/>
  <c r="AP32" i="2" s="1"/>
  <c r="AP18" i="2"/>
  <c r="AP31" i="2" s="1"/>
  <c r="AP15" i="2"/>
  <c r="AP16" i="2" s="1"/>
  <c r="AO30" i="2" l="1"/>
  <c r="AO20" i="2"/>
  <c r="AO21" i="2" s="1"/>
  <c r="AL25" i="2"/>
  <c r="AL47" i="2" s="1"/>
  <c r="AL33" i="2"/>
  <c r="AP29" i="2"/>
  <c r="AP20" i="2"/>
  <c r="AP21" i="2" s="1"/>
  <c r="AM22" i="2" l="1"/>
  <c r="AM23" i="2" s="1"/>
  <c r="AM24" i="2" s="1"/>
  <c r="AM25" i="2" l="1"/>
  <c r="AM47" i="2" s="1"/>
  <c r="AN22" i="2" s="1"/>
  <c r="AN23" i="2" s="1"/>
  <c r="AN24" i="2" s="1"/>
  <c r="AM33" i="2"/>
  <c r="AN25" i="2" l="1"/>
  <c r="AN47" i="2" s="1"/>
  <c r="AO22" i="2" s="1"/>
  <c r="AO23" i="2" s="1"/>
  <c r="AO24" i="2" s="1"/>
  <c r="AN33" i="2"/>
  <c r="AO25" i="2" l="1"/>
  <c r="AO47" i="2" s="1"/>
  <c r="AO33" i="2"/>
  <c r="AP22" i="2" l="1"/>
  <c r="AP23" i="2" s="1"/>
  <c r="AP24" i="2" s="1"/>
  <c r="AP25" i="2" l="1"/>
  <c r="AP33" i="2"/>
  <c r="AQ25" i="2" l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EF25" i="2" s="1"/>
  <c r="EG25" i="2" s="1"/>
  <c r="EH25" i="2" s="1"/>
  <c r="EI25" i="2" s="1"/>
  <c r="EJ25" i="2" s="1"/>
  <c r="EK25" i="2" s="1"/>
  <c r="EL25" i="2" s="1"/>
  <c r="EM25" i="2" s="1"/>
  <c r="EN25" i="2" s="1"/>
  <c r="EO25" i="2" s="1"/>
  <c r="EP25" i="2" s="1"/>
  <c r="EQ25" i="2" s="1"/>
  <c r="ER25" i="2" s="1"/>
  <c r="ES25" i="2" s="1"/>
  <c r="ET25" i="2" s="1"/>
  <c r="EU25" i="2" s="1"/>
  <c r="EV25" i="2" s="1"/>
  <c r="EW25" i="2" s="1"/>
  <c r="EX25" i="2" s="1"/>
  <c r="EY25" i="2" s="1"/>
  <c r="EZ25" i="2" s="1"/>
  <c r="FA25" i="2" s="1"/>
  <c r="FB25" i="2" s="1"/>
  <c r="FC25" i="2" s="1"/>
  <c r="FD25" i="2" s="1"/>
  <c r="FE25" i="2" s="1"/>
  <c r="FF25" i="2" s="1"/>
  <c r="FG25" i="2" s="1"/>
  <c r="FH25" i="2" s="1"/>
  <c r="AS32" i="2" s="1"/>
  <c r="AS33" i="2" s="1"/>
  <c r="AP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Grenci</author>
  </authors>
  <commentList>
    <comment ref="V12" authorId="0" shapeId="0" xr:uid="{8976A173-3F96-4A08-8298-DBABD08CE0AB}">
      <text>
        <r>
          <rPr>
            <b/>
            <sz val="9"/>
            <color indexed="81"/>
            <rFont val="Tahoma"/>
            <family val="2"/>
          </rPr>
          <t>Michael Grenci:</t>
        </r>
        <r>
          <rPr>
            <sz val="9"/>
            <color indexed="81"/>
            <rFont val="Tahoma"/>
            <family val="2"/>
          </rPr>
          <t xml:space="preserve">
Guidance 207-211
</t>
        </r>
      </text>
    </comment>
  </commentList>
</comments>
</file>

<file path=xl/sharedStrings.xml><?xml version="1.0" encoding="utf-8"?>
<sst xmlns="http://schemas.openxmlformats.org/spreadsheetml/2006/main" count="95" uniqueCount="91">
  <si>
    <t>Price</t>
  </si>
  <si>
    <t>S/O</t>
  </si>
  <si>
    <t xml:space="preserve">MC </t>
  </si>
  <si>
    <t xml:space="preserve">Cash </t>
  </si>
  <si>
    <t xml:space="preserve">Debt </t>
  </si>
  <si>
    <t xml:space="preserve">EV </t>
  </si>
  <si>
    <t>Q324</t>
  </si>
  <si>
    <t>Main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</si>
  <si>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</si>
  <si>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</si>
  <si>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</si>
  <si>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</si>
  <si>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</si>
  <si>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</si>
  <si>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</si>
  <si>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</si>
  <si>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</si>
  <si>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</si>
  <si>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</si>
  <si>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Q125</t>
  </si>
  <si>
    <t>Q225</t>
  </si>
  <si>
    <t>Q325</t>
  </si>
  <si>
    <t>Q425</t>
  </si>
  <si>
    <t>Bumble Revenue</t>
  </si>
  <si>
    <t xml:space="preserve">Badoo &amp; Other Revenue </t>
  </si>
  <si>
    <t xml:space="preserve">Revenue </t>
  </si>
  <si>
    <t xml:space="preserve">Bumble Payers </t>
  </si>
  <si>
    <t xml:space="preserve">Badoo &amp; Other Payers </t>
  </si>
  <si>
    <t xml:space="preserve">Total Payers </t>
  </si>
  <si>
    <t xml:space="preserve">Bumble ARPU </t>
  </si>
  <si>
    <t xml:space="preserve">Badoo &amp; Other ARPU </t>
  </si>
  <si>
    <t xml:space="preserve">Total ARPU </t>
  </si>
  <si>
    <t xml:space="preserve">COGS </t>
  </si>
  <si>
    <t xml:space="preserve">Gross Profit </t>
  </si>
  <si>
    <t xml:space="preserve">S&amp;M </t>
  </si>
  <si>
    <t xml:space="preserve">G&amp;A </t>
  </si>
  <si>
    <t xml:space="preserve">R&amp;D </t>
  </si>
  <si>
    <t xml:space="preserve">Operating Expenses </t>
  </si>
  <si>
    <t xml:space="preserve">Operating Income </t>
  </si>
  <si>
    <t xml:space="preserve">Other Income </t>
  </si>
  <si>
    <t xml:space="preserve">Pretax Income </t>
  </si>
  <si>
    <t xml:space="preserve">Taxes </t>
  </si>
  <si>
    <t xml:space="preserve">Net Income </t>
  </si>
  <si>
    <t xml:space="preserve">EPS </t>
  </si>
  <si>
    <t xml:space="preserve">Shares </t>
  </si>
  <si>
    <t xml:space="preserve">Gross Margin </t>
  </si>
  <si>
    <t xml:space="preserve">S&amp;M % </t>
  </si>
  <si>
    <t xml:space="preserve">G&amp;A % </t>
  </si>
  <si>
    <t>R&amp;D %</t>
  </si>
  <si>
    <t xml:space="preserve">Tax Rate </t>
  </si>
  <si>
    <t>Bumble Revenue y/y</t>
  </si>
  <si>
    <t>Badoo &amp; Other Revenue y/y</t>
  </si>
  <si>
    <t>Revenue y/y</t>
  </si>
  <si>
    <t>Bumble Payers y/y</t>
  </si>
  <si>
    <t>Badoo &amp; Other Payers y/y</t>
  </si>
  <si>
    <t>Total Payers y/y</t>
  </si>
  <si>
    <t>Bumble ARPU y/y</t>
  </si>
  <si>
    <t>Badoo &amp; Other ARPU y/y</t>
  </si>
  <si>
    <t>Total ARPU y/y</t>
  </si>
  <si>
    <t xml:space="preserve">Net Cash </t>
  </si>
  <si>
    <t xml:space="preserve">Maturity </t>
  </si>
  <si>
    <t xml:space="preserve">Discount </t>
  </si>
  <si>
    <t xml:space="preserve">ROIC </t>
  </si>
  <si>
    <t xml:space="preserve">NPV </t>
  </si>
  <si>
    <t>Share</t>
  </si>
  <si>
    <t>Q421</t>
  </si>
  <si>
    <t>Q321</t>
  </si>
  <si>
    <t>Q221</t>
  </si>
  <si>
    <t>Q121</t>
  </si>
  <si>
    <t>Q420</t>
  </si>
  <si>
    <t>Q320</t>
  </si>
  <si>
    <t>Q220</t>
  </si>
  <si>
    <t>Q120</t>
  </si>
  <si>
    <t xml:space="preserve">Segments </t>
  </si>
  <si>
    <t xml:space="preserve">Bumble </t>
  </si>
  <si>
    <t xml:space="preserve">Badoo </t>
  </si>
  <si>
    <t xml:space="preserve">Fruitz </t>
  </si>
  <si>
    <t xml:space="preserve">Official </t>
  </si>
  <si>
    <t xml:space="preserve">Badoo &amp; Other </t>
  </si>
  <si>
    <t>BFF</t>
  </si>
  <si>
    <t xml:space="preserve">Founded in 2006. </t>
  </si>
  <si>
    <t>Founded in 2020.</t>
  </si>
  <si>
    <t>Founded in 2017.</t>
  </si>
  <si>
    <t>Launched in 2023.</t>
  </si>
  <si>
    <t>Founded in 2014.</t>
  </si>
  <si>
    <t xml:space="preserve">Built for women by women. </t>
  </si>
  <si>
    <t xml:space="preserve">Pioneers of web and mobile dating products. </t>
  </si>
  <si>
    <t xml:space="preserve">Open communication through playful fruit metaphors. </t>
  </si>
  <si>
    <t xml:space="preserve">App for couples to stay together. </t>
  </si>
  <si>
    <t xml:space="preserve">Basically, what's bumble worth? </t>
  </si>
  <si>
    <t>EV/FCF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</si>
</sst>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9" fontId="2" fillId="0" borderId="0" xfId="1" applyFont="1"/>
    <xf numFmtId="3" fontId="2" fillId="2" borderId="0" xfId="0" applyNumberFormat="1" applyFont="1" applyFill="1"/>
    <xf numFmtId="9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603250</xdr:colOff>
      <xdr:row>0</xdr:row>
      <xdr:rowOff>139700</xdr:rowOff>
    </xdr:from>
    <xdr:to>
      <xdr:col>21</xdr:col>
      <xdr:colOff>6350</xdr:colOff>
      <xdr:row>47</xdr:row>
      <xdr:rowOff>158750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8ECD586-F612-F620-E233-EA4113B4E4C4}"/>
            </a:ext>
          </a:extLst>
        </xdr:cNvPr>
        <xdr:cNvCxnSpPr/>
      </xdr:nvCxnSpPr>
      <xdr:spPr>
        <a:xfrm>
          <a:off x="8851900" y="139700"/>
          <a:ext cx="12700" cy="83756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12700</xdr:colOff>
      <xdr:row>0</xdr:row>
      <xdr:rowOff>107950</xdr:rowOff>
    </xdr:from>
    <xdr:to>
      <xdr:col>32</xdr:col>
      <xdr:colOff>12700</xdr:colOff>
      <xdr:row>53</xdr:row>
      <xdr:rowOff>44450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DA23C20-62B4-85C5-FB86-89AD7372242F}"/>
            </a:ext>
          </a:extLst>
        </xdr:cNvPr>
        <xdr:cNvCxnSpPr/>
      </xdr:nvCxnSpPr>
      <xdr:spPr>
        <a:xfrm>
          <a:off x="15576550" y="107950"/>
          <a:ext cx="0" cy="93599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C1C91-B28E-4133-98C8-B1CA6C6D68E4}">
  <dimension ref="B4:P23"/>
  <sheetViews>
    <sheetView workbookViewId="0">
      <selection activeCell="O11" sqref="O11"/>
    </sheetView>
  </sheetViews>
  <sheetFormatPr defaultRowHeight="14" x14ac:dyDescent="0.3"/>
  <cols>
    <col min="1" max="2" width="8.7265625" style="1"/>
    <col min="3" max="3" width="14.6328125" style="1" bestFit="1" customWidth="1"/>
    <col min="4" max="16384" width="8.7265625" style="1"/>
  </cols>
  <sheetData>
    <row r="4" spans="2:16" x14ac:dyDescent="0.3">
      <c r="C4" s="6" t="s">
        <v>73</v>
      </c>
      <c r="N4" s="1" t="s">
        <v>0</v>
      </c>
      <c r="O4" s="1">
        <v>8.02</v>
      </c>
    </row>
    <row r="5" spans="2:16" x14ac:dyDescent="0.3">
      <c r="B5" s="8">
        <f>Model!AF12/Model!AF14</f>
        <v>0.80582154432941111</v>
      </c>
      <c r="C5" s="1" t="s">
        <v>74</v>
      </c>
      <c r="D5" s="1" t="s">
        <v>74</v>
      </c>
      <c r="E5" s="1" t="s">
        <v>84</v>
      </c>
      <c r="H5" s="1" t="s">
        <v>85</v>
      </c>
      <c r="N5" s="1" t="s">
        <v>1</v>
      </c>
      <c r="O5" s="2">
        <v>108.182365</v>
      </c>
      <c r="P5" s="1" t="s">
        <v>6</v>
      </c>
    </row>
    <row r="6" spans="2:16" x14ac:dyDescent="0.3">
      <c r="D6" s="1" t="s">
        <v>79</v>
      </c>
      <c r="E6" s="1" t="s">
        <v>83</v>
      </c>
      <c r="N6" s="1" t="s">
        <v>2</v>
      </c>
      <c r="O6" s="2">
        <f>O4*O5</f>
        <v>867.62256730000001</v>
      </c>
    </row>
    <row r="7" spans="2:16" x14ac:dyDescent="0.3">
      <c r="N7" s="1" t="s">
        <v>3</v>
      </c>
      <c r="O7" s="2">
        <v>252.05699999999999</v>
      </c>
      <c r="P7" s="1" t="s">
        <v>6</v>
      </c>
    </row>
    <row r="8" spans="2:16" x14ac:dyDescent="0.3">
      <c r="N8" s="1" t="s">
        <v>4</v>
      </c>
      <c r="O8" s="2">
        <f>5.75+612.231</f>
        <v>617.98099999999999</v>
      </c>
      <c r="P8" s="1" t="s">
        <v>6</v>
      </c>
    </row>
    <row r="9" spans="2:16" x14ac:dyDescent="0.3">
      <c r="N9" s="1" t="s">
        <v>5</v>
      </c>
      <c r="O9" s="2">
        <f>O6-O7+O8</f>
        <v>1233.5465672999999</v>
      </c>
    </row>
    <row r="10" spans="2:16" x14ac:dyDescent="0.3">
      <c r="B10" s="8">
        <f>Model!AF13/Model!AF14</f>
        <v>0.19417845567058872</v>
      </c>
      <c r="C10" s="1" t="s">
        <v>78</v>
      </c>
      <c r="D10" s="1" t="s">
        <v>75</v>
      </c>
      <c r="E10" s="1" t="s">
        <v>80</v>
      </c>
    </row>
    <row r="11" spans="2:16" x14ac:dyDescent="0.3">
      <c r="E11" s="1" t="s">
        <v>86</v>
      </c>
      <c r="N11" s="1" t="s">
        <v>90</v>
      </c>
      <c r="O11" s="4">
        <f>O9/125</f>
        <v>9.8683725383999992</v>
      </c>
    </row>
    <row r="14" spans="2:16" x14ac:dyDescent="0.3">
      <c r="D14" s="1" t="s">
        <v>76</v>
      </c>
      <c r="E14" s="1" t="s">
        <v>82</v>
      </c>
    </row>
    <row r="15" spans="2:16" x14ac:dyDescent="0.3">
      <c r="E15" s="1" t="s">
        <v>87</v>
      </c>
    </row>
    <row r="18" spans="3:5" x14ac:dyDescent="0.3">
      <c r="D18" s="1" t="s">
        <v>77</v>
      </c>
      <c r="E18" s="1" t="s">
        <v>81</v>
      </c>
    </row>
    <row r="19" spans="3:5" x14ac:dyDescent="0.3">
      <c r="E19" s="1" t="s">
        <v>88</v>
      </c>
    </row>
    <row r="23" spans="3:5" x14ac:dyDescent="0.3">
      <c r="C23" s="1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6BFE2-553D-4682-93FE-AA62ABE86D6C}">
  <dimension ref="A1:FH47"/>
  <sheetViews>
    <sheetView tabSelected="1" workbookViewId="0">
      <pane xSplit="2" ySplit="3" topLeftCell="M4" activePane="bottomRight" state="frozen"/>
      <selection pane="topRight" activeCell="C1" sqref="C1"/>
      <selection pane="bottomLeft" activeCell="A4" sqref="A4"/>
      <selection pane="bottomRight" activeCell="AI50" sqref="AI50"/>
    </sheetView>
  </sheetViews>
  <sheetFormatPr defaultRowHeight="14" x14ac:dyDescent="0.3"/>
  <cols>
    <col min="1" max="1" width="5.08984375" style="1" bestFit="1" customWidth="1"/>
    <col min="2" max="2" width="25.7265625" style="1" bestFit="1" customWidth="1"/>
    <col min="3" max="10" width="9.453125" style="1" customWidth="1"/>
    <col min="11" max="16384" width="8.7265625" style="2"/>
  </cols>
  <sheetData>
    <row r="1" spans="1:42" s="1" customFormat="1" x14ac:dyDescent="0.3">
      <c r="A1" s="1" t="s">
        <v>7</v>
      </c>
    </row>
    <row r="2" spans="1:42" s="1" customFormat="1" x14ac:dyDescent="0.3"/>
    <row r="3" spans="1:42" s="1" customFormat="1" x14ac:dyDescent="0.3">
      <c r="C3" s="1" t="s">
        <v>72</v>
      </c>
      <c r="D3" s="1" t="s">
        <v>71</v>
      </c>
      <c r="E3" s="1" t="s">
        <v>70</v>
      </c>
      <c r="F3" s="1" t="s">
        <v>69</v>
      </c>
      <c r="G3" s="1" t="s">
        <v>68</v>
      </c>
      <c r="H3" s="1" t="s">
        <v>67</v>
      </c>
      <c r="I3" s="1" t="s">
        <v>66</v>
      </c>
      <c r="J3" s="1" t="s">
        <v>65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6</v>
      </c>
      <c r="V3" s="1" t="s">
        <v>18</v>
      </c>
      <c r="W3" s="1" t="s">
        <v>19</v>
      </c>
      <c r="X3" s="1" t="s">
        <v>20</v>
      </c>
      <c r="Y3" s="1" t="s">
        <v>21</v>
      </c>
      <c r="Z3" s="1" t="s">
        <v>22</v>
      </c>
      <c r="AB3" s="1">
        <v>2020</v>
      </c>
      <c r="AC3" s="1">
        <f>+AB3+1</f>
        <v>2021</v>
      </c>
      <c r="AD3" s="1">
        <f t="shared" ref="AD3:AP3" si="0">+AC3+1</f>
        <v>2022</v>
      </c>
      <c r="AE3" s="1">
        <f t="shared" si="0"/>
        <v>2023</v>
      </c>
      <c r="AF3" s="1">
        <f t="shared" si="0"/>
        <v>2024</v>
      </c>
      <c r="AG3" s="1">
        <f t="shared" si="0"/>
        <v>2025</v>
      </c>
      <c r="AH3" s="1">
        <f t="shared" si="0"/>
        <v>2026</v>
      </c>
      <c r="AI3" s="1">
        <f t="shared" si="0"/>
        <v>2027</v>
      </c>
      <c r="AJ3" s="1">
        <f t="shared" si="0"/>
        <v>2028</v>
      </c>
      <c r="AK3" s="1">
        <f t="shared" si="0"/>
        <v>2029</v>
      </c>
      <c r="AL3" s="1">
        <f t="shared" si="0"/>
        <v>2030</v>
      </c>
      <c r="AM3" s="1">
        <f t="shared" si="0"/>
        <v>2031</v>
      </c>
      <c r="AN3" s="1">
        <f t="shared" si="0"/>
        <v>2032</v>
      </c>
      <c r="AO3" s="1">
        <f t="shared" si="0"/>
        <v>2033</v>
      </c>
      <c r="AP3" s="1">
        <f t="shared" si="0"/>
        <v>2034</v>
      </c>
    </row>
    <row r="4" spans="1:42" s="1" customFormat="1" x14ac:dyDescent="0.3">
      <c r="B4" s="1" t="s">
        <v>29</v>
      </c>
      <c r="C4" s="4">
        <f t="shared" ref="C4:U4" si="1">(C12/C8)/3</f>
        <v>24.86766847845394</v>
      </c>
      <c r="D4" s="4">
        <f t="shared" si="1"/>
        <v>28.489569415854167</v>
      </c>
      <c r="E4" s="4">
        <f t="shared" si="1"/>
        <v>26.653663419782848</v>
      </c>
      <c r="F4" s="4">
        <f t="shared" si="1"/>
        <v>27.79748298783532</v>
      </c>
      <c r="G4" s="4">
        <f t="shared" si="1"/>
        <v>27.744924108022868</v>
      </c>
      <c r="H4" s="4">
        <f t="shared" si="1"/>
        <v>28.807422493776869</v>
      </c>
      <c r="I4" s="4">
        <f t="shared" si="1"/>
        <v>30.993083648701553</v>
      </c>
      <c r="J4" s="4">
        <f t="shared" si="1"/>
        <v>30.576380000406331</v>
      </c>
      <c r="K4" s="4">
        <f t="shared" si="1"/>
        <v>29.179810725552056</v>
      </c>
      <c r="L4" s="4">
        <f t="shared" si="1"/>
        <v>29.367965367965368</v>
      </c>
      <c r="M4" s="4">
        <f t="shared" si="1"/>
        <v>28.83141762452107</v>
      </c>
      <c r="N4" s="4">
        <f t="shared" si="1"/>
        <v>28.635749662314272</v>
      </c>
      <c r="O4" s="4">
        <f t="shared" si="1"/>
        <v>27.928704901538023</v>
      </c>
      <c r="P4" s="4">
        <f t="shared" si="1"/>
        <v>28.207214537564411</v>
      </c>
      <c r="Q4" s="4">
        <f t="shared" si="1"/>
        <v>28.381317978246965</v>
      </c>
      <c r="R4" s="4">
        <f t="shared" si="1"/>
        <v>27.368551587301585</v>
      </c>
      <c r="S4" s="4">
        <f t="shared" si="1"/>
        <v>26.349206349206352</v>
      </c>
      <c r="T4" s="4">
        <f t="shared" si="1"/>
        <v>25.795763814933142</v>
      </c>
      <c r="U4" s="4">
        <f t="shared" si="1"/>
        <v>25.58382711746253</v>
      </c>
      <c r="V4" s="4">
        <f>R4*0.88</f>
        <v>24.084325396825395</v>
      </c>
      <c r="W4" s="4">
        <f>S4*0.92</f>
        <v>24.241269841269844</v>
      </c>
      <c r="X4" s="4">
        <f>T4*0.97</f>
        <v>25.021890900485147</v>
      </c>
      <c r="Y4" s="4">
        <f>U4*1.02</f>
        <v>26.095503659811779</v>
      </c>
      <c r="Z4" s="4">
        <f>V4*1.05</f>
        <v>25.288541666666667</v>
      </c>
      <c r="AB4" s="4">
        <f t="shared" ref="AB4:AG6" si="2">AB12/AB8</f>
        <v>293.31932405218458</v>
      </c>
      <c r="AC4" s="4">
        <f t="shared" si="2"/>
        <v>352.44699293239097</v>
      </c>
      <c r="AD4" s="4">
        <f t="shared" si="2"/>
        <v>347.80002996553969</v>
      </c>
      <c r="AE4" s="4">
        <f t="shared" si="2"/>
        <v>335.57100297914593</v>
      </c>
      <c r="AF4" s="4">
        <f t="shared" si="2"/>
        <v>305.23905914282483</v>
      </c>
      <c r="AG4" s="4">
        <f t="shared" si="2"/>
        <v>302.08955671152319</v>
      </c>
      <c r="AH4" s="4">
        <f>AG4*0.97</f>
        <v>293.0268700101775</v>
      </c>
      <c r="AI4" s="4">
        <f t="shared" ref="AI4:AP4" si="3">AH4*0.97</f>
        <v>284.23606390987214</v>
      </c>
      <c r="AJ4" s="4">
        <f t="shared" si="3"/>
        <v>275.70898199257596</v>
      </c>
      <c r="AK4" s="4">
        <f t="shared" si="3"/>
        <v>267.43771253279868</v>
      </c>
      <c r="AL4" s="4">
        <f t="shared" si="3"/>
        <v>259.41458115681473</v>
      </c>
      <c r="AM4" s="4">
        <f t="shared" si="3"/>
        <v>251.63214372211027</v>
      </c>
      <c r="AN4" s="4">
        <f t="shared" si="3"/>
        <v>244.08317941044695</v>
      </c>
      <c r="AO4" s="4">
        <f t="shared" si="3"/>
        <v>236.76068402813354</v>
      </c>
      <c r="AP4" s="4">
        <f t="shared" si="3"/>
        <v>229.65786350728953</v>
      </c>
    </row>
    <row r="5" spans="1:42" s="1" customFormat="1" x14ac:dyDescent="0.3">
      <c r="B5" s="1" t="s">
        <v>30</v>
      </c>
      <c r="C5" s="4">
        <f t="shared" ref="C5:U5" si="4">(C13/C9)/3</f>
        <v>13.462485634542768</v>
      </c>
      <c r="D5" s="4">
        <f t="shared" si="4"/>
        <v>13.073906192392405</v>
      </c>
      <c r="E5" s="4">
        <f t="shared" si="4"/>
        <v>13.673095614778918</v>
      </c>
      <c r="F5" s="4">
        <f t="shared" si="4"/>
        <v>13.992231737563758</v>
      </c>
      <c r="G5" s="4">
        <f t="shared" si="4"/>
        <v>13.351717798460301</v>
      </c>
      <c r="H5" s="4">
        <f t="shared" si="4"/>
        <v>13.500194824543309</v>
      </c>
      <c r="I5" s="4">
        <f t="shared" si="4"/>
        <v>14.499275036248187</v>
      </c>
      <c r="J5" s="4">
        <f t="shared" si="4"/>
        <v>14.372540228167189</v>
      </c>
      <c r="K5" s="4">
        <f t="shared" si="4"/>
        <v>15.097402597402597</v>
      </c>
      <c r="L5" s="4">
        <f t="shared" si="4"/>
        <v>15.450121654501215</v>
      </c>
      <c r="M5" s="4">
        <f t="shared" si="4"/>
        <v>14.420410427066003</v>
      </c>
      <c r="N5" s="4">
        <f t="shared" si="4"/>
        <v>14.25364758698092</v>
      </c>
      <c r="O5" s="4">
        <f t="shared" si="4"/>
        <v>14.227286006427112</v>
      </c>
      <c r="P5" s="4">
        <f t="shared" si="4"/>
        <v>14.695035460992907</v>
      </c>
      <c r="Q5" s="4">
        <f t="shared" si="4"/>
        <v>14.720394736842108</v>
      </c>
      <c r="R5" s="4">
        <f t="shared" si="4"/>
        <v>13.765287535779338</v>
      </c>
      <c r="S5" s="4">
        <f t="shared" si="4"/>
        <v>13.395157135497167</v>
      </c>
      <c r="T5" s="4">
        <f t="shared" si="4"/>
        <v>12.768104970981581</v>
      </c>
      <c r="U5" s="4">
        <f t="shared" si="4"/>
        <v>12.842712842712842</v>
      </c>
      <c r="V5" s="4">
        <f>R5*0.88</f>
        <v>12.113453031485818</v>
      </c>
      <c r="W5" s="4">
        <f>S5*0.9</f>
        <v>12.055641421947451</v>
      </c>
      <c r="X5" s="4">
        <f t="shared" ref="X5:Z5" si="5">T5*0.9</f>
        <v>11.491294473883423</v>
      </c>
      <c r="Y5" s="4">
        <f t="shared" si="5"/>
        <v>11.558441558441558</v>
      </c>
      <c r="Z5" s="4">
        <f t="shared" si="5"/>
        <v>10.902107728337237</v>
      </c>
      <c r="AB5" s="4">
        <f t="shared" si="2"/>
        <v>150.06601144198328</v>
      </c>
      <c r="AC5" s="4">
        <f t="shared" si="2"/>
        <v>166.63080123377091</v>
      </c>
      <c r="AD5" s="4">
        <f t="shared" si="2"/>
        <v>177.53285290377278</v>
      </c>
      <c r="AE5" s="4">
        <f t="shared" si="2"/>
        <v>172.11718263037608</v>
      </c>
      <c r="AF5" s="4">
        <f t="shared" si="2"/>
        <v>153.16332702935398</v>
      </c>
      <c r="AG5" s="4">
        <f t="shared" si="2"/>
        <v>137.84699432641861</v>
      </c>
      <c r="AH5" s="1">
        <f>AG5*1.01</f>
        <v>139.22546426968279</v>
      </c>
      <c r="AI5" s="1">
        <f t="shared" ref="AI5:AP5" si="6">AH5*1.01</f>
        <v>140.61771891237962</v>
      </c>
      <c r="AJ5" s="1">
        <f t="shared" si="6"/>
        <v>142.02389610150342</v>
      </c>
      <c r="AK5" s="1">
        <f t="shared" si="6"/>
        <v>143.44413506251846</v>
      </c>
      <c r="AL5" s="1">
        <f t="shared" si="6"/>
        <v>144.87857641314363</v>
      </c>
      <c r="AM5" s="1">
        <f t="shared" si="6"/>
        <v>146.32736217727506</v>
      </c>
      <c r="AN5" s="1">
        <f t="shared" si="6"/>
        <v>147.79063579904781</v>
      </c>
      <c r="AO5" s="1">
        <f t="shared" si="6"/>
        <v>149.2685421570383</v>
      </c>
      <c r="AP5" s="1">
        <f t="shared" si="6"/>
        <v>150.76122757860867</v>
      </c>
    </row>
    <row r="6" spans="1:42" s="1" customFormat="1" x14ac:dyDescent="0.3">
      <c r="B6" s="1" t="s">
        <v>31</v>
      </c>
      <c r="C6" s="4">
        <f t="shared" ref="C6:J6" si="7">(C14/C10)/3</f>
        <v>18.424916917845277</v>
      </c>
      <c r="D6" s="4">
        <f t="shared" si="7"/>
        <v>19.914678052059486</v>
      </c>
      <c r="E6" s="4">
        <f t="shared" si="7"/>
        <v>19.747402492213602</v>
      </c>
      <c r="F6" s="4">
        <f t="shared" si="7"/>
        <v>20.495303159692572</v>
      </c>
      <c r="G6" s="4">
        <f t="shared" si="7"/>
        <v>20.297506510184423</v>
      </c>
      <c r="H6" s="4">
        <f t="shared" si="7"/>
        <v>21.202701010031998</v>
      </c>
      <c r="I6" s="4">
        <f t="shared" si="7"/>
        <v>23.319376599209122</v>
      </c>
      <c r="J6" s="4">
        <f t="shared" si="7"/>
        <v>23.297190238007314</v>
      </c>
      <c r="K6" s="4">
        <f t="shared" ref="K6:W6" si="8">(K14/K10)/3</f>
        <v>23.410481511040171</v>
      </c>
      <c r="L6" s="4">
        <f t="shared" si="8"/>
        <v>24.318658280922431</v>
      </c>
      <c r="M6" s="4">
        <f t="shared" si="8"/>
        <v>23.566362715298883</v>
      </c>
      <c r="N6" s="4">
        <f t="shared" si="8"/>
        <v>23.623741077539847</v>
      </c>
      <c r="O6" s="4">
        <f t="shared" si="8"/>
        <v>23.410404624277458</v>
      </c>
      <c r="P6" s="4">
        <f t="shared" si="8"/>
        <v>23.837049270575282</v>
      </c>
      <c r="Q6" s="4">
        <f t="shared" si="8"/>
        <v>24.033848032801188</v>
      </c>
      <c r="R6" s="4">
        <f t="shared" si="8"/>
        <v>22.97808012093726</v>
      </c>
      <c r="S6" s="4">
        <f t="shared" si="8"/>
        <v>22.183565275016566</v>
      </c>
      <c r="T6" s="4">
        <f t="shared" si="8"/>
        <v>21.636861607862091</v>
      </c>
      <c r="U6" s="4">
        <f t="shared" si="8"/>
        <v>21.433607520564038</v>
      </c>
      <c r="V6" s="4">
        <f t="shared" si="8"/>
        <v>20.124943135012849</v>
      </c>
      <c r="W6" s="4">
        <f t="shared" si="8"/>
        <v>20.322730284956929</v>
      </c>
      <c r="X6" s="4">
        <f t="shared" ref="X6:Z6" si="9">(X14/X10)/3</f>
        <v>20.702432737232161</v>
      </c>
      <c r="Y6" s="4">
        <f>(Y14/Y10)/3</f>
        <v>21.36028202115158</v>
      </c>
      <c r="Z6" s="4">
        <f t="shared" si="9"/>
        <v>20.530209140201393</v>
      </c>
      <c r="AB6" s="4">
        <f t="shared" si="2"/>
        <v>215.36619437238082</v>
      </c>
      <c r="AC6" s="4">
        <f t="shared" si="2"/>
        <v>262.93237499568062</v>
      </c>
      <c r="AD6" s="4">
        <f t="shared" si="2"/>
        <v>284.68162675215291</v>
      </c>
      <c r="AE6" s="4">
        <f t="shared" si="2"/>
        <v>282.71181885372573</v>
      </c>
      <c r="AF6" s="4">
        <f t="shared" si="2"/>
        <v>255.90137250548503</v>
      </c>
      <c r="AG6" s="4">
        <f t="shared" si="2"/>
        <v>248.80460478096973</v>
      </c>
      <c r="AH6" s="4">
        <f t="shared" ref="AH6:AP6" si="10">AH14/AH10</f>
        <v>245.09196000591851</v>
      </c>
      <c r="AI6" s="4">
        <f t="shared" si="10"/>
        <v>241.26741196285633</v>
      </c>
      <c r="AJ6" s="4">
        <f t="shared" si="10"/>
        <v>237.34181569775041</v>
      </c>
      <c r="AK6" s="4">
        <f t="shared" si="10"/>
        <v>233.3260218137097</v>
      </c>
      <c r="AL6" s="4">
        <f t="shared" si="10"/>
        <v>229.23080754452491</v>
      </c>
      <c r="AM6" s="4">
        <f t="shared" si="10"/>
        <v>225.06681251542659</v>
      </c>
      <c r="AN6" s="4">
        <f t="shared" si="10"/>
        <v>220.8444797027895</v>
      </c>
      <c r="AO6" s="4">
        <f t="shared" si="10"/>
        <v>216.57400197424604</v>
      </c>
      <c r="AP6" s="4">
        <f t="shared" si="10"/>
        <v>212.26527446412234</v>
      </c>
    </row>
    <row r="7" spans="1:42" s="1" customFormat="1" x14ac:dyDescent="0.3"/>
    <row r="8" spans="1:42" s="1" customFormat="1" x14ac:dyDescent="0.3">
      <c r="B8" s="1" t="s">
        <v>26</v>
      </c>
      <c r="C8" s="5">
        <v>0.93830000000000002</v>
      </c>
      <c r="D8" s="5">
        <v>1.0792999999999999</v>
      </c>
      <c r="E8" s="5">
        <v>1.2821</v>
      </c>
      <c r="F8" s="5">
        <v>1.2686999999999999</v>
      </c>
      <c r="G8" s="5">
        <v>1.3528</v>
      </c>
      <c r="H8" s="5">
        <v>1.4730000000000001</v>
      </c>
      <c r="I8" s="5">
        <v>1.5326</v>
      </c>
      <c r="J8" s="5">
        <v>1.6407</v>
      </c>
      <c r="K8" s="5">
        <v>1.7751999999999999</v>
      </c>
      <c r="L8" s="5">
        <v>1.925</v>
      </c>
      <c r="M8" s="5">
        <v>2.0880000000000001</v>
      </c>
      <c r="N8" s="5">
        <v>2.2210000000000001</v>
      </c>
      <c r="O8" s="5">
        <v>2.319</v>
      </c>
      <c r="P8" s="5">
        <v>2.4580000000000002</v>
      </c>
      <c r="Q8" s="5">
        <v>2.605</v>
      </c>
      <c r="R8" s="5">
        <v>2.6880000000000002</v>
      </c>
      <c r="S8" s="5">
        <v>2.73</v>
      </c>
      <c r="T8" s="5">
        <v>2.8170000000000002</v>
      </c>
      <c r="U8" s="5">
        <v>2.8690000000000002</v>
      </c>
      <c r="V8" s="5">
        <f>R8*1.08</f>
        <v>2.9030400000000003</v>
      </c>
      <c r="W8" s="5">
        <f>S8*1.1</f>
        <v>3.0030000000000001</v>
      </c>
      <c r="X8" s="5">
        <f t="shared" ref="X8:Z8" si="11">T8*1.1</f>
        <v>3.0987000000000005</v>
      </c>
      <c r="Y8" s="5">
        <f t="shared" si="11"/>
        <v>3.1559000000000004</v>
      </c>
      <c r="Z8" s="5">
        <f t="shared" si="11"/>
        <v>3.1933440000000006</v>
      </c>
      <c r="AB8" s="5">
        <v>1.1420999999999999</v>
      </c>
      <c r="AC8" s="5">
        <v>1.4998</v>
      </c>
      <c r="AD8" s="5">
        <f>AVERAGE(K8:N8)</f>
        <v>2.0023</v>
      </c>
      <c r="AE8" s="5">
        <f>AVERAGE(O8:R8)</f>
        <v>2.5175000000000001</v>
      </c>
      <c r="AF8" s="5">
        <f>AVERAGE(S8:V8)</f>
        <v>2.8297600000000003</v>
      </c>
      <c r="AG8" s="5">
        <f>AVERAGE(W8:Z8)</f>
        <v>3.1127360000000008</v>
      </c>
      <c r="AH8" s="5">
        <f>AG8*1.05</f>
        <v>3.2683728000000012</v>
      </c>
      <c r="AI8" s="5">
        <f t="shared" ref="AI8:AP8" si="12">AH8*1.05</f>
        <v>3.4317914400000014</v>
      </c>
      <c r="AJ8" s="5">
        <f t="shared" si="12"/>
        <v>3.6033810120000016</v>
      </c>
      <c r="AK8" s="5">
        <f t="shared" si="12"/>
        <v>3.783550062600002</v>
      </c>
      <c r="AL8" s="5">
        <f t="shared" si="12"/>
        <v>3.9727275657300023</v>
      </c>
      <c r="AM8" s="5">
        <f t="shared" si="12"/>
        <v>4.1713639440165027</v>
      </c>
      <c r="AN8" s="5">
        <f t="shared" si="12"/>
        <v>4.3799321412173278</v>
      </c>
      <c r="AO8" s="5">
        <f t="shared" si="12"/>
        <v>4.598928748278194</v>
      </c>
      <c r="AP8" s="5">
        <f t="shared" si="12"/>
        <v>4.8288751856921035</v>
      </c>
    </row>
    <row r="9" spans="1:42" s="1" customFormat="1" x14ac:dyDescent="0.3">
      <c r="B9" s="1" t="s">
        <v>27</v>
      </c>
      <c r="C9" s="5">
        <v>1.2181999999999999</v>
      </c>
      <c r="D9" s="5">
        <v>1.3529</v>
      </c>
      <c r="E9" s="5">
        <v>1.4577</v>
      </c>
      <c r="F9" s="5">
        <v>1.4246000000000001</v>
      </c>
      <c r="G9" s="5">
        <v>1.4504999999999999</v>
      </c>
      <c r="H9" s="5">
        <v>1.4542999999999999</v>
      </c>
      <c r="I9" s="5">
        <v>1.3333999999999999</v>
      </c>
      <c r="J9" s="5">
        <v>1.3382000000000001</v>
      </c>
      <c r="K9" s="5">
        <v>1.232</v>
      </c>
      <c r="L9" s="5">
        <v>1.0960000000000001</v>
      </c>
      <c r="M9" s="5">
        <v>1.202</v>
      </c>
      <c r="N9" s="5">
        <v>1.1879999999999999</v>
      </c>
      <c r="O9" s="5">
        <v>1.141</v>
      </c>
      <c r="P9" s="5">
        <v>1.175</v>
      </c>
      <c r="Q9" s="5">
        <v>1.216</v>
      </c>
      <c r="R9" s="5">
        <v>1.2809999999999999</v>
      </c>
      <c r="S9" s="5">
        <v>1.294</v>
      </c>
      <c r="T9" s="5">
        <v>1.321</v>
      </c>
      <c r="U9" s="5">
        <v>1.3859999999999999</v>
      </c>
      <c r="V9" s="5">
        <f>R9*1.12</f>
        <v>1.43472</v>
      </c>
      <c r="W9" s="5">
        <f>S9*1.1</f>
        <v>1.4234000000000002</v>
      </c>
      <c r="X9" s="5">
        <f t="shared" ref="X9:Z9" si="13">T9*1.1</f>
        <v>1.4531000000000001</v>
      </c>
      <c r="Y9" s="5">
        <f t="shared" si="13"/>
        <v>1.5246</v>
      </c>
      <c r="Z9" s="5">
        <f t="shared" si="13"/>
        <v>1.578192</v>
      </c>
      <c r="AB9" s="5">
        <v>1.3633999999999999</v>
      </c>
      <c r="AC9" s="5">
        <v>1.3940999999999999</v>
      </c>
      <c r="AD9" s="5">
        <f>AVERAGE(K9:N9)</f>
        <v>1.1795</v>
      </c>
      <c r="AE9" s="5">
        <f>AVERAGE(O9:R9)</f>
        <v>1.2032499999999999</v>
      </c>
      <c r="AF9" s="5">
        <f>AVERAGE(S9:V9)</f>
        <v>1.35893</v>
      </c>
      <c r="AG9" s="5">
        <f>AVERAGE(W9:Z9)</f>
        <v>1.4948229999999998</v>
      </c>
      <c r="AH9" s="5">
        <f>AG9*0.99</f>
        <v>1.4798747699999997</v>
      </c>
      <c r="AI9" s="5">
        <f t="shared" ref="AI9:AP9" si="14">AH9*0.99</f>
        <v>1.4650760222999997</v>
      </c>
      <c r="AJ9" s="5">
        <f t="shared" si="14"/>
        <v>1.4504252620769997</v>
      </c>
      <c r="AK9" s="5">
        <f t="shared" si="14"/>
        <v>1.4359210094562298</v>
      </c>
      <c r="AL9" s="5">
        <f t="shared" si="14"/>
        <v>1.4215617993616676</v>
      </c>
      <c r="AM9" s="5">
        <f t="shared" si="14"/>
        <v>1.407346181368051</v>
      </c>
      <c r="AN9" s="5">
        <f t="shared" si="14"/>
        <v>1.3932727195543704</v>
      </c>
      <c r="AO9" s="5">
        <f t="shared" si="14"/>
        <v>1.3793399923588268</v>
      </c>
      <c r="AP9" s="5">
        <f t="shared" si="14"/>
        <v>1.3655465924352386</v>
      </c>
    </row>
    <row r="10" spans="1:42" s="1" customFormat="1" x14ac:dyDescent="0.3">
      <c r="B10" s="1" t="s">
        <v>28</v>
      </c>
      <c r="C10" s="5">
        <f t="shared" ref="C10:V10" si="15">SUM(C8:C9)</f>
        <v>2.1564999999999999</v>
      </c>
      <c r="D10" s="5">
        <f t="shared" si="15"/>
        <v>2.4321999999999999</v>
      </c>
      <c r="E10" s="5">
        <f t="shared" si="15"/>
        <v>2.7397999999999998</v>
      </c>
      <c r="F10" s="5">
        <f t="shared" si="15"/>
        <v>2.6932999999999998</v>
      </c>
      <c r="G10" s="5">
        <f t="shared" si="15"/>
        <v>2.8033000000000001</v>
      </c>
      <c r="H10" s="5">
        <f t="shared" si="15"/>
        <v>2.9272999999999998</v>
      </c>
      <c r="I10" s="5">
        <f t="shared" si="15"/>
        <v>2.8659999999999997</v>
      </c>
      <c r="J10" s="5">
        <f t="shared" si="15"/>
        <v>2.9789000000000003</v>
      </c>
      <c r="K10" s="5">
        <f t="shared" si="15"/>
        <v>3.0072000000000001</v>
      </c>
      <c r="L10" s="5">
        <f t="shared" si="15"/>
        <v>3.0209999999999999</v>
      </c>
      <c r="M10" s="5">
        <f t="shared" si="15"/>
        <v>3.29</v>
      </c>
      <c r="N10" s="5">
        <f t="shared" si="15"/>
        <v>3.4089999999999998</v>
      </c>
      <c r="O10" s="5">
        <f t="shared" si="15"/>
        <v>3.46</v>
      </c>
      <c r="P10" s="5">
        <f t="shared" si="15"/>
        <v>3.633</v>
      </c>
      <c r="Q10" s="5">
        <f t="shared" si="15"/>
        <v>3.8209999999999997</v>
      </c>
      <c r="R10" s="5">
        <f t="shared" si="15"/>
        <v>3.9690000000000003</v>
      </c>
      <c r="S10" s="5">
        <f t="shared" si="15"/>
        <v>4.024</v>
      </c>
      <c r="T10" s="5">
        <f t="shared" si="15"/>
        <v>4.1379999999999999</v>
      </c>
      <c r="U10" s="5">
        <f t="shared" si="15"/>
        <v>4.2549999999999999</v>
      </c>
      <c r="V10" s="5">
        <f t="shared" si="15"/>
        <v>4.3377600000000003</v>
      </c>
      <c r="W10" s="5">
        <f t="shared" ref="W10:Z10" si="16">SUM(W8:W9)</f>
        <v>4.4264000000000001</v>
      </c>
      <c r="X10" s="5">
        <f t="shared" si="16"/>
        <v>4.5518000000000001</v>
      </c>
      <c r="Y10" s="5">
        <f>SUM(Y8:Y9)</f>
        <v>4.6805000000000003</v>
      </c>
      <c r="Z10" s="5">
        <f t="shared" si="16"/>
        <v>4.7715360000000011</v>
      </c>
      <c r="AB10" s="5">
        <f t="shared" ref="AB10:AG10" si="17">SUM(AB8:AB9)</f>
        <v>2.5054999999999996</v>
      </c>
      <c r="AC10" s="5">
        <f t="shared" si="17"/>
        <v>2.8938999999999999</v>
      </c>
      <c r="AD10" s="5">
        <f t="shared" si="17"/>
        <v>3.1818</v>
      </c>
      <c r="AE10" s="5">
        <f t="shared" si="17"/>
        <v>3.7207499999999998</v>
      </c>
      <c r="AF10" s="5">
        <f t="shared" si="17"/>
        <v>4.1886900000000002</v>
      </c>
      <c r="AG10" s="5">
        <f t="shared" si="17"/>
        <v>4.6075590000000002</v>
      </c>
      <c r="AH10" s="5">
        <f t="shared" ref="AH10:AP10" si="18">SUM(AH8:AH9)</f>
        <v>4.7482475700000011</v>
      </c>
      <c r="AI10" s="5">
        <f t="shared" si="18"/>
        <v>4.8968674623000013</v>
      </c>
      <c r="AJ10" s="5">
        <f t="shared" si="18"/>
        <v>5.0538062740770009</v>
      </c>
      <c r="AK10" s="5">
        <f t="shared" si="18"/>
        <v>5.2194710720562316</v>
      </c>
      <c r="AL10" s="5">
        <f t="shared" si="18"/>
        <v>5.3942893650916695</v>
      </c>
      <c r="AM10" s="5">
        <f t="shared" si="18"/>
        <v>5.5787101253845535</v>
      </c>
      <c r="AN10" s="5">
        <f t="shared" si="18"/>
        <v>5.7732048607716981</v>
      </c>
      <c r="AO10" s="5">
        <f t="shared" si="18"/>
        <v>5.978268740637021</v>
      </c>
      <c r="AP10" s="5">
        <f t="shared" si="18"/>
        <v>6.1944217781273423</v>
      </c>
    </row>
    <row r="11" spans="1:42" s="1" customFormat="1" x14ac:dyDescent="0.3"/>
    <row r="12" spans="1:42" x14ac:dyDescent="0.3">
      <c r="B12" s="1" t="s">
        <v>23</v>
      </c>
      <c r="C12" s="5">
        <f>46.7+23.3</f>
        <v>70</v>
      </c>
      <c r="D12" s="5">
        <f>H12/(1+$H$35)</f>
        <v>92.246376811594203</v>
      </c>
      <c r="E12" s="5">
        <f>I12/(1+I35)</f>
        <v>102.51798561151078</v>
      </c>
      <c r="F12" s="5">
        <v>105.8</v>
      </c>
      <c r="G12" s="5">
        <v>112.6</v>
      </c>
      <c r="H12" s="5">
        <v>127.3</v>
      </c>
      <c r="I12" s="5">
        <v>142.5</v>
      </c>
      <c r="J12" s="5">
        <v>150.5</v>
      </c>
      <c r="K12" s="2">
        <v>155.4</v>
      </c>
      <c r="L12" s="2">
        <v>169.6</v>
      </c>
      <c r="M12" s="2">
        <v>180.6</v>
      </c>
      <c r="N12" s="2">
        <v>190.8</v>
      </c>
      <c r="O12" s="2">
        <v>194.3</v>
      </c>
      <c r="P12" s="2">
        <v>208</v>
      </c>
      <c r="Q12" s="2">
        <v>221.8</v>
      </c>
      <c r="R12" s="2">
        <v>220.7</v>
      </c>
      <c r="S12" s="2">
        <v>215.8</v>
      </c>
      <c r="T12" s="2">
        <v>218</v>
      </c>
      <c r="U12" s="2">
        <v>220.2</v>
      </c>
      <c r="V12" s="2">
        <f>(V8*V4)*3</f>
        <v>209.75328000000002</v>
      </c>
      <c r="W12" s="2">
        <f t="shared" ref="W12:Z12" si="19">(W8*W4)*3</f>
        <v>218.38960000000003</v>
      </c>
      <c r="X12" s="2">
        <f t="shared" si="19"/>
        <v>232.60600000000002</v>
      </c>
      <c r="Y12" s="2">
        <f t="shared" si="19"/>
        <v>247.06439999999998</v>
      </c>
      <c r="Z12" s="2">
        <f t="shared" si="19"/>
        <v>242.26503840000004</v>
      </c>
      <c r="AB12" s="2">
        <v>335</v>
      </c>
      <c r="AC12" s="2">
        <v>528.6</v>
      </c>
      <c r="AD12" s="2">
        <f>SUM(K12:N12)</f>
        <v>696.40000000000009</v>
      </c>
      <c r="AE12" s="2">
        <f>SUM(O12:R12)</f>
        <v>844.8</v>
      </c>
      <c r="AF12" s="2">
        <f>SUM(S12:V12)</f>
        <v>863.75328000000002</v>
      </c>
      <c r="AG12" s="2">
        <f>SUM(W12:Z12)</f>
        <v>940.32503840000004</v>
      </c>
      <c r="AH12" s="2">
        <f>AH8*AH4</f>
        <v>957.7210516104002</v>
      </c>
      <c r="AI12" s="2">
        <f t="shared" ref="AI12:AP12" si="20">AI8*AI4</f>
        <v>975.43889106519259</v>
      </c>
      <c r="AJ12" s="2">
        <f t="shared" si="20"/>
        <v>993.48451054989857</v>
      </c>
      <c r="AK12" s="2">
        <f t="shared" si="20"/>
        <v>1011.8639739950718</v>
      </c>
      <c r="AL12" s="2">
        <f t="shared" si="20"/>
        <v>1030.5834575139806</v>
      </c>
      <c r="AM12" s="2">
        <f t="shared" si="20"/>
        <v>1049.6492514779893</v>
      </c>
      <c r="AN12" s="2">
        <f t="shared" si="20"/>
        <v>1069.067762630332</v>
      </c>
      <c r="AO12" s="2">
        <f t="shared" si="20"/>
        <v>1088.8455162389932</v>
      </c>
      <c r="AP12" s="2">
        <f t="shared" si="20"/>
        <v>1108.9891582894145</v>
      </c>
    </row>
    <row r="13" spans="1:42" x14ac:dyDescent="0.3">
      <c r="B13" s="1" t="s">
        <v>24</v>
      </c>
      <c r="C13" s="5">
        <f>32.5+16.7</f>
        <v>49.2</v>
      </c>
      <c r="D13" s="5">
        <f>H13/(1+H36)</f>
        <v>53.063063063063055</v>
      </c>
      <c r="E13" s="5">
        <f>I13/(1+I36)</f>
        <v>59.793814432989691</v>
      </c>
      <c r="F13" s="5">
        <v>59.8</v>
      </c>
      <c r="G13" s="5">
        <v>58.1</v>
      </c>
      <c r="H13" s="5">
        <v>58.9</v>
      </c>
      <c r="I13" s="5">
        <v>58</v>
      </c>
      <c r="J13" s="5">
        <v>57.7</v>
      </c>
      <c r="K13" s="2">
        <v>55.8</v>
      </c>
      <c r="L13" s="2">
        <v>50.8</v>
      </c>
      <c r="M13" s="2">
        <v>52</v>
      </c>
      <c r="N13" s="2">
        <v>50.8</v>
      </c>
      <c r="O13" s="2">
        <v>48.7</v>
      </c>
      <c r="P13" s="2">
        <v>51.8</v>
      </c>
      <c r="Q13" s="2">
        <v>53.7</v>
      </c>
      <c r="R13" s="2">
        <v>52.9</v>
      </c>
      <c r="S13" s="2">
        <v>52</v>
      </c>
      <c r="T13" s="2">
        <v>50.6</v>
      </c>
      <c r="U13" s="2">
        <v>53.4</v>
      </c>
      <c r="V13" s="2">
        <f>(V9*V5)*3</f>
        <v>52.138239999999996</v>
      </c>
      <c r="W13" s="2">
        <f t="shared" ref="W13:Z13" si="21">(W9*W5)*3</f>
        <v>51.480000000000011</v>
      </c>
      <c r="X13" s="2">
        <f t="shared" si="21"/>
        <v>50.094000000000008</v>
      </c>
      <c r="Y13" s="2">
        <f t="shared" si="21"/>
        <v>52.866</v>
      </c>
      <c r="Z13" s="2">
        <f t="shared" si="21"/>
        <v>51.616857600000003</v>
      </c>
      <c r="AB13" s="2">
        <v>204.6</v>
      </c>
      <c r="AC13" s="2">
        <v>232.3</v>
      </c>
      <c r="AD13" s="2">
        <f>SUM(K13:N13)</f>
        <v>209.39999999999998</v>
      </c>
      <c r="AE13" s="2">
        <f>SUM(O13:R13)</f>
        <v>207.1</v>
      </c>
      <c r="AF13" s="2">
        <f>SUM(S13:V13)</f>
        <v>208.13824</v>
      </c>
      <c r="AG13" s="2">
        <f>SUM(W13:Z13)</f>
        <v>206.0568576</v>
      </c>
      <c r="AH13" s="9">
        <f>AH9*AH5</f>
        <v>206.03625191423998</v>
      </c>
      <c r="AI13" s="9">
        <f t="shared" ref="AI13:AP13" si="22">AI9*AI5</f>
        <v>206.01564828904856</v>
      </c>
      <c r="AJ13" s="9">
        <f t="shared" si="22"/>
        <v>205.99504672421969</v>
      </c>
      <c r="AK13" s="9">
        <f t="shared" si="22"/>
        <v>205.97444721954727</v>
      </c>
      <c r="AL13" s="9">
        <f t="shared" si="22"/>
        <v>205.95384977482533</v>
      </c>
      <c r="AM13" s="9">
        <f t="shared" si="22"/>
        <v>205.93325438984783</v>
      </c>
      <c r="AN13" s="9">
        <f t="shared" si="22"/>
        <v>205.91266106440884</v>
      </c>
      <c r="AO13" s="9">
        <f t="shared" si="22"/>
        <v>205.8920697983024</v>
      </c>
      <c r="AP13" s="9">
        <f t="shared" si="22"/>
        <v>205.87148059132258</v>
      </c>
    </row>
    <row r="14" spans="1:42" x14ac:dyDescent="0.3">
      <c r="B14" s="1" t="s">
        <v>25</v>
      </c>
      <c r="C14" s="5">
        <f>SUM(C12:C13)</f>
        <v>119.2</v>
      </c>
      <c r="D14" s="5">
        <f t="shared" ref="D14:J14" si="23">SUM(D12:D13)</f>
        <v>145.30943987465724</v>
      </c>
      <c r="E14" s="5">
        <f t="shared" si="23"/>
        <v>162.31180004450047</v>
      </c>
      <c r="F14" s="5">
        <f t="shared" si="23"/>
        <v>165.6</v>
      </c>
      <c r="G14" s="5">
        <f t="shared" si="23"/>
        <v>170.7</v>
      </c>
      <c r="H14" s="5">
        <f t="shared" si="23"/>
        <v>186.2</v>
      </c>
      <c r="I14" s="5">
        <f t="shared" si="23"/>
        <v>200.5</v>
      </c>
      <c r="J14" s="5">
        <f t="shared" si="23"/>
        <v>208.2</v>
      </c>
      <c r="K14" s="2">
        <f t="shared" ref="K14:V14" si="24">SUM(K12:K13)</f>
        <v>211.2</v>
      </c>
      <c r="L14" s="2">
        <f t="shared" si="24"/>
        <v>220.39999999999998</v>
      </c>
      <c r="M14" s="2">
        <f t="shared" si="24"/>
        <v>232.6</v>
      </c>
      <c r="N14" s="2">
        <f t="shared" si="24"/>
        <v>241.60000000000002</v>
      </c>
      <c r="O14" s="2">
        <f t="shared" si="24"/>
        <v>243</v>
      </c>
      <c r="P14" s="2">
        <f t="shared" si="24"/>
        <v>259.8</v>
      </c>
      <c r="Q14" s="2">
        <f t="shared" si="24"/>
        <v>275.5</v>
      </c>
      <c r="R14" s="2">
        <f t="shared" si="24"/>
        <v>273.59999999999997</v>
      </c>
      <c r="S14" s="2">
        <f t="shared" si="24"/>
        <v>267.8</v>
      </c>
      <c r="T14" s="2">
        <f t="shared" si="24"/>
        <v>268.60000000000002</v>
      </c>
      <c r="U14" s="2">
        <f t="shared" si="24"/>
        <v>273.59999999999997</v>
      </c>
      <c r="V14" s="2">
        <f t="shared" si="24"/>
        <v>261.89152000000001</v>
      </c>
      <c r="W14" s="2">
        <f t="shared" ref="W14:Z14" si="25">SUM(W12:W13)</f>
        <v>269.86960000000005</v>
      </c>
      <c r="X14" s="2">
        <f t="shared" si="25"/>
        <v>282.70000000000005</v>
      </c>
      <c r="Y14" s="2">
        <f t="shared" si="25"/>
        <v>299.93039999999996</v>
      </c>
      <c r="Z14" s="2">
        <f t="shared" si="25"/>
        <v>293.88189600000004</v>
      </c>
      <c r="AB14" s="2">
        <f t="shared" ref="AB14:AG14" si="26">SUM(AB12:AB13)</f>
        <v>539.6</v>
      </c>
      <c r="AC14" s="2">
        <f t="shared" si="26"/>
        <v>760.90000000000009</v>
      </c>
      <c r="AD14" s="2">
        <f t="shared" si="26"/>
        <v>905.80000000000007</v>
      </c>
      <c r="AE14" s="2">
        <f t="shared" si="26"/>
        <v>1051.8999999999999</v>
      </c>
      <c r="AF14" s="2">
        <f t="shared" si="26"/>
        <v>1071.8915200000001</v>
      </c>
      <c r="AG14" s="2">
        <f t="shared" si="26"/>
        <v>1146.3818960000001</v>
      </c>
      <c r="AH14" s="2">
        <f t="shared" ref="AH14:AP14" si="27">SUM(AH12:AH13)</f>
        <v>1163.7573035246401</v>
      </c>
      <c r="AI14" s="2">
        <f t="shared" si="27"/>
        <v>1181.4545393542412</v>
      </c>
      <c r="AJ14" s="2">
        <f t="shared" si="27"/>
        <v>1199.4795572741182</v>
      </c>
      <c r="AK14" s="2">
        <f t="shared" si="27"/>
        <v>1217.8384212146191</v>
      </c>
      <c r="AL14" s="2">
        <f t="shared" si="27"/>
        <v>1236.537307288806</v>
      </c>
      <c r="AM14" s="2">
        <f t="shared" si="27"/>
        <v>1255.5825058678372</v>
      </c>
      <c r="AN14" s="2">
        <f t="shared" si="27"/>
        <v>1274.9804236947409</v>
      </c>
      <c r="AO14" s="2">
        <f t="shared" si="27"/>
        <v>1294.7375860372956</v>
      </c>
      <c r="AP14" s="2">
        <f t="shared" si="27"/>
        <v>1314.860638880737</v>
      </c>
    </row>
    <row r="15" spans="1:42" x14ac:dyDescent="0.3">
      <c r="B15" s="1" t="s">
        <v>32</v>
      </c>
      <c r="K15" s="2">
        <v>56.780999999999999</v>
      </c>
      <c r="L15" s="2">
        <v>62.756999999999998</v>
      </c>
      <c r="M15" s="2">
        <v>64.581000000000003</v>
      </c>
      <c r="N15" s="2">
        <v>67.787999999999997</v>
      </c>
      <c r="O15" s="2">
        <v>70.58</v>
      </c>
      <c r="P15" s="2">
        <v>76.736999999999995</v>
      </c>
      <c r="Q15" s="2">
        <v>80.049000000000007</v>
      </c>
      <c r="R15" s="2">
        <v>80.468999999999994</v>
      </c>
      <c r="S15" s="2">
        <v>81.289000000000001</v>
      </c>
      <c r="T15" s="2">
        <v>80.040999999999997</v>
      </c>
      <c r="U15" s="2">
        <v>79.552000000000007</v>
      </c>
      <c r="V15" s="2">
        <f>V14*0.29</f>
        <v>75.948540800000004</v>
      </c>
      <c r="W15" s="2">
        <f>W14*0.3</f>
        <v>80.960880000000017</v>
      </c>
      <c r="X15" s="2">
        <f t="shared" ref="X15:Z15" si="28">X14*0.3</f>
        <v>84.810000000000016</v>
      </c>
      <c r="Y15" s="2">
        <f t="shared" si="28"/>
        <v>89.97911999999998</v>
      </c>
      <c r="Z15" s="2">
        <f t="shared" si="28"/>
        <v>88.164568800000012</v>
      </c>
      <c r="AB15" s="2">
        <v>143.62799999999999</v>
      </c>
      <c r="AC15" s="2">
        <v>205.17099999999999</v>
      </c>
      <c r="AD15" s="2">
        <f>SUM(K15:N15)</f>
        <v>251.90699999999998</v>
      </c>
      <c r="AE15" s="2">
        <f>SUM(O15:R15)</f>
        <v>307.83500000000004</v>
      </c>
      <c r="AF15" s="2">
        <f>SUM(S15:V15)</f>
        <v>316.83054079999999</v>
      </c>
      <c r="AG15" s="2">
        <f>SUM(W15:Z15)</f>
        <v>343.91456879999998</v>
      </c>
      <c r="AH15" s="2">
        <f>AH14*0.3</f>
        <v>349.127191057392</v>
      </c>
      <c r="AI15" s="2">
        <f t="shared" ref="AI15:AP15" si="29">AI14*0.3</f>
        <v>354.43636180627237</v>
      </c>
      <c r="AJ15" s="2">
        <f t="shared" si="29"/>
        <v>359.84386718223544</v>
      </c>
      <c r="AK15" s="2">
        <f t="shared" si="29"/>
        <v>365.35152636438573</v>
      </c>
      <c r="AL15" s="2">
        <f t="shared" si="29"/>
        <v>370.96119218664177</v>
      </c>
      <c r="AM15" s="2">
        <f t="shared" si="29"/>
        <v>376.67475176035117</v>
      </c>
      <c r="AN15" s="2">
        <f t="shared" si="29"/>
        <v>382.49412710842228</v>
      </c>
      <c r="AO15" s="2">
        <f t="shared" si="29"/>
        <v>388.42127581118865</v>
      </c>
      <c r="AP15" s="2">
        <f t="shared" si="29"/>
        <v>394.45819166422109</v>
      </c>
    </row>
    <row r="16" spans="1:42" x14ac:dyDescent="0.3">
      <c r="B16" s="1" t="s">
        <v>33</v>
      </c>
      <c r="K16" s="2">
        <f t="shared" ref="K16:V16" si="30">K14-K15</f>
        <v>154.41899999999998</v>
      </c>
      <c r="L16" s="2">
        <f t="shared" si="30"/>
        <v>157.64299999999997</v>
      </c>
      <c r="M16" s="2">
        <f t="shared" si="30"/>
        <v>168.01900000000001</v>
      </c>
      <c r="N16" s="2">
        <f t="shared" si="30"/>
        <v>173.81200000000001</v>
      </c>
      <c r="O16" s="2">
        <f t="shared" si="30"/>
        <v>172.42000000000002</v>
      </c>
      <c r="P16" s="2">
        <f t="shared" si="30"/>
        <v>183.06300000000002</v>
      </c>
      <c r="Q16" s="2">
        <f t="shared" si="30"/>
        <v>195.45099999999999</v>
      </c>
      <c r="R16" s="2">
        <f t="shared" si="30"/>
        <v>193.13099999999997</v>
      </c>
      <c r="S16" s="2">
        <f t="shared" si="30"/>
        <v>186.51100000000002</v>
      </c>
      <c r="T16" s="2">
        <f t="shared" si="30"/>
        <v>188.55900000000003</v>
      </c>
      <c r="U16" s="2">
        <f t="shared" si="30"/>
        <v>194.04799999999994</v>
      </c>
      <c r="V16" s="2">
        <f t="shared" si="30"/>
        <v>185.94297920000002</v>
      </c>
      <c r="W16" s="2">
        <f t="shared" ref="W16:Z16" si="31">W14-W15</f>
        <v>188.90872000000002</v>
      </c>
      <c r="X16" s="2">
        <f t="shared" si="31"/>
        <v>197.89000000000004</v>
      </c>
      <c r="Y16" s="2">
        <f t="shared" si="31"/>
        <v>209.95128</v>
      </c>
      <c r="Z16" s="2">
        <f t="shared" si="31"/>
        <v>205.71732720000003</v>
      </c>
      <c r="AB16" s="2">
        <f t="shared" ref="AB16:AG16" si="32">AB14-AB15</f>
        <v>395.97200000000004</v>
      </c>
      <c r="AC16" s="2">
        <f t="shared" si="32"/>
        <v>555.72900000000004</v>
      </c>
      <c r="AD16" s="2">
        <f t="shared" si="32"/>
        <v>653.89300000000003</v>
      </c>
      <c r="AE16" s="2">
        <f t="shared" si="32"/>
        <v>744.06499999999983</v>
      </c>
      <c r="AF16" s="2">
        <f t="shared" si="32"/>
        <v>755.06097920000013</v>
      </c>
      <c r="AG16" s="2">
        <f t="shared" si="32"/>
        <v>802.46732720000011</v>
      </c>
      <c r="AH16" s="2">
        <f t="shared" ref="AH16:AP16" si="33">AH14-AH15</f>
        <v>814.63011246724807</v>
      </c>
      <c r="AI16" s="2">
        <f t="shared" si="33"/>
        <v>827.01817754796889</v>
      </c>
      <c r="AJ16" s="2">
        <f t="shared" si="33"/>
        <v>839.63569009188268</v>
      </c>
      <c r="AK16" s="2">
        <f t="shared" si="33"/>
        <v>852.48689485023328</v>
      </c>
      <c r="AL16" s="2">
        <f t="shared" si="33"/>
        <v>865.57611510216429</v>
      </c>
      <c r="AM16" s="2">
        <f t="shared" si="33"/>
        <v>878.90775410748597</v>
      </c>
      <c r="AN16" s="2">
        <f t="shared" si="33"/>
        <v>892.48629658631864</v>
      </c>
      <c r="AO16" s="2">
        <f t="shared" si="33"/>
        <v>906.31631022610691</v>
      </c>
      <c r="AP16" s="2">
        <f t="shared" si="33"/>
        <v>920.40244721651595</v>
      </c>
    </row>
    <row r="17" spans="1:164" x14ac:dyDescent="0.3">
      <c r="B17" s="1" t="s">
        <v>34</v>
      </c>
      <c r="K17" s="2">
        <v>56.829000000000001</v>
      </c>
      <c r="L17" s="2">
        <v>59.482999999999997</v>
      </c>
      <c r="M17" s="2">
        <v>64.316000000000003</v>
      </c>
      <c r="N17" s="2">
        <v>68.641000000000005</v>
      </c>
      <c r="O17" s="2">
        <v>63.59</v>
      </c>
      <c r="P17" s="2">
        <v>65.328999999999994</v>
      </c>
      <c r="Q17" s="2">
        <v>68.847999999999999</v>
      </c>
      <c r="R17" s="2">
        <v>72.613</v>
      </c>
      <c r="S17" s="2">
        <v>63.616999999999997</v>
      </c>
      <c r="T17" s="2">
        <v>67.561999999999998</v>
      </c>
      <c r="U17" s="2">
        <v>63.548999999999999</v>
      </c>
      <c r="V17" s="2">
        <f>V14*0.24</f>
        <v>62.8539648</v>
      </c>
      <c r="W17" s="2">
        <f>W14*0.24</f>
        <v>64.768704000000014</v>
      </c>
      <c r="X17" s="2">
        <f t="shared" ref="X17:Z17" si="34">X14*0.24</f>
        <v>67.848000000000013</v>
      </c>
      <c r="Y17" s="2">
        <f t="shared" si="34"/>
        <v>71.983295999999982</v>
      </c>
      <c r="Z17" s="2">
        <f t="shared" si="34"/>
        <v>70.531655040000004</v>
      </c>
      <c r="AB17" s="2">
        <v>152.58799999999999</v>
      </c>
      <c r="AC17" s="2">
        <v>211.71100000000001</v>
      </c>
      <c r="AD17" s="2">
        <f>SUM(K17:N17)</f>
        <v>249.26900000000001</v>
      </c>
      <c r="AE17" s="2">
        <f>SUM(O17:R17)</f>
        <v>270.38</v>
      </c>
      <c r="AF17" s="2">
        <f>SUM(S17:V17)</f>
        <v>257.58196480000004</v>
      </c>
      <c r="AG17" s="2">
        <f>SUM(W17:Z17)</f>
        <v>275.13165504000006</v>
      </c>
      <c r="AH17" s="2">
        <f>AH14*0.25</f>
        <v>290.93932588116002</v>
      </c>
      <c r="AI17" s="2">
        <f t="shared" ref="AI17:AP17" si="35">AI14*0.25</f>
        <v>295.3636348385603</v>
      </c>
      <c r="AJ17" s="2">
        <f t="shared" si="35"/>
        <v>299.86988931852954</v>
      </c>
      <c r="AK17" s="2">
        <f t="shared" si="35"/>
        <v>304.45960530365477</v>
      </c>
      <c r="AL17" s="2">
        <f t="shared" si="35"/>
        <v>309.1343268222015</v>
      </c>
      <c r="AM17" s="2">
        <f t="shared" si="35"/>
        <v>313.8956264669593</v>
      </c>
      <c r="AN17" s="2">
        <f t="shared" si="35"/>
        <v>318.74510592368523</v>
      </c>
      <c r="AO17" s="2">
        <f t="shared" si="35"/>
        <v>323.6843965093239</v>
      </c>
      <c r="AP17" s="2">
        <f t="shared" si="35"/>
        <v>328.71515972018426</v>
      </c>
    </row>
    <row r="18" spans="1:164" x14ac:dyDescent="0.3">
      <c r="B18" s="1" t="s">
        <v>35</v>
      </c>
      <c r="K18" s="2">
        <v>26.446000000000002</v>
      </c>
      <c r="L18" s="2">
        <v>51.375</v>
      </c>
      <c r="M18" s="2">
        <v>29.815000000000001</v>
      </c>
      <c r="N18" s="2">
        <v>211.66399999999999</v>
      </c>
      <c r="O18" s="2">
        <v>49.831000000000003</v>
      </c>
      <c r="P18" s="2">
        <v>43.298000000000002</v>
      </c>
      <c r="Q18" s="2">
        <v>48.576999999999998</v>
      </c>
      <c r="R18" s="2">
        <v>79.942999999999998</v>
      </c>
      <c r="S18" s="2">
        <v>20.856000000000002</v>
      </c>
      <c r="T18" s="2">
        <v>36.329000000000001</v>
      </c>
      <c r="U18" s="2">
        <v>33.250999999999998</v>
      </c>
      <c r="V18" s="2">
        <f>V14*0.12</f>
        <v>31.4269824</v>
      </c>
      <c r="W18" s="2">
        <f>W14*0.12</f>
        <v>32.384352000000007</v>
      </c>
      <c r="X18" s="2">
        <f t="shared" ref="X18:Z18" si="36">X14*0.12</f>
        <v>33.924000000000007</v>
      </c>
      <c r="Y18" s="2">
        <f t="shared" si="36"/>
        <v>35.991647999999991</v>
      </c>
      <c r="Z18" s="2">
        <f t="shared" si="36"/>
        <v>35.265827520000002</v>
      </c>
      <c r="AB18" s="2">
        <v>181.80699999999999</v>
      </c>
      <c r="AC18" s="2">
        <v>265.738</v>
      </c>
      <c r="AD18" s="2">
        <f>SUM(K18:N18)</f>
        <v>319.29999999999995</v>
      </c>
      <c r="AE18" s="2">
        <f>SUM(O18:R18)</f>
        <v>221.649</v>
      </c>
      <c r="AF18" s="2">
        <f>SUM(S18:V18)</f>
        <v>121.86298240000001</v>
      </c>
      <c r="AG18" s="2">
        <f>SUM(W18:Z18)</f>
        <v>137.56582752000003</v>
      </c>
      <c r="AH18" s="2">
        <f>AH14*0.11</f>
        <v>128.01330338771041</v>
      </c>
      <c r="AI18" s="2">
        <f t="shared" ref="AI18:AP18" si="37">AI14*0.11</f>
        <v>129.95999932896655</v>
      </c>
      <c r="AJ18" s="2">
        <f t="shared" si="37"/>
        <v>131.94275130015299</v>
      </c>
      <c r="AK18" s="2">
        <f t="shared" si="37"/>
        <v>133.9622263336081</v>
      </c>
      <c r="AL18" s="2">
        <f t="shared" si="37"/>
        <v>136.01910380176867</v>
      </c>
      <c r="AM18" s="2">
        <f t="shared" si="37"/>
        <v>138.11407564546209</v>
      </c>
      <c r="AN18" s="2">
        <f t="shared" si="37"/>
        <v>140.24784660642149</v>
      </c>
      <c r="AO18" s="2">
        <f t="shared" si="37"/>
        <v>142.42113446410252</v>
      </c>
      <c r="AP18" s="2">
        <f t="shared" si="37"/>
        <v>144.63467027688108</v>
      </c>
    </row>
    <row r="19" spans="1:164" x14ac:dyDescent="0.3">
      <c r="B19" s="1" t="s">
        <v>36</v>
      </c>
      <c r="K19" s="2">
        <v>25.195</v>
      </c>
      <c r="L19" s="2">
        <v>22.456</v>
      </c>
      <c r="M19" s="2">
        <v>25.827999999999999</v>
      </c>
      <c r="N19" s="2">
        <v>25.096</v>
      </c>
      <c r="O19" s="2">
        <v>33.152000000000001</v>
      </c>
      <c r="P19" s="2">
        <v>36.232999999999997</v>
      </c>
      <c r="Q19" s="2">
        <v>30.908999999999999</v>
      </c>
      <c r="R19" s="2">
        <v>30.271000000000001</v>
      </c>
      <c r="S19" s="2">
        <v>36.017000000000003</v>
      </c>
      <c r="T19" s="2">
        <v>15.705</v>
      </c>
      <c r="U19" s="2">
        <v>24.88</v>
      </c>
      <c r="V19" s="2">
        <f>V14*0.1</f>
        <v>26.189152000000004</v>
      </c>
      <c r="W19" s="2">
        <f>W14*0.1</f>
        <v>26.986960000000007</v>
      </c>
      <c r="X19" s="2">
        <f t="shared" ref="X19:Z19" si="38">X14*0.1</f>
        <v>28.270000000000007</v>
      </c>
      <c r="Y19" s="2">
        <f t="shared" si="38"/>
        <v>29.993039999999997</v>
      </c>
      <c r="Z19" s="2">
        <f t="shared" si="38"/>
        <v>29.388189600000004</v>
      </c>
      <c r="AB19" s="2">
        <v>46.994</v>
      </c>
      <c r="AC19" s="2">
        <v>105.917</v>
      </c>
      <c r="AD19" s="2">
        <f>SUM(K19:N19)</f>
        <v>98.575000000000003</v>
      </c>
      <c r="AE19" s="2">
        <f>SUM(O19:R19)</f>
        <v>130.565</v>
      </c>
      <c r="AF19" s="2">
        <f>SUM(S19:V19)</f>
        <v>102.79115200000001</v>
      </c>
      <c r="AG19" s="2">
        <f>SUM(W19:Z19)</f>
        <v>114.63818960000002</v>
      </c>
      <c r="AH19" s="2">
        <f>AH14*0.1</f>
        <v>116.37573035246402</v>
      </c>
      <c r="AI19" s="2">
        <f t="shared" ref="AI19:AP19" si="39">AI14*0.1</f>
        <v>118.14545393542413</v>
      </c>
      <c r="AJ19" s="2">
        <f t="shared" si="39"/>
        <v>119.94795572741182</v>
      </c>
      <c r="AK19" s="2">
        <f t="shared" si="39"/>
        <v>121.78384212146192</v>
      </c>
      <c r="AL19" s="2">
        <f t="shared" si="39"/>
        <v>123.6537307288806</v>
      </c>
      <c r="AM19" s="2">
        <f t="shared" si="39"/>
        <v>125.55825058678373</v>
      </c>
      <c r="AN19" s="2">
        <f t="shared" si="39"/>
        <v>127.49804236947409</v>
      </c>
      <c r="AO19" s="2">
        <f t="shared" si="39"/>
        <v>129.47375860372958</v>
      </c>
      <c r="AP19" s="2">
        <f t="shared" si="39"/>
        <v>131.48606388807372</v>
      </c>
    </row>
    <row r="20" spans="1:164" x14ac:dyDescent="0.3">
      <c r="B20" s="1" t="s">
        <v>37</v>
      </c>
      <c r="K20" s="2">
        <f t="shared" ref="K20:V20" si="40">SUM(K17:K19)</f>
        <v>108.47</v>
      </c>
      <c r="L20" s="2">
        <f t="shared" si="40"/>
        <v>133.31399999999999</v>
      </c>
      <c r="M20" s="2">
        <f t="shared" si="40"/>
        <v>119.959</v>
      </c>
      <c r="N20" s="2">
        <f t="shared" si="40"/>
        <v>305.40100000000001</v>
      </c>
      <c r="O20" s="2">
        <f t="shared" si="40"/>
        <v>146.57300000000001</v>
      </c>
      <c r="P20" s="2">
        <f t="shared" si="40"/>
        <v>144.85999999999999</v>
      </c>
      <c r="Q20" s="2">
        <f t="shared" si="40"/>
        <v>148.334</v>
      </c>
      <c r="R20" s="2">
        <f t="shared" si="40"/>
        <v>182.827</v>
      </c>
      <c r="S20" s="2">
        <f t="shared" si="40"/>
        <v>120.49000000000001</v>
      </c>
      <c r="T20" s="2">
        <f t="shared" si="40"/>
        <v>119.59599999999999</v>
      </c>
      <c r="U20" s="2">
        <f t="shared" si="40"/>
        <v>121.67999999999999</v>
      </c>
      <c r="V20" s="2">
        <f t="shared" si="40"/>
        <v>120.47009920000001</v>
      </c>
      <c r="W20" s="2">
        <f t="shared" ref="W20:Z20" si="41">SUM(W17:W19)</f>
        <v>124.14001600000003</v>
      </c>
      <c r="X20" s="2">
        <f t="shared" si="41"/>
        <v>130.04200000000003</v>
      </c>
      <c r="Y20" s="2">
        <f t="shared" si="41"/>
        <v>137.96798399999997</v>
      </c>
      <c r="Z20" s="2">
        <f t="shared" si="41"/>
        <v>135.18567216000002</v>
      </c>
      <c r="AB20" s="2">
        <f t="shared" ref="AB20:AG20" si="42">SUM(AB17:AB19)</f>
        <v>381.38900000000001</v>
      </c>
      <c r="AC20" s="2">
        <f t="shared" si="42"/>
        <v>583.36599999999999</v>
      </c>
      <c r="AD20" s="2">
        <f t="shared" si="42"/>
        <v>667.14400000000001</v>
      </c>
      <c r="AE20" s="2">
        <f t="shared" si="42"/>
        <v>622.59400000000005</v>
      </c>
      <c r="AF20" s="2">
        <f t="shared" si="42"/>
        <v>482.23609920000007</v>
      </c>
      <c r="AG20" s="2">
        <f t="shared" si="42"/>
        <v>527.33567216000006</v>
      </c>
      <c r="AH20" s="2">
        <f t="shared" ref="AH20:AP20" si="43">SUM(AH17:AH19)</f>
        <v>535.32835962133436</v>
      </c>
      <c r="AI20" s="2">
        <f t="shared" si="43"/>
        <v>543.46908810295099</v>
      </c>
      <c r="AJ20" s="2">
        <f t="shared" si="43"/>
        <v>551.7605963460943</v>
      </c>
      <c r="AK20" s="2">
        <f t="shared" si="43"/>
        <v>560.20567375872474</v>
      </c>
      <c r="AL20" s="2">
        <f t="shared" si="43"/>
        <v>568.80716135285081</v>
      </c>
      <c r="AM20" s="2">
        <f t="shared" si="43"/>
        <v>577.56795269920508</v>
      </c>
      <c r="AN20" s="2">
        <f t="shared" si="43"/>
        <v>586.49099489958076</v>
      </c>
      <c r="AO20" s="2">
        <f t="shared" si="43"/>
        <v>595.57928957715603</v>
      </c>
      <c r="AP20" s="2">
        <f t="shared" si="43"/>
        <v>604.83589388513906</v>
      </c>
    </row>
    <row r="21" spans="1:164" x14ac:dyDescent="0.3">
      <c r="B21" s="1" t="s">
        <v>38</v>
      </c>
      <c r="K21" s="2">
        <f t="shared" ref="K21:W21" si="44">K16-K20</f>
        <v>45.948999999999984</v>
      </c>
      <c r="L21" s="2">
        <f t="shared" si="44"/>
        <v>24.328999999999979</v>
      </c>
      <c r="M21" s="2">
        <f t="shared" si="44"/>
        <v>48.06</v>
      </c>
      <c r="N21" s="2">
        <f t="shared" si="44"/>
        <v>-131.589</v>
      </c>
      <c r="O21" s="2">
        <f t="shared" si="44"/>
        <v>25.847000000000008</v>
      </c>
      <c r="P21" s="2">
        <f t="shared" si="44"/>
        <v>38.203000000000031</v>
      </c>
      <c r="Q21" s="2">
        <f t="shared" si="44"/>
        <v>47.11699999999999</v>
      </c>
      <c r="R21" s="2">
        <f t="shared" si="44"/>
        <v>10.303999999999974</v>
      </c>
      <c r="S21" s="2">
        <f t="shared" si="44"/>
        <v>66.021000000000015</v>
      </c>
      <c r="T21" s="2">
        <f t="shared" si="44"/>
        <v>68.963000000000036</v>
      </c>
      <c r="U21" s="2">
        <f t="shared" si="44"/>
        <v>72.367999999999952</v>
      </c>
      <c r="V21" s="2">
        <f t="shared" si="44"/>
        <v>65.472880000000018</v>
      </c>
      <c r="W21" s="2">
        <f t="shared" si="44"/>
        <v>64.768703999999985</v>
      </c>
      <c r="X21" s="2">
        <f t="shared" ref="X21:Y21" si="45">X16-X20</f>
        <v>67.848000000000013</v>
      </c>
      <c r="Y21" s="2">
        <f t="shared" si="45"/>
        <v>71.983296000000024</v>
      </c>
      <c r="Z21" s="2">
        <f>Z16-Z20</f>
        <v>70.531655040000004</v>
      </c>
      <c r="AB21" s="2">
        <f t="shared" ref="AB21:AG21" si="46">AB16-AB20</f>
        <v>14.583000000000027</v>
      </c>
      <c r="AC21" s="2">
        <f t="shared" si="46"/>
        <v>-27.636999999999944</v>
      </c>
      <c r="AD21" s="2">
        <f t="shared" si="46"/>
        <v>-13.250999999999976</v>
      </c>
      <c r="AE21" s="2">
        <f t="shared" si="46"/>
        <v>121.47099999999978</v>
      </c>
      <c r="AF21" s="2">
        <f t="shared" si="46"/>
        <v>272.82488000000006</v>
      </c>
      <c r="AG21" s="2">
        <f t="shared" si="46"/>
        <v>275.13165504000006</v>
      </c>
      <c r="AH21" s="2">
        <f t="shared" ref="AH21:AP21" si="47">AH16-AH20</f>
        <v>279.30175284591371</v>
      </c>
      <c r="AI21" s="2">
        <f t="shared" si="47"/>
        <v>283.5490894450179</v>
      </c>
      <c r="AJ21" s="2">
        <f t="shared" si="47"/>
        <v>287.87509374578838</v>
      </c>
      <c r="AK21" s="2">
        <f t="shared" si="47"/>
        <v>292.28122109150854</v>
      </c>
      <c r="AL21" s="2">
        <f t="shared" si="47"/>
        <v>296.76895374931348</v>
      </c>
      <c r="AM21" s="2">
        <f t="shared" si="47"/>
        <v>301.33980140828089</v>
      </c>
      <c r="AN21" s="2">
        <f t="shared" si="47"/>
        <v>305.99530168673789</v>
      </c>
      <c r="AO21" s="2">
        <f t="shared" si="47"/>
        <v>310.73702064895087</v>
      </c>
      <c r="AP21" s="2">
        <f t="shared" si="47"/>
        <v>315.56655333137689</v>
      </c>
    </row>
    <row r="22" spans="1:164" x14ac:dyDescent="0.3">
      <c r="B22" s="1" t="s">
        <v>39</v>
      </c>
      <c r="K22" s="2">
        <f>+-5.883+13.23</f>
        <v>7.3470000000000004</v>
      </c>
      <c r="L22" s="2">
        <f>+-6.281+4.954</f>
        <v>-1.327</v>
      </c>
      <c r="M22" s="2">
        <f>+-6.866+6.545</f>
        <v>-0.32099999999999973</v>
      </c>
      <c r="N22" s="2">
        <f>+-5.617+-8.54</f>
        <v>-14.157</v>
      </c>
      <c r="O22" s="2">
        <f>+-5.219+-3.561</f>
        <v>-8.7800000000000011</v>
      </c>
      <c r="P22" s="2">
        <f>+-6.11+-2.969</f>
        <v>-9.0790000000000006</v>
      </c>
      <c r="Q22" s="2">
        <f>+-5.256+0.252</f>
        <v>-5.0040000000000004</v>
      </c>
      <c r="R22" s="2">
        <f>+-4.949+-20.259</f>
        <v>-25.207999999999998</v>
      </c>
      <c r="S22" s="2">
        <f>+-8.918+1.475</f>
        <v>-7.4429999999999996</v>
      </c>
      <c r="T22" s="2">
        <f>+-9.082+-0.558</f>
        <v>-9.64</v>
      </c>
      <c r="U22" s="2">
        <f>+-9.809+2.898</f>
        <v>-6.9109999999999996</v>
      </c>
      <c r="V22" s="9">
        <v>-10</v>
      </c>
      <c r="W22" s="9">
        <v>-10</v>
      </c>
      <c r="X22" s="9">
        <v>-10</v>
      </c>
      <c r="Y22" s="9">
        <v>-10</v>
      </c>
      <c r="Z22" s="9">
        <v>-10</v>
      </c>
      <c r="AB22" s="2">
        <f>+-21.927+-0.917</f>
        <v>-22.844000000000001</v>
      </c>
      <c r="AC22" s="2">
        <f>+-24.574+3.16</f>
        <v>-21.414000000000001</v>
      </c>
      <c r="AD22" s="2">
        <f>SUM(K22:N22)</f>
        <v>-8.4579999999999984</v>
      </c>
      <c r="AE22" s="2">
        <f>SUM(O22:R22)</f>
        <v>-48.070999999999998</v>
      </c>
      <c r="AF22" s="2">
        <f>SUM(S22:V22)</f>
        <v>-33.994</v>
      </c>
      <c r="AG22" s="2">
        <f>SUM(W22:Z22)</f>
        <v>-40</v>
      </c>
      <c r="AH22" s="2">
        <f>AG47*$AS$30</f>
        <v>-3.5673043564799984</v>
      </c>
      <c r="AI22" s="2">
        <f t="shared" ref="AI22:AP22" si="48">AH47*$AS$30</f>
        <v>3.0503224072664104</v>
      </c>
      <c r="AJ22" s="2">
        <f t="shared" si="48"/>
        <v>9.9287082917212341</v>
      </c>
      <c r="AK22" s="2">
        <f t="shared" si="48"/>
        <v>17.075999540621467</v>
      </c>
      <c r="AL22" s="2">
        <f t="shared" si="48"/>
        <v>24.500572835792582</v>
      </c>
      <c r="AM22" s="2">
        <f t="shared" si="48"/>
        <v>32.211041473835124</v>
      </c>
      <c r="AN22" s="2">
        <f t="shared" si="48"/>
        <v>40.216261703005905</v>
      </c>
      <c r="AO22" s="2">
        <f t="shared" si="48"/>
        <v>48.525339224359755</v>
      </c>
      <c r="AP22" s="2">
        <f t="shared" si="48"/>
        <v>57.147635861319216</v>
      </c>
    </row>
    <row r="23" spans="1:164" x14ac:dyDescent="0.3">
      <c r="B23" s="1" t="s">
        <v>40</v>
      </c>
      <c r="K23" s="2">
        <f t="shared" ref="K23:V23" si="49">K21+K22</f>
        <v>53.295999999999985</v>
      </c>
      <c r="L23" s="2">
        <f t="shared" si="49"/>
        <v>23.001999999999981</v>
      </c>
      <c r="M23" s="2">
        <f t="shared" si="49"/>
        <v>47.739000000000004</v>
      </c>
      <c r="N23" s="2">
        <f t="shared" si="49"/>
        <v>-145.74600000000001</v>
      </c>
      <c r="O23" s="2">
        <f t="shared" si="49"/>
        <v>17.067000000000007</v>
      </c>
      <c r="P23" s="2">
        <f t="shared" si="49"/>
        <v>29.124000000000031</v>
      </c>
      <c r="Q23" s="2">
        <f t="shared" si="49"/>
        <v>42.112999999999992</v>
      </c>
      <c r="R23" s="2">
        <f t="shared" si="49"/>
        <v>-14.904000000000025</v>
      </c>
      <c r="S23" s="2">
        <f t="shared" si="49"/>
        <v>58.578000000000017</v>
      </c>
      <c r="T23" s="2">
        <f t="shared" si="49"/>
        <v>59.323000000000036</v>
      </c>
      <c r="U23" s="2">
        <f t="shared" si="49"/>
        <v>65.456999999999951</v>
      </c>
      <c r="V23" s="2">
        <f t="shared" si="49"/>
        <v>55.472880000000018</v>
      </c>
      <c r="W23" s="2">
        <f t="shared" ref="W23:Z23" si="50">W21+W22</f>
        <v>54.768703999999985</v>
      </c>
      <c r="X23" s="2">
        <f t="shared" si="50"/>
        <v>57.848000000000013</v>
      </c>
      <c r="Y23" s="2">
        <f t="shared" si="50"/>
        <v>61.983296000000024</v>
      </c>
      <c r="Z23" s="2">
        <f t="shared" si="50"/>
        <v>60.531655040000004</v>
      </c>
      <c r="AB23" s="2">
        <f t="shared" ref="AB23:AG23" si="51">AB21+AB22</f>
        <v>-8.2609999999999744</v>
      </c>
      <c r="AC23" s="2">
        <f t="shared" si="51"/>
        <v>-49.050999999999945</v>
      </c>
      <c r="AD23" s="2">
        <f t="shared" si="51"/>
        <v>-21.708999999999975</v>
      </c>
      <c r="AE23" s="2">
        <f t="shared" si="51"/>
        <v>73.399999999999778</v>
      </c>
      <c r="AF23" s="2">
        <f t="shared" si="51"/>
        <v>238.83088000000006</v>
      </c>
      <c r="AG23" s="2">
        <f t="shared" si="51"/>
        <v>235.13165504000006</v>
      </c>
      <c r="AH23" s="2">
        <f t="shared" ref="AH23:AP23" si="52">AH21+AH22</f>
        <v>275.7344484894337</v>
      </c>
      <c r="AI23" s="2">
        <f t="shared" si="52"/>
        <v>286.59941185228433</v>
      </c>
      <c r="AJ23" s="2">
        <f t="shared" si="52"/>
        <v>297.80380203750963</v>
      </c>
      <c r="AK23" s="2">
        <f t="shared" si="52"/>
        <v>309.35722063213001</v>
      </c>
      <c r="AL23" s="2">
        <f t="shared" si="52"/>
        <v>321.26952658510606</v>
      </c>
      <c r="AM23" s="2">
        <f t="shared" si="52"/>
        <v>333.550842882116</v>
      </c>
      <c r="AN23" s="2">
        <f t="shared" si="52"/>
        <v>346.21156338974379</v>
      </c>
      <c r="AO23" s="2">
        <f t="shared" si="52"/>
        <v>359.26235987331063</v>
      </c>
      <c r="AP23" s="2">
        <f t="shared" si="52"/>
        <v>372.7141891926961</v>
      </c>
    </row>
    <row r="24" spans="1:164" x14ac:dyDescent="0.3">
      <c r="B24" s="1" t="s">
        <v>41</v>
      </c>
      <c r="K24" s="2">
        <v>2.4279999999999999</v>
      </c>
      <c r="L24" s="2">
        <v>2.3279999999999998</v>
      </c>
      <c r="M24" s="2">
        <v>1.6180000000000001</v>
      </c>
      <c r="N24" s="2">
        <v>-2.35</v>
      </c>
      <c r="O24" s="2">
        <v>2.613</v>
      </c>
      <c r="P24" s="2">
        <v>2.7429999999999999</v>
      </c>
      <c r="Q24" s="2">
        <v>1.8720000000000001</v>
      </c>
      <c r="R24" s="2">
        <v>-5.8000000000000003E-2</v>
      </c>
      <c r="S24" s="2">
        <v>7.4740000000000002</v>
      </c>
      <c r="T24" s="2">
        <v>4.6280000000000001</v>
      </c>
      <c r="U24" s="2">
        <v>4.1609999999999996</v>
      </c>
      <c r="V24" s="2">
        <f>V23*0.15</f>
        <v>8.3209320000000027</v>
      </c>
      <c r="W24" s="2">
        <f>W23*0.15</f>
        <v>8.2153055999999971</v>
      </c>
      <c r="X24" s="2">
        <f t="shared" ref="X24:Z24" si="53">X23*0.15</f>
        <v>8.6772000000000009</v>
      </c>
      <c r="Y24" s="2">
        <f t="shared" si="53"/>
        <v>9.2974944000000033</v>
      </c>
      <c r="Z24" s="2">
        <f t="shared" si="53"/>
        <v>9.0797482560000002</v>
      </c>
      <c r="AB24" s="2">
        <v>9.4109999999999996</v>
      </c>
      <c r="AC24" s="2">
        <v>-437.83699999999999</v>
      </c>
      <c r="AD24" s="2">
        <f>SUM(K24:N24)</f>
        <v>4.0240000000000009</v>
      </c>
      <c r="AE24" s="2">
        <f>SUM(O24:R24)</f>
        <v>7.17</v>
      </c>
      <c r="AF24" s="2">
        <f>SUM(S24:V24)</f>
        <v>24.583932000000001</v>
      </c>
      <c r="AG24" s="2">
        <f>SUM(W24:Z24)</f>
        <v>35.269748256000007</v>
      </c>
      <c r="AH24" s="2">
        <f>AH23*0.2</f>
        <v>55.146889697886742</v>
      </c>
      <c r="AI24" s="2">
        <f t="shared" ref="AI24:AP24" si="54">AI23*0.2</f>
        <v>57.319882370456867</v>
      </c>
      <c r="AJ24" s="2">
        <f t="shared" si="54"/>
        <v>59.560760407501931</v>
      </c>
      <c r="AK24" s="2">
        <f t="shared" si="54"/>
        <v>61.871444126426006</v>
      </c>
      <c r="AL24" s="2">
        <f t="shared" si="54"/>
        <v>64.253905317021221</v>
      </c>
      <c r="AM24" s="2">
        <f t="shared" si="54"/>
        <v>66.7101685764232</v>
      </c>
      <c r="AN24" s="2">
        <f t="shared" si="54"/>
        <v>69.24231267794876</v>
      </c>
      <c r="AO24" s="2">
        <f t="shared" si="54"/>
        <v>71.852471974662123</v>
      </c>
      <c r="AP24" s="2">
        <f t="shared" si="54"/>
        <v>74.542837838539228</v>
      </c>
    </row>
    <row r="25" spans="1:164" s="7" customFormat="1" x14ac:dyDescent="0.3">
      <c r="A25" s="6"/>
      <c r="B25" s="6" t="s">
        <v>42</v>
      </c>
      <c r="C25" s="6"/>
      <c r="D25" s="6"/>
      <c r="E25" s="6"/>
      <c r="F25" s="6"/>
      <c r="G25" s="6"/>
      <c r="H25" s="6"/>
      <c r="I25" s="6"/>
      <c r="J25" s="6"/>
      <c r="K25" s="7">
        <f t="shared" ref="K25:V25" si="55">K23-K24</f>
        <v>50.867999999999988</v>
      </c>
      <c r="L25" s="7">
        <f t="shared" si="55"/>
        <v>20.673999999999982</v>
      </c>
      <c r="M25" s="7">
        <f t="shared" si="55"/>
        <v>46.121000000000002</v>
      </c>
      <c r="N25" s="7">
        <f t="shared" si="55"/>
        <v>-143.39600000000002</v>
      </c>
      <c r="O25" s="7">
        <f t="shared" si="55"/>
        <v>14.454000000000008</v>
      </c>
      <c r="P25" s="7">
        <f t="shared" si="55"/>
        <v>26.381000000000032</v>
      </c>
      <c r="Q25" s="7">
        <f t="shared" si="55"/>
        <v>40.240999999999993</v>
      </c>
      <c r="R25" s="7">
        <f t="shared" si="55"/>
        <v>-14.846000000000025</v>
      </c>
      <c r="S25" s="7">
        <f t="shared" si="55"/>
        <v>51.104000000000013</v>
      </c>
      <c r="T25" s="7">
        <f t="shared" si="55"/>
        <v>54.695000000000036</v>
      </c>
      <c r="U25" s="7">
        <f t="shared" si="55"/>
        <v>61.29599999999995</v>
      </c>
      <c r="V25" s="7">
        <f t="shared" si="55"/>
        <v>47.151948000000019</v>
      </c>
      <c r="W25" s="7">
        <f t="shared" ref="W25:Z25" si="56">W23-W24</f>
        <v>46.553398399999992</v>
      </c>
      <c r="X25" s="7">
        <f t="shared" si="56"/>
        <v>49.170800000000014</v>
      </c>
      <c r="Y25" s="7">
        <f t="shared" si="56"/>
        <v>52.685801600000019</v>
      </c>
      <c r="Z25" s="7">
        <f t="shared" si="56"/>
        <v>51.451906784000002</v>
      </c>
      <c r="AB25" s="7">
        <f t="shared" ref="AB25:AG25" si="57">AB23-AB24</f>
        <v>-17.671999999999976</v>
      </c>
      <c r="AC25" s="7">
        <f t="shared" si="57"/>
        <v>388.78600000000006</v>
      </c>
      <c r="AD25" s="7">
        <f t="shared" si="57"/>
        <v>-25.732999999999976</v>
      </c>
      <c r="AE25" s="7">
        <f t="shared" si="57"/>
        <v>66.229999999999777</v>
      </c>
      <c r="AF25" s="7">
        <f t="shared" si="57"/>
        <v>214.24694800000006</v>
      </c>
      <c r="AG25" s="7">
        <f t="shared" si="57"/>
        <v>199.86190678400004</v>
      </c>
      <c r="AH25" s="7">
        <f t="shared" ref="AH25:AP25" si="58">AH23-AH24</f>
        <v>220.58755879154697</v>
      </c>
      <c r="AI25" s="7">
        <f t="shared" si="58"/>
        <v>229.27952948182747</v>
      </c>
      <c r="AJ25" s="7">
        <f t="shared" si="58"/>
        <v>238.2430416300077</v>
      </c>
      <c r="AK25" s="7">
        <f t="shared" si="58"/>
        <v>247.485776505704</v>
      </c>
      <c r="AL25" s="7">
        <f t="shared" si="58"/>
        <v>257.01562126808483</v>
      </c>
      <c r="AM25" s="7">
        <f t="shared" si="58"/>
        <v>266.8406743056928</v>
      </c>
      <c r="AN25" s="7">
        <f t="shared" si="58"/>
        <v>276.96925071179504</v>
      </c>
      <c r="AO25" s="7">
        <f t="shared" si="58"/>
        <v>287.40988789864849</v>
      </c>
      <c r="AP25" s="7">
        <f t="shared" si="58"/>
        <v>298.17135135415685</v>
      </c>
      <c r="AQ25" s="7">
        <f>AP25*(1+$AS$29)</f>
        <v>292.20792432707373</v>
      </c>
      <c r="AR25" s="7">
        <f t="shared" ref="AR25:DC25" si="59">AQ25*(1+$AS$29)</f>
        <v>286.36376584053227</v>
      </c>
      <c r="AS25" s="7">
        <f t="shared" si="59"/>
        <v>280.63649052372159</v>
      </c>
      <c r="AT25" s="7">
        <f t="shared" si="59"/>
        <v>275.02376071324716</v>
      </c>
      <c r="AU25" s="7">
        <f t="shared" si="59"/>
        <v>269.5232854989822</v>
      </c>
      <c r="AV25" s="7">
        <f t="shared" si="59"/>
        <v>264.13281978900255</v>
      </c>
      <c r="AW25" s="7">
        <f t="shared" si="59"/>
        <v>258.85016339322249</v>
      </c>
      <c r="AX25" s="7">
        <f t="shared" si="59"/>
        <v>253.67316012535804</v>
      </c>
      <c r="AY25" s="7">
        <f t="shared" si="59"/>
        <v>248.59969692285088</v>
      </c>
      <c r="AZ25" s="7">
        <f t="shared" si="59"/>
        <v>243.62770298439386</v>
      </c>
      <c r="BA25" s="7">
        <f t="shared" si="59"/>
        <v>238.75514892470599</v>
      </c>
      <c r="BB25" s="7">
        <f t="shared" si="59"/>
        <v>233.98004594621187</v>
      </c>
      <c r="BC25" s="7">
        <f t="shared" si="59"/>
        <v>229.30044502728762</v>
      </c>
      <c r="BD25" s="7">
        <f t="shared" si="59"/>
        <v>224.71443612674187</v>
      </c>
      <c r="BE25" s="7">
        <f t="shared" si="59"/>
        <v>220.22014740420704</v>
      </c>
      <c r="BF25" s="7">
        <f t="shared" si="59"/>
        <v>215.8157444561229</v>
      </c>
      <c r="BG25" s="7">
        <f t="shared" si="59"/>
        <v>211.49942956700045</v>
      </c>
      <c r="BH25" s="7">
        <f t="shared" si="59"/>
        <v>207.26944097566044</v>
      </c>
      <c r="BI25" s="7">
        <f t="shared" si="59"/>
        <v>203.12405215614723</v>
      </c>
      <c r="BJ25" s="7">
        <f t="shared" si="59"/>
        <v>199.06157111302429</v>
      </c>
      <c r="BK25" s="7">
        <f t="shared" si="59"/>
        <v>195.08033969076379</v>
      </c>
      <c r="BL25" s="7">
        <f t="shared" si="59"/>
        <v>191.1787328969485</v>
      </c>
      <c r="BM25" s="7">
        <f t="shared" si="59"/>
        <v>187.35515823900954</v>
      </c>
      <c r="BN25" s="7">
        <f t="shared" si="59"/>
        <v>183.60805507422936</v>
      </c>
      <c r="BO25" s="7">
        <f t="shared" si="59"/>
        <v>179.93589397274476</v>
      </c>
      <c r="BP25" s="7">
        <f t="shared" si="59"/>
        <v>176.33717609328986</v>
      </c>
      <c r="BQ25" s="7">
        <f t="shared" si="59"/>
        <v>172.81043257142406</v>
      </c>
      <c r="BR25" s="7">
        <f t="shared" si="59"/>
        <v>169.35422391999558</v>
      </c>
      <c r="BS25" s="7">
        <f t="shared" si="59"/>
        <v>165.96713944159566</v>
      </c>
      <c r="BT25" s="7">
        <f t="shared" si="59"/>
        <v>162.64779665276376</v>
      </c>
      <c r="BU25" s="7">
        <f t="shared" si="59"/>
        <v>159.39484071970847</v>
      </c>
      <c r="BV25" s="7">
        <f t="shared" si="59"/>
        <v>156.20694390531429</v>
      </c>
      <c r="BW25" s="7">
        <f t="shared" si="59"/>
        <v>153.082805027208</v>
      </c>
      <c r="BX25" s="7">
        <f t="shared" si="59"/>
        <v>150.02114892666384</v>
      </c>
      <c r="BY25" s="7">
        <f t="shared" si="59"/>
        <v>147.02072594813058</v>
      </c>
      <c r="BZ25" s="7">
        <f t="shared" si="59"/>
        <v>144.08031142916795</v>
      </c>
      <c r="CA25" s="7">
        <f t="shared" si="59"/>
        <v>141.19870520058458</v>
      </c>
      <c r="CB25" s="7">
        <f t="shared" si="59"/>
        <v>138.3747310965729</v>
      </c>
      <c r="CC25" s="7">
        <f t="shared" si="59"/>
        <v>135.60723647464144</v>
      </c>
      <c r="CD25" s="7">
        <f t="shared" si="59"/>
        <v>132.89509174514862</v>
      </c>
      <c r="CE25" s="7">
        <f t="shared" si="59"/>
        <v>130.23718991024563</v>
      </c>
      <c r="CF25" s="7">
        <f t="shared" si="59"/>
        <v>127.63244611204071</v>
      </c>
      <c r="CG25" s="7">
        <f t="shared" si="59"/>
        <v>125.07979718979989</v>
      </c>
      <c r="CH25" s="7">
        <f t="shared" si="59"/>
        <v>122.57820124600389</v>
      </c>
      <c r="CI25" s="7">
        <f t="shared" si="59"/>
        <v>120.12663722108381</v>
      </c>
      <c r="CJ25" s="7">
        <f t="shared" si="59"/>
        <v>117.72410447666213</v>
      </c>
      <c r="CK25" s="7">
        <f t="shared" si="59"/>
        <v>115.36962238712889</v>
      </c>
      <c r="CL25" s="7">
        <f t="shared" si="59"/>
        <v>113.0622299393863</v>
      </c>
      <c r="CM25" s="7">
        <f t="shared" si="59"/>
        <v>110.80098534059857</v>
      </c>
      <c r="CN25" s="7">
        <f t="shared" si="59"/>
        <v>108.5849656337866</v>
      </c>
      <c r="CO25" s="7">
        <f t="shared" si="59"/>
        <v>106.41326632111087</v>
      </c>
      <c r="CP25" s="7">
        <f t="shared" si="59"/>
        <v>104.28500099468864</v>
      </c>
      <c r="CQ25" s="7">
        <f t="shared" si="59"/>
        <v>102.19930097479487</v>
      </c>
      <c r="CR25" s="7">
        <f t="shared" si="59"/>
        <v>100.15531495529896</v>
      </c>
      <c r="CS25" s="7">
        <f t="shared" si="59"/>
        <v>98.152208656192983</v>
      </c>
      <c r="CT25" s="7">
        <f t="shared" si="59"/>
        <v>96.189164483069121</v>
      </c>
      <c r="CU25" s="7">
        <f t="shared" si="59"/>
        <v>94.265381193407734</v>
      </c>
      <c r="CV25" s="7">
        <f t="shared" si="59"/>
        <v>92.380073569539576</v>
      </c>
      <c r="CW25" s="7">
        <f t="shared" si="59"/>
        <v>90.532472098148787</v>
      </c>
      <c r="CX25" s="7">
        <f t="shared" si="59"/>
        <v>88.721822656185807</v>
      </c>
      <c r="CY25" s="7">
        <f t="shared" si="59"/>
        <v>86.947386203062095</v>
      </c>
      <c r="CZ25" s="7">
        <f t="shared" si="59"/>
        <v>85.208438479000847</v>
      </c>
      <c r="DA25" s="7">
        <f t="shared" si="59"/>
        <v>83.504269709420825</v>
      </c>
      <c r="DB25" s="7">
        <f t="shared" si="59"/>
        <v>81.834184315232406</v>
      </c>
      <c r="DC25" s="7">
        <f t="shared" si="59"/>
        <v>80.197500628927756</v>
      </c>
      <c r="DD25" s="7">
        <f t="shared" ref="DD25:FH25" si="60">DC25*(1+$AS$29)</f>
        <v>78.593550616349205</v>
      </c>
      <c r="DE25" s="7">
        <f t="shared" si="60"/>
        <v>77.021679604022225</v>
      </c>
      <c r="DF25" s="7">
        <f t="shared" si="60"/>
        <v>75.481246011941778</v>
      </c>
      <c r="DG25" s="7">
        <f t="shared" si="60"/>
        <v>73.971621091702943</v>
      </c>
      <c r="DH25" s="7">
        <f t="shared" si="60"/>
        <v>72.492188669868881</v>
      </c>
      <c r="DI25" s="7">
        <f t="shared" si="60"/>
        <v>71.042344896471505</v>
      </c>
      <c r="DJ25" s="7">
        <f t="shared" si="60"/>
        <v>69.621497998542068</v>
      </c>
      <c r="DK25" s="7">
        <f t="shared" si="60"/>
        <v>68.229068038571228</v>
      </c>
      <c r="DL25" s="7">
        <f t="shared" si="60"/>
        <v>66.864486677799803</v>
      </c>
      <c r="DM25" s="7">
        <f t="shared" si="60"/>
        <v>65.527196944243812</v>
      </c>
      <c r="DN25" s="7">
        <f t="shared" si="60"/>
        <v>64.216653005358936</v>
      </c>
      <c r="DO25" s="7">
        <f t="shared" si="60"/>
        <v>62.932319945251756</v>
      </c>
      <c r="DP25" s="7">
        <f t="shared" si="60"/>
        <v>61.67367354634672</v>
      </c>
      <c r="DQ25" s="7">
        <f t="shared" si="60"/>
        <v>60.440200075419781</v>
      </c>
      <c r="DR25" s="7">
        <f t="shared" si="60"/>
        <v>59.231396073911384</v>
      </c>
      <c r="DS25" s="7">
        <f t="shared" si="60"/>
        <v>58.046768152433152</v>
      </c>
      <c r="DT25" s="7">
        <f t="shared" si="60"/>
        <v>56.885832789384487</v>
      </c>
      <c r="DU25" s="7">
        <f t="shared" si="60"/>
        <v>55.748116133596795</v>
      </c>
      <c r="DV25" s="7">
        <f t="shared" si="60"/>
        <v>54.63315381092486</v>
      </c>
      <c r="DW25" s="7">
        <f t="shared" si="60"/>
        <v>53.54049073470636</v>
      </c>
      <c r="DX25" s="7">
        <f t="shared" si="60"/>
        <v>52.46968092001223</v>
      </c>
      <c r="DY25" s="7">
        <f t="shared" si="60"/>
        <v>51.420287301611985</v>
      </c>
      <c r="DZ25" s="7">
        <f t="shared" si="60"/>
        <v>50.391881555579744</v>
      </c>
      <c r="EA25" s="7">
        <f t="shared" si="60"/>
        <v>49.384043924468145</v>
      </c>
      <c r="EB25" s="7">
        <f t="shared" si="60"/>
        <v>48.396363045978781</v>
      </c>
      <c r="EC25" s="7">
        <f t="shared" si="60"/>
        <v>47.428435785059207</v>
      </c>
      <c r="ED25" s="7">
        <f t="shared" si="60"/>
        <v>46.479867069358022</v>
      </c>
      <c r="EE25" s="7">
        <f t="shared" si="60"/>
        <v>45.550269727970864</v>
      </c>
      <c r="EF25" s="7">
        <f t="shared" si="60"/>
        <v>44.639264333411447</v>
      </c>
      <c r="EG25" s="7">
        <f t="shared" si="60"/>
        <v>43.746479046743218</v>
      </c>
      <c r="EH25" s="7">
        <f t="shared" si="60"/>
        <v>42.87154946580835</v>
      </c>
      <c r="EI25" s="7">
        <f t="shared" si="60"/>
        <v>42.014118476492179</v>
      </c>
      <c r="EJ25" s="7">
        <f t="shared" si="60"/>
        <v>41.173836106962334</v>
      </c>
      <c r="EK25" s="7">
        <f t="shared" si="60"/>
        <v>40.350359384823086</v>
      </c>
      <c r="EL25" s="7">
        <f t="shared" si="60"/>
        <v>39.543352197126623</v>
      </c>
      <c r="EM25" s="7">
        <f t="shared" si="60"/>
        <v>38.752485153184089</v>
      </c>
      <c r="EN25" s="7">
        <f t="shared" si="60"/>
        <v>37.97743545012041</v>
      </c>
      <c r="EO25" s="7">
        <f t="shared" si="60"/>
        <v>37.217886741118001</v>
      </c>
      <c r="EP25" s="7">
        <f t="shared" si="60"/>
        <v>36.473529006295642</v>
      </c>
      <c r="EQ25" s="7">
        <f t="shared" si="60"/>
        <v>35.74405842616973</v>
      </c>
      <c r="ER25" s="7">
        <f t="shared" si="60"/>
        <v>35.029177257646332</v>
      </c>
      <c r="ES25" s="7">
        <f t="shared" si="60"/>
        <v>34.328593712493401</v>
      </c>
      <c r="ET25" s="7">
        <f t="shared" si="60"/>
        <v>33.642021838243529</v>
      </c>
      <c r="EU25" s="7">
        <f t="shared" si="60"/>
        <v>32.969181401478657</v>
      </c>
      <c r="EV25" s="7">
        <f t="shared" si="60"/>
        <v>32.309797773449084</v>
      </c>
      <c r="EW25" s="7">
        <f t="shared" si="60"/>
        <v>31.663601817980101</v>
      </c>
      <c r="EX25" s="7">
        <f t="shared" si="60"/>
        <v>31.030329781620498</v>
      </c>
      <c r="EY25" s="7">
        <f t="shared" si="60"/>
        <v>30.409723185988089</v>
      </c>
      <c r="EZ25" s="7">
        <f t="shared" si="60"/>
        <v>29.801528722268326</v>
      </c>
      <c r="FA25" s="7">
        <f t="shared" si="60"/>
        <v>29.205498147822958</v>
      </c>
      <c r="FB25" s="7">
        <f t="shared" si="60"/>
        <v>28.621388184866497</v>
      </c>
      <c r="FC25" s="7">
        <f t="shared" si="60"/>
        <v>28.048960421169166</v>
      </c>
      <c r="FD25" s="7">
        <f t="shared" si="60"/>
        <v>27.487981212745783</v>
      </c>
      <c r="FE25" s="7">
        <f t="shared" si="60"/>
        <v>26.938221588490865</v>
      </c>
      <c r="FF25" s="7">
        <f t="shared" si="60"/>
        <v>26.399457156721049</v>
      </c>
      <c r="FG25" s="7">
        <f t="shared" si="60"/>
        <v>25.871468013586629</v>
      </c>
      <c r="FH25" s="7">
        <f t="shared" si="60"/>
        <v>25.354038653314895</v>
      </c>
    </row>
    <row r="26" spans="1:164" x14ac:dyDescent="0.3">
      <c r="B26" s="1" t="s">
        <v>43</v>
      </c>
      <c r="K26" s="3">
        <f t="shared" ref="K26:U26" si="61">K25/K27</f>
        <v>0.39274085984785151</v>
      </c>
      <c r="L26" s="3">
        <f t="shared" si="61"/>
        <v>0.15953856945235806</v>
      </c>
      <c r="M26" s="3">
        <f t="shared" si="61"/>
        <v>0.35566077567054194</v>
      </c>
      <c r="N26" s="3">
        <f t="shared" si="61"/>
        <v>-1.1016136747411798</v>
      </c>
      <c r="O26" s="3">
        <f t="shared" si="61"/>
        <v>0.1050636583715369</v>
      </c>
      <c r="P26" s="3">
        <f t="shared" si="61"/>
        <v>0.19324295863415508</v>
      </c>
      <c r="Q26" s="3">
        <f t="shared" si="61"/>
        <v>0.29426399037488155</v>
      </c>
      <c r="R26" s="3">
        <f t="shared" si="61"/>
        <v>-0.11470957434210009</v>
      </c>
      <c r="S26" s="3">
        <f t="shared" si="61"/>
        <v>0.40494902158225998</v>
      </c>
      <c r="T26" s="3">
        <f t="shared" si="61"/>
        <v>0.43223599024530446</v>
      </c>
      <c r="U26" s="3">
        <f t="shared" si="61"/>
        <v>0.56659881672950996</v>
      </c>
      <c r="AD26" s="3">
        <f>AD25/AD27</f>
        <v>-0.1983456219287181</v>
      </c>
      <c r="AE26" s="3">
        <f>AE25/AE27</f>
        <v>0.49035208579122336</v>
      </c>
      <c r="AF26" s="3">
        <f>AF25/AF27</f>
        <v>1.7808370542136669</v>
      </c>
    </row>
    <row r="27" spans="1:164" x14ac:dyDescent="0.3">
      <c r="B27" s="1" t="s">
        <v>44</v>
      </c>
      <c r="K27" s="2">
        <v>129.52051900000001</v>
      </c>
      <c r="L27" s="2">
        <v>129.586219</v>
      </c>
      <c r="M27" s="2">
        <v>129.67693700000001</v>
      </c>
      <c r="N27" s="2">
        <v>130.16904500000001</v>
      </c>
      <c r="O27" s="2">
        <v>137.573736</v>
      </c>
      <c r="P27" s="2">
        <v>136.51726400000001</v>
      </c>
      <c r="Q27" s="2">
        <v>136.75135700000001</v>
      </c>
      <c r="R27" s="2">
        <v>129.42250100000001</v>
      </c>
      <c r="S27" s="2">
        <v>126.198601</v>
      </c>
      <c r="T27" s="2">
        <v>126.539671</v>
      </c>
      <c r="U27" s="2">
        <v>108.182365</v>
      </c>
      <c r="AD27" s="2">
        <f>AVERAGE(K27:N27)</f>
        <v>129.73818</v>
      </c>
      <c r="AE27" s="2">
        <f>AVERAGE(O27:R27)</f>
        <v>135.0662145</v>
      </c>
      <c r="AF27" s="2">
        <f>AVERAGE(S27:V27)</f>
        <v>120.306879</v>
      </c>
    </row>
    <row r="29" spans="1:164" x14ac:dyDescent="0.3">
      <c r="B29" s="1" t="s">
        <v>45</v>
      </c>
      <c r="K29" s="8">
        <f t="shared" ref="K29:T29" si="62">K16/K14</f>
        <v>0.73115056818181812</v>
      </c>
      <c r="L29" s="8">
        <f t="shared" si="62"/>
        <v>0.71525862068965507</v>
      </c>
      <c r="M29" s="8">
        <f t="shared" si="62"/>
        <v>0.72235167669819433</v>
      </c>
      <c r="N29" s="8">
        <f t="shared" si="62"/>
        <v>0.71942052980132454</v>
      </c>
      <c r="O29" s="8">
        <f t="shared" si="62"/>
        <v>0.70954732510288077</v>
      </c>
      <c r="P29" s="8">
        <f t="shared" si="62"/>
        <v>0.70463048498845271</v>
      </c>
      <c r="Q29" s="8">
        <f t="shared" si="62"/>
        <v>0.7094410163339383</v>
      </c>
      <c r="R29" s="8">
        <f t="shared" si="62"/>
        <v>0.7058881578947368</v>
      </c>
      <c r="S29" s="8">
        <f t="shared" si="62"/>
        <v>0.69645631067961167</v>
      </c>
      <c r="T29" s="8">
        <f t="shared" si="62"/>
        <v>0.70200670141474319</v>
      </c>
      <c r="U29" s="8">
        <f>U16/U14</f>
        <v>0.70923976608187123</v>
      </c>
      <c r="V29" s="8">
        <f>V16/V14</f>
        <v>0.71000000000000008</v>
      </c>
      <c r="W29" s="8">
        <f t="shared" ref="W29:Z29" si="63">W16/W14</f>
        <v>0.7</v>
      </c>
      <c r="X29" s="8">
        <f t="shared" si="63"/>
        <v>0.70000000000000007</v>
      </c>
      <c r="Y29" s="8">
        <f t="shared" si="63"/>
        <v>0.70000000000000007</v>
      </c>
      <c r="Z29" s="8">
        <f t="shared" si="63"/>
        <v>0.7</v>
      </c>
      <c r="AB29" s="8">
        <f t="shared" ref="AB29:AC29" si="64">AB16/AB14</f>
        <v>0.73382505559673838</v>
      </c>
      <c r="AC29" s="8">
        <f t="shared" si="64"/>
        <v>0.73035747141542906</v>
      </c>
      <c r="AD29" s="8">
        <f t="shared" ref="AD29:AE29" si="65">AD16/AD14</f>
        <v>0.72189556193420179</v>
      </c>
      <c r="AE29" s="8">
        <f t="shared" si="65"/>
        <v>0.70735336058560694</v>
      </c>
      <c r="AF29" s="8">
        <f>AF16/AF14</f>
        <v>0.70441921137691255</v>
      </c>
      <c r="AG29" s="8">
        <f>AG16/AG14</f>
        <v>0.70000000000000007</v>
      </c>
      <c r="AH29" s="8">
        <f t="shared" ref="AH29:AP29" si="66">AH16/AH14</f>
        <v>0.70000000000000007</v>
      </c>
      <c r="AI29" s="8">
        <f t="shared" si="66"/>
        <v>0.70000000000000007</v>
      </c>
      <c r="AJ29" s="8">
        <f t="shared" si="66"/>
        <v>0.7</v>
      </c>
      <c r="AK29" s="8">
        <f t="shared" si="66"/>
        <v>0.7</v>
      </c>
      <c r="AL29" s="8">
        <f t="shared" si="66"/>
        <v>0.70000000000000007</v>
      </c>
      <c r="AM29" s="8">
        <f t="shared" si="66"/>
        <v>0.7</v>
      </c>
      <c r="AN29" s="8">
        <f t="shared" si="66"/>
        <v>0.7</v>
      </c>
      <c r="AO29" s="8">
        <f t="shared" si="66"/>
        <v>0.7</v>
      </c>
      <c r="AP29" s="8">
        <f t="shared" si="66"/>
        <v>0.70000000000000007</v>
      </c>
      <c r="AR29" s="2" t="s">
        <v>60</v>
      </c>
      <c r="AS29" s="8">
        <v>-0.02</v>
      </c>
    </row>
    <row r="30" spans="1:164" x14ac:dyDescent="0.3">
      <c r="B30" s="1" t="s">
        <v>46</v>
      </c>
      <c r="K30" s="8">
        <f t="shared" ref="K30:T30" si="67">K17/K14</f>
        <v>0.26907670454545457</v>
      </c>
      <c r="L30" s="8">
        <f t="shared" si="67"/>
        <v>0.26988656987295828</v>
      </c>
      <c r="M30" s="8">
        <f t="shared" si="67"/>
        <v>0.27650902837489255</v>
      </c>
      <c r="N30" s="8">
        <f t="shared" si="67"/>
        <v>0.28411009933774833</v>
      </c>
      <c r="O30" s="8">
        <f t="shared" si="67"/>
        <v>0.26168724279835393</v>
      </c>
      <c r="P30" s="8">
        <f t="shared" si="67"/>
        <v>0.25145881447267127</v>
      </c>
      <c r="Q30" s="8">
        <f t="shared" si="67"/>
        <v>0.24990199637023594</v>
      </c>
      <c r="R30" s="8">
        <f t="shared" si="67"/>
        <v>0.26539839181286551</v>
      </c>
      <c r="S30" s="8">
        <f t="shared" si="67"/>
        <v>0.23755414488424195</v>
      </c>
      <c r="T30" s="8">
        <f t="shared" si="67"/>
        <v>0.25153387937453459</v>
      </c>
      <c r="U30" s="8">
        <f>U17/U14</f>
        <v>0.23226973684210528</v>
      </c>
      <c r="V30" s="8">
        <f>V17/V14</f>
        <v>0.24</v>
      </c>
      <c r="W30" s="8">
        <f t="shared" ref="W30:Z30" si="68">W17/W14</f>
        <v>0.24000000000000002</v>
      </c>
      <c r="X30" s="8">
        <f t="shared" si="68"/>
        <v>0.24000000000000002</v>
      </c>
      <c r="Y30" s="8">
        <f t="shared" si="68"/>
        <v>0.23999999999999996</v>
      </c>
      <c r="Z30" s="8">
        <f t="shared" si="68"/>
        <v>0.24</v>
      </c>
      <c r="AB30" s="8">
        <f t="shared" ref="AB30:AE30" si="69">AB17/AB14</f>
        <v>0.28277983691623421</v>
      </c>
      <c r="AC30" s="8">
        <f t="shared" si="69"/>
        <v>0.27823761335260871</v>
      </c>
      <c r="AD30" s="8">
        <f t="shared" si="69"/>
        <v>0.27519209538529477</v>
      </c>
      <c r="AE30" s="8">
        <f t="shared" si="69"/>
        <v>0.25703964255157336</v>
      </c>
      <c r="AF30" s="8">
        <f>AF17/AF14</f>
        <v>0.24030600111473968</v>
      </c>
      <c r="AG30" s="8">
        <f>AG17/AG14</f>
        <v>0.24000000000000002</v>
      </c>
      <c r="AH30" s="8">
        <f t="shared" ref="AH30:AP30" si="70">AH17/AH14</f>
        <v>0.25</v>
      </c>
      <c r="AI30" s="8">
        <f t="shared" si="70"/>
        <v>0.25</v>
      </c>
      <c r="AJ30" s="8">
        <f t="shared" si="70"/>
        <v>0.25</v>
      </c>
      <c r="AK30" s="8">
        <f t="shared" si="70"/>
        <v>0.25</v>
      </c>
      <c r="AL30" s="8">
        <f t="shared" si="70"/>
        <v>0.25</v>
      </c>
      <c r="AM30" s="8">
        <f t="shared" si="70"/>
        <v>0.25</v>
      </c>
      <c r="AN30" s="8">
        <f t="shared" si="70"/>
        <v>0.25</v>
      </c>
      <c r="AO30" s="8">
        <f t="shared" si="70"/>
        <v>0.25</v>
      </c>
      <c r="AP30" s="8">
        <f t="shared" si="70"/>
        <v>0.25</v>
      </c>
      <c r="AR30" s="2" t="s">
        <v>62</v>
      </c>
      <c r="AS30" s="8">
        <v>0.03</v>
      </c>
    </row>
    <row r="31" spans="1:164" x14ac:dyDescent="0.3">
      <c r="B31" s="1" t="s">
        <v>47</v>
      </c>
      <c r="K31" s="8">
        <f t="shared" ref="K31:T31" si="71">K18/K14</f>
        <v>0.12521780303030305</v>
      </c>
      <c r="L31" s="8">
        <f t="shared" si="71"/>
        <v>0.23309891107078043</v>
      </c>
      <c r="M31" s="8">
        <f t="shared" si="71"/>
        <v>0.12818142734307825</v>
      </c>
      <c r="N31" s="8">
        <f t="shared" si="71"/>
        <v>0.876092715231788</v>
      </c>
      <c r="O31" s="8">
        <f t="shared" si="71"/>
        <v>0.20506584362139918</v>
      </c>
      <c r="P31" s="8">
        <f t="shared" si="71"/>
        <v>0.16665896843725944</v>
      </c>
      <c r="Q31" s="8">
        <f t="shared" si="71"/>
        <v>0.17632304900181486</v>
      </c>
      <c r="R31" s="8">
        <f t="shared" si="71"/>
        <v>0.29218932748538012</v>
      </c>
      <c r="S31" s="8">
        <f t="shared" si="71"/>
        <v>7.7879014189693799E-2</v>
      </c>
      <c r="T31" s="8">
        <f t="shared" si="71"/>
        <v>0.13525316455696201</v>
      </c>
      <c r="U31" s="8">
        <f>U18/U14</f>
        <v>0.12153143274853802</v>
      </c>
      <c r="V31" s="8">
        <f>V18/V14</f>
        <v>0.12</v>
      </c>
      <c r="W31" s="8">
        <f t="shared" ref="W31:Z31" si="72">W18/W14</f>
        <v>0.12000000000000001</v>
      </c>
      <c r="X31" s="8">
        <f t="shared" si="72"/>
        <v>0.12000000000000001</v>
      </c>
      <c r="Y31" s="8">
        <f t="shared" si="72"/>
        <v>0.11999999999999998</v>
      </c>
      <c r="Z31" s="8">
        <f t="shared" si="72"/>
        <v>0.12</v>
      </c>
      <c r="AB31" s="8">
        <f t="shared" ref="AB31:AE31" si="73">AB18/AB14</f>
        <v>0.33692920681986654</v>
      </c>
      <c r="AC31" s="8">
        <f t="shared" si="73"/>
        <v>0.34924168747535811</v>
      </c>
      <c r="AD31" s="8">
        <f t="shared" si="73"/>
        <v>0.3525060719805696</v>
      </c>
      <c r="AE31" s="8">
        <f t="shared" si="73"/>
        <v>0.21071299553189468</v>
      </c>
      <c r="AF31" s="8">
        <f>AF18/AF14</f>
        <v>0.11368965993872215</v>
      </c>
      <c r="AG31" s="8">
        <f>AG18/AG14</f>
        <v>0.12000000000000001</v>
      </c>
      <c r="AH31" s="8">
        <f t="shared" ref="AH31:AP31" si="74">AH18/AH14</f>
        <v>0.11</v>
      </c>
      <c r="AI31" s="8">
        <f t="shared" si="74"/>
        <v>0.11000000000000001</v>
      </c>
      <c r="AJ31" s="8">
        <f t="shared" si="74"/>
        <v>0.10999999999999999</v>
      </c>
      <c r="AK31" s="8">
        <f t="shared" si="74"/>
        <v>0.11</v>
      </c>
      <c r="AL31" s="8">
        <f t="shared" si="74"/>
        <v>0.11</v>
      </c>
      <c r="AM31" s="8">
        <f t="shared" si="74"/>
        <v>0.11</v>
      </c>
      <c r="AN31" s="8">
        <f t="shared" si="74"/>
        <v>0.10999999999999999</v>
      </c>
      <c r="AO31" s="8">
        <f t="shared" si="74"/>
        <v>0.11</v>
      </c>
      <c r="AP31" s="8">
        <f t="shared" si="74"/>
        <v>0.11</v>
      </c>
      <c r="AR31" s="2" t="s">
        <v>61</v>
      </c>
      <c r="AS31" s="8">
        <v>0.08</v>
      </c>
    </row>
    <row r="32" spans="1:164" x14ac:dyDescent="0.3">
      <c r="B32" s="1" t="s">
        <v>48</v>
      </c>
      <c r="K32" s="8">
        <f t="shared" ref="K32:T32" si="75">K19/K14</f>
        <v>0.11929450757575759</v>
      </c>
      <c r="L32" s="8">
        <f t="shared" si="75"/>
        <v>0.1018874773139746</v>
      </c>
      <c r="M32" s="8">
        <f t="shared" si="75"/>
        <v>0.11104041272570937</v>
      </c>
      <c r="N32" s="8">
        <f t="shared" si="75"/>
        <v>0.10387417218543045</v>
      </c>
      <c r="O32" s="8">
        <f t="shared" si="75"/>
        <v>0.13642798353909466</v>
      </c>
      <c r="P32" s="8">
        <f t="shared" si="75"/>
        <v>0.13946497305619707</v>
      </c>
      <c r="Q32" s="8">
        <f t="shared" si="75"/>
        <v>0.11219237749546279</v>
      </c>
      <c r="R32" s="8">
        <f t="shared" si="75"/>
        <v>0.11063961988304095</v>
      </c>
      <c r="S32" s="8">
        <f t="shared" si="75"/>
        <v>0.13449215832710978</v>
      </c>
      <c r="T32" s="8">
        <f t="shared" si="75"/>
        <v>5.8469843633655989E-2</v>
      </c>
      <c r="U32" s="8">
        <f>U19/U14</f>
        <v>9.0935672514619897E-2</v>
      </c>
      <c r="V32" s="8">
        <f>V19/V14</f>
        <v>0.1</v>
      </c>
      <c r="W32" s="8">
        <f t="shared" ref="W32:Z32" si="76">W19/W14</f>
        <v>0.1</v>
      </c>
      <c r="X32" s="8">
        <f t="shared" si="76"/>
        <v>0.1</v>
      </c>
      <c r="Y32" s="8">
        <f t="shared" si="76"/>
        <v>0.1</v>
      </c>
      <c r="Z32" s="8">
        <f t="shared" si="76"/>
        <v>0.1</v>
      </c>
      <c r="AB32" s="8">
        <f t="shared" ref="AB32:AE32" si="77">AB19/AB14</f>
        <v>8.7090437361008147E-2</v>
      </c>
      <c r="AC32" s="8">
        <f t="shared" si="77"/>
        <v>0.13919963201471941</v>
      </c>
      <c r="AD32" s="8">
        <f t="shared" si="77"/>
        <v>0.10882645175535438</v>
      </c>
      <c r="AE32" s="8">
        <f t="shared" si="77"/>
        <v>0.12412301549576957</v>
      </c>
      <c r="AF32" s="8">
        <f>AF19/AF14</f>
        <v>9.5896972857850385E-2</v>
      </c>
      <c r="AG32" s="8">
        <f>AG19/AG14</f>
        <v>0.1</v>
      </c>
      <c r="AH32" s="8">
        <f t="shared" ref="AH32:AP32" si="78">AH19/AH14</f>
        <v>0.1</v>
      </c>
      <c r="AI32" s="8">
        <f t="shared" si="78"/>
        <v>0.1</v>
      </c>
      <c r="AJ32" s="8">
        <f t="shared" si="78"/>
        <v>0.1</v>
      </c>
      <c r="AK32" s="8">
        <f t="shared" si="78"/>
        <v>0.1</v>
      </c>
      <c r="AL32" s="8">
        <f t="shared" si="78"/>
        <v>0.1</v>
      </c>
      <c r="AM32" s="8">
        <f t="shared" si="78"/>
        <v>0.1</v>
      </c>
      <c r="AN32" s="8">
        <f t="shared" si="78"/>
        <v>0.1</v>
      </c>
      <c r="AO32" s="8">
        <f t="shared" si="78"/>
        <v>0.10000000000000002</v>
      </c>
      <c r="AP32" s="8">
        <f t="shared" si="78"/>
        <v>0.1</v>
      </c>
      <c r="AR32" s="2" t="s">
        <v>63</v>
      </c>
      <c r="AS32" s="2">
        <f>NPV(AS31,AG25:FH25)</f>
        <v>3002.4017482470749</v>
      </c>
    </row>
    <row r="33" spans="1:45" x14ac:dyDescent="0.3">
      <c r="B33" s="1" t="s">
        <v>49</v>
      </c>
      <c r="K33" s="8">
        <f>K24/K23</f>
        <v>4.5556889822876027E-2</v>
      </c>
      <c r="L33" s="8">
        <f t="shared" ref="L33:T33" si="79">L24/L23</f>
        <v>0.10120859055734292</v>
      </c>
      <c r="M33" s="8">
        <f t="shared" si="79"/>
        <v>3.3892624478937552E-2</v>
      </c>
      <c r="N33" s="8">
        <f t="shared" si="79"/>
        <v>1.6123941651914976E-2</v>
      </c>
      <c r="O33" s="8">
        <f t="shared" si="79"/>
        <v>0.15310247846721736</v>
      </c>
      <c r="P33" s="8">
        <f t="shared" si="79"/>
        <v>9.4183491278670414E-2</v>
      </c>
      <c r="Q33" s="8">
        <f t="shared" si="79"/>
        <v>4.4451831975874441E-2</v>
      </c>
      <c r="R33" s="8">
        <f t="shared" si="79"/>
        <v>3.8915727321524362E-3</v>
      </c>
      <c r="S33" s="8">
        <f t="shared" si="79"/>
        <v>0.12759056301000371</v>
      </c>
      <c r="T33" s="8">
        <f t="shared" si="79"/>
        <v>7.8013586635874738E-2</v>
      </c>
      <c r="U33" s="8">
        <f>U24/U23</f>
        <v>6.3568449516476513E-2</v>
      </c>
      <c r="V33" s="8">
        <f>V24/V23</f>
        <v>0.15</v>
      </c>
      <c r="AB33" s="8">
        <f t="shared" ref="AB33:AC33" si="80">AB24/AB23</f>
        <v>-1.1392083282895569</v>
      </c>
      <c r="AC33" s="8">
        <f t="shared" si="80"/>
        <v>8.9261584881042282</v>
      </c>
      <c r="AD33" s="8">
        <f t="shared" ref="AD33:AE33" si="81">AD24/AD23</f>
        <v>-0.18536091022156734</v>
      </c>
      <c r="AE33" s="8">
        <f t="shared" si="81"/>
        <v>9.7683923705722361E-2</v>
      </c>
      <c r="AF33" s="8">
        <f>AF24/AF23</f>
        <v>0.10293447815458368</v>
      </c>
      <c r="AG33" s="8">
        <f>AG24/AG23</f>
        <v>0.15</v>
      </c>
      <c r="AH33" s="8">
        <f t="shared" ref="AH33:AP33" si="82">AH24/AH23</f>
        <v>0.2</v>
      </c>
      <c r="AI33" s="8">
        <f t="shared" si="82"/>
        <v>0.2</v>
      </c>
      <c r="AJ33" s="8">
        <f t="shared" si="82"/>
        <v>0.2</v>
      </c>
      <c r="AK33" s="8">
        <f t="shared" si="82"/>
        <v>0.2</v>
      </c>
      <c r="AL33" s="8">
        <f t="shared" si="82"/>
        <v>0.20000000000000004</v>
      </c>
      <c r="AM33" s="8">
        <f t="shared" si="82"/>
        <v>0.2</v>
      </c>
      <c r="AN33" s="8">
        <f t="shared" si="82"/>
        <v>0.2</v>
      </c>
      <c r="AO33" s="8">
        <f t="shared" si="82"/>
        <v>0.19999999999999998</v>
      </c>
      <c r="AP33" s="8">
        <f t="shared" si="82"/>
        <v>0.2</v>
      </c>
      <c r="AR33" s="2" t="s">
        <v>64</v>
      </c>
      <c r="AS33" s="3">
        <f>AS32/Main!O5</f>
        <v>27.753153189496963</v>
      </c>
    </row>
    <row r="35" spans="1:45" x14ac:dyDescent="0.3">
      <c r="B35" s="1" t="s">
        <v>50</v>
      </c>
      <c r="F35" s="10"/>
      <c r="G35" s="10">
        <v>0.38</v>
      </c>
      <c r="H35" s="10">
        <v>0.38</v>
      </c>
      <c r="I35" s="10">
        <v>0.39</v>
      </c>
      <c r="J35" s="8">
        <f t="shared" ref="J35:J37" si="83">J12/F12-1</f>
        <v>0.42249527410207954</v>
      </c>
      <c r="K35" s="8">
        <f t="shared" ref="K35:K37" si="84">K12/G12-1</f>
        <v>0.38010657193605701</v>
      </c>
      <c r="L35" s="8">
        <f t="shared" ref="L35:L37" si="85">L12/H12-1</f>
        <v>0.33228593872741552</v>
      </c>
      <c r="M35" s="8">
        <f t="shared" ref="M35:M37" si="86">M12/I12-1</f>
        <v>0.26736842105263148</v>
      </c>
      <c r="N35" s="8">
        <f t="shared" ref="N35:N37" si="87">N12/J12-1</f>
        <v>0.26777408637873767</v>
      </c>
      <c r="O35" s="8">
        <f t="shared" ref="O35:T35" si="88">O12/K12-1</f>
        <v>0.2503217503217503</v>
      </c>
      <c r="P35" s="8">
        <f t="shared" si="88"/>
        <v>0.22641509433962259</v>
      </c>
      <c r="Q35" s="8">
        <f t="shared" si="88"/>
        <v>0.22812846068660031</v>
      </c>
      <c r="R35" s="8">
        <f t="shared" si="88"/>
        <v>0.15670859538784043</v>
      </c>
      <c r="S35" s="8">
        <f t="shared" si="88"/>
        <v>0.11065362840967574</v>
      </c>
      <c r="T35" s="8">
        <f t="shared" si="88"/>
        <v>4.8076923076923128E-2</v>
      </c>
      <c r="U35" s="8">
        <f t="shared" ref="U35:V37" si="89">U12/Q12-1</f>
        <v>-7.2137060414788623E-3</v>
      </c>
      <c r="V35" s="8">
        <f t="shared" si="89"/>
        <v>-4.9599999999999866E-2</v>
      </c>
      <c r="W35" s="8">
        <f t="shared" ref="W35:Z35" si="90">W12/S12-1</f>
        <v>1.2000000000000011E-2</v>
      </c>
      <c r="X35" s="8">
        <f t="shared" si="90"/>
        <v>6.7000000000000171E-2</v>
      </c>
      <c r="Y35" s="8">
        <f t="shared" si="90"/>
        <v>0.12199999999999989</v>
      </c>
      <c r="Z35" s="8">
        <f t="shared" si="90"/>
        <v>0.15500000000000003</v>
      </c>
      <c r="AC35" s="8">
        <f t="shared" ref="AC35:AG37" si="91">AC12/AB12-1</f>
        <v>0.57791044776119405</v>
      </c>
      <c r="AD35" s="8">
        <f t="shared" si="91"/>
        <v>0.31744230041619392</v>
      </c>
      <c r="AE35" s="8">
        <f t="shared" si="91"/>
        <v>0.21309592188397453</v>
      </c>
      <c r="AF35" s="8">
        <f t="shared" si="91"/>
        <v>2.2435227272727287E-2</v>
      </c>
      <c r="AG35" s="8">
        <f t="shared" si="91"/>
        <v>8.8650034880330741E-2</v>
      </c>
      <c r="AH35" s="8">
        <f t="shared" ref="AH35:AP35" si="92">AH12/AG12-1</f>
        <v>1.8500000000000183E-2</v>
      </c>
      <c r="AI35" s="8">
        <f t="shared" si="92"/>
        <v>1.8499999999999961E-2</v>
      </c>
      <c r="AJ35" s="8">
        <f t="shared" si="92"/>
        <v>1.8499999999999961E-2</v>
      </c>
      <c r="AK35" s="8">
        <f t="shared" si="92"/>
        <v>1.8500000000000183E-2</v>
      </c>
      <c r="AL35" s="8">
        <f t="shared" si="92"/>
        <v>1.8499999999999961E-2</v>
      </c>
      <c r="AM35" s="8">
        <f t="shared" si="92"/>
        <v>1.8499999999999961E-2</v>
      </c>
      <c r="AN35" s="8">
        <f t="shared" si="92"/>
        <v>1.8499999999999961E-2</v>
      </c>
      <c r="AO35" s="8">
        <f t="shared" si="92"/>
        <v>1.8499999999999961E-2</v>
      </c>
      <c r="AP35" s="8">
        <f t="shared" si="92"/>
        <v>1.8499999999999961E-2</v>
      </c>
    </row>
    <row r="36" spans="1:45" x14ac:dyDescent="0.3">
      <c r="B36" s="1" t="s">
        <v>51</v>
      </c>
      <c r="F36" s="10"/>
      <c r="G36" s="10">
        <v>0.11</v>
      </c>
      <c r="H36" s="10">
        <v>0.11</v>
      </c>
      <c r="I36" s="10">
        <v>-0.03</v>
      </c>
      <c r="J36" s="8">
        <f t="shared" si="83"/>
        <v>-3.5117056856187157E-2</v>
      </c>
      <c r="K36" s="8">
        <f t="shared" si="84"/>
        <v>-3.9586919104991458E-2</v>
      </c>
      <c r="L36" s="8">
        <f t="shared" si="85"/>
        <v>-0.13752122241086595</v>
      </c>
      <c r="M36" s="8">
        <f t="shared" si="86"/>
        <v>-0.10344827586206895</v>
      </c>
      <c r="N36" s="8">
        <f t="shared" si="87"/>
        <v>-0.1195840554592722</v>
      </c>
      <c r="O36" s="8">
        <f t="shared" ref="O36:T36" si="93">O13/K13-1</f>
        <v>-0.12724014336917555</v>
      </c>
      <c r="P36" s="8">
        <f t="shared" si="93"/>
        <v>1.9685039370078705E-2</v>
      </c>
      <c r="Q36" s="8">
        <f t="shared" si="93"/>
        <v>3.2692307692307798E-2</v>
      </c>
      <c r="R36" s="8">
        <f t="shared" si="93"/>
        <v>4.1338582677165281E-2</v>
      </c>
      <c r="S36" s="8">
        <f t="shared" si="93"/>
        <v>6.7761806981519346E-2</v>
      </c>
      <c r="T36" s="8">
        <f t="shared" si="93"/>
        <v>-2.316602316602312E-2</v>
      </c>
      <c r="U36" s="8">
        <f t="shared" si="89"/>
        <v>-5.5865921787709993E-3</v>
      </c>
      <c r="V36" s="8">
        <f t="shared" si="89"/>
        <v>-1.4400000000000079E-2</v>
      </c>
      <c r="W36" s="8">
        <f t="shared" ref="W36:Z36" si="94">W13/S13-1</f>
        <v>-9.9999999999997868E-3</v>
      </c>
      <c r="X36" s="8">
        <f t="shared" si="94"/>
        <v>-9.9999999999998979E-3</v>
      </c>
      <c r="Y36" s="8">
        <f t="shared" si="94"/>
        <v>-1.0000000000000009E-2</v>
      </c>
      <c r="Z36" s="8">
        <f t="shared" si="94"/>
        <v>-9.9999999999998979E-3</v>
      </c>
      <c r="AC36" s="8">
        <f t="shared" si="91"/>
        <v>0.1353861192570871</v>
      </c>
      <c r="AD36" s="8">
        <f t="shared" si="91"/>
        <v>-9.8579423159707469E-2</v>
      </c>
      <c r="AE36" s="8">
        <f t="shared" si="91"/>
        <v>-1.0983763132760171E-2</v>
      </c>
      <c r="AF36" s="8">
        <f t="shared" si="91"/>
        <v>5.0132303235153053E-3</v>
      </c>
      <c r="AG36" s="8">
        <f t="shared" si="91"/>
        <v>-1.0000000000000009E-2</v>
      </c>
      <c r="AH36" s="8">
        <f t="shared" ref="AH36:AP36" si="95">AH13/AG13-1</f>
        <v>-1.0000000000010001E-4</v>
      </c>
      <c r="AI36" s="8">
        <f t="shared" si="95"/>
        <v>-9.9999999999988987E-5</v>
      </c>
      <c r="AJ36" s="8">
        <f t="shared" si="95"/>
        <v>-9.9999999999766942E-5</v>
      </c>
      <c r="AK36" s="8">
        <f t="shared" si="95"/>
        <v>-9.9999999999988987E-5</v>
      </c>
      <c r="AL36" s="8">
        <f t="shared" si="95"/>
        <v>-9.9999999999988987E-5</v>
      </c>
      <c r="AM36" s="8">
        <f t="shared" si="95"/>
        <v>-1.0000000000010001E-4</v>
      </c>
      <c r="AN36" s="8">
        <f t="shared" si="95"/>
        <v>-1.0000000000010001E-4</v>
      </c>
      <c r="AO36" s="8">
        <f t="shared" si="95"/>
        <v>-9.9999999999988987E-5</v>
      </c>
      <c r="AP36" s="8">
        <f t="shared" si="95"/>
        <v>-9.9999999999988987E-5</v>
      </c>
    </row>
    <row r="37" spans="1:45" x14ac:dyDescent="0.3">
      <c r="B37" s="1" t="s">
        <v>52</v>
      </c>
      <c r="F37" s="8"/>
      <c r="G37" s="8">
        <f t="shared" ref="G37" si="96">G14/C14-1</f>
        <v>0.43204697986577179</v>
      </c>
      <c r="H37" s="8">
        <f t="shared" ref="H37" si="97">H14/D14-1</f>
        <v>0.28140332906530108</v>
      </c>
      <c r="I37" s="8">
        <f t="shared" ref="I37" si="98">I14/E14-1</f>
        <v>0.23527679407800051</v>
      </c>
      <c r="J37" s="8">
        <f t="shared" si="83"/>
        <v>0.25724637681159424</v>
      </c>
      <c r="K37" s="8">
        <f t="shared" si="84"/>
        <v>0.23725834797891032</v>
      </c>
      <c r="L37" s="8">
        <f t="shared" si="85"/>
        <v>0.18367346938775508</v>
      </c>
      <c r="M37" s="8">
        <f t="shared" si="86"/>
        <v>0.16009975062344139</v>
      </c>
      <c r="N37" s="8">
        <f t="shared" si="87"/>
        <v>0.16042267050912606</v>
      </c>
      <c r="O37" s="8">
        <f t="shared" ref="O37:T37" si="99">O14/K14-1</f>
        <v>0.15056818181818188</v>
      </c>
      <c r="P37" s="8">
        <f t="shared" si="99"/>
        <v>0.17876588021778606</v>
      </c>
      <c r="Q37" s="8">
        <f t="shared" si="99"/>
        <v>0.18443680137575247</v>
      </c>
      <c r="R37" s="8">
        <f t="shared" si="99"/>
        <v>0.1324503311258276</v>
      </c>
      <c r="S37" s="8">
        <f t="shared" si="99"/>
        <v>0.1020576131687243</v>
      </c>
      <c r="T37" s="8">
        <f t="shared" si="99"/>
        <v>3.3872209391839991E-2</v>
      </c>
      <c r="U37" s="8">
        <f t="shared" si="89"/>
        <v>-6.8965517241380558E-3</v>
      </c>
      <c r="V37" s="8">
        <f t="shared" si="89"/>
        <v>-4.2794152046783496E-2</v>
      </c>
      <c r="W37" s="8">
        <f t="shared" ref="W37:Z37" si="100">W14/S14-1</f>
        <v>7.7281553398058644E-3</v>
      </c>
      <c r="X37" s="8">
        <f t="shared" si="100"/>
        <v>5.2494415487714052E-2</v>
      </c>
      <c r="Y37" s="8">
        <f t="shared" si="100"/>
        <v>9.6236842105263065E-2</v>
      </c>
      <c r="Z37" s="8">
        <f t="shared" si="100"/>
        <v>0.12215124796709742</v>
      </c>
      <c r="AC37" s="8">
        <f t="shared" si="91"/>
        <v>0.41011860637509279</v>
      </c>
      <c r="AD37" s="8">
        <f t="shared" si="91"/>
        <v>0.19043238270469165</v>
      </c>
      <c r="AE37" s="8">
        <f t="shared" si="91"/>
        <v>0.16129388385957144</v>
      </c>
      <c r="AF37" s="8">
        <f t="shared" si="91"/>
        <v>1.9005152581044182E-2</v>
      </c>
      <c r="AG37" s="8">
        <f t="shared" si="91"/>
        <v>6.9494323455418394E-2</v>
      </c>
      <c r="AH37" s="8">
        <f t="shared" ref="AH37:AP37" si="101">AH14/AG14-1</f>
        <v>1.5156735800929022E-2</v>
      </c>
      <c r="AI37" s="8">
        <f t="shared" si="101"/>
        <v>1.5206981538162578E-2</v>
      </c>
      <c r="AJ37" s="8">
        <f t="shared" si="101"/>
        <v>1.5256632667160597E-2</v>
      </c>
      <c r="AK37" s="8">
        <f t="shared" si="101"/>
        <v>1.530569139687743E-2</v>
      </c>
      <c r="AL37" s="8">
        <f t="shared" si="101"/>
        <v>1.5354160082695856E-2</v>
      </c>
      <c r="AM37" s="8">
        <f t="shared" si="101"/>
        <v>1.5402041221699303E-2</v>
      </c>
      <c r="AN37" s="8">
        <f t="shared" si="101"/>
        <v>1.5449337447956957E-2</v>
      </c>
      <c r="AO37" s="8">
        <f t="shared" si="101"/>
        <v>1.5496051527835064E-2</v>
      </c>
      <c r="AP37" s="8">
        <f t="shared" si="101"/>
        <v>1.5542186355329779E-2</v>
      </c>
    </row>
    <row r="39" spans="1:45" x14ac:dyDescent="0.3">
      <c r="B39" s="1" t="s">
        <v>53</v>
      </c>
      <c r="G39" s="8">
        <f t="shared" ref="G39:H41" si="102">G8/C8-1</f>
        <v>0.44175636789939254</v>
      </c>
      <c r="H39" s="8">
        <f t="shared" si="102"/>
        <v>0.36477346428240542</v>
      </c>
      <c r="I39" s="8">
        <f t="shared" ref="I39:I41" si="103">I8/E8-1</f>
        <v>0.19538257546213234</v>
      </c>
      <c r="J39" s="8">
        <f t="shared" ref="J39:J41" si="104">J8/F8-1</f>
        <v>0.29321352565618364</v>
      </c>
      <c r="K39" s="8">
        <f t="shared" ref="K39:K41" si="105">K8/G8-1</f>
        <v>0.31224127735067997</v>
      </c>
      <c r="L39" s="8">
        <f t="shared" ref="L39:L41" si="106">L8/H8-1</f>
        <v>0.3068567549219281</v>
      </c>
      <c r="M39" s="8">
        <f t="shared" ref="M39:M41" si="107">M8/I8-1</f>
        <v>0.3623907085997653</v>
      </c>
      <c r="N39" s="8">
        <f t="shared" ref="N39" si="108">N8/J8-1</f>
        <v>0.35369049795818852</v>
      </c>
      <c r="O39" s="8">
        <f t="shared" ref="O39:T39" si="109">O8/K8-1</f>
        <v>0.3063316809373593</v>
      </c>
      <c r="P39" s="8">
        <f t="shared" si="109"/>
        <v>0.27688311688311695</v>
      </c>
      <c r="Q39" s="8">
        <f t="shared" si="109"/>
        <v>0.24760536398467425</v>
      </c>
      <c r="R39" s="8">
        <f t="shared" si="109"/>
        <v>0.21026564610535803</v>
      </c>
      <c r="S39" s="8">
        <f t="shared" si="109"/>
        <v>0.17723156532988349</v>
      </c>
      <c r="T39" s="8">
        <f t="shared" si="109"/>
        <v>0.14605370219690794</v>
      </c>
      <c r="U39" s="8">
        <f t="shared" ref="U39:V41" si="110">U8/Q8-1</f>
        <v>0.10134357005758177</v>
      </c>
      <c r="V39" s="8">
        <f t="shared" si="110"/>
        <v>8.0000000000000071E-2</v>
      </c>
      <c r="W39" s="8">
        <f t="shared" ref="W39:Z39" si="111">W8/S8-1</f>
        <v>0.10000000000000009</v>
      </c>
      <c r="X39" s="8">
        <f t="shared" si="111"/>
        <v>0.10000000000000009</v>
      </c>
      <c r="Y39" s="8">
        <f t="shared" si="111"/>
        <v>0.10000000000000009</v>
      </c>
      <c r="Z39" s="8">
        <f t="shared" si="111"/>
        <v>0.10000000000000009</v>
      </c>
      <c r="AC39" s="8">
        <f t="shared" ref="AC39:AD39" si="112">AC8/AB8-1</f>
        <v>0.31319499168198939</v>
      </c>
      <c r="AD39" s="8">
        <f t="shared" si="112"/>
        <v>0.33504467262301629</v>
      </c>
      <c r="AE39" s="8">
        <f t="shared" ref="AE39:AG41" si="113">AE8/AD8-1</f>
        <v>0.25730410028467277</v>
      </c>
      <c r="AF39" s="8">
        <f t="shared" si="113"/>
        <v>0.12403574975173792</v>
      </c>
      <c r="AG39" s="8">
        <f t="shared" si="113"/>
        <v>0.10000000000000009</v>
      </c>
      <c r="AH39" s="8">
        <f t="shared" ref="AH39:AP39" si="114">AH8/AG8-1</f>
        <v>5.0000000000000044E-2</v>
      </c>
      <c r="AI39" s="8">
        <f t="shared" si="114"/>
        <v>5.0000000000000044E-2</v>
      </c>
      <c r="AJ39" s="8">
        <f t="shared" si="114"/>
        <v>5.0000000000000044E-2</v>
      </c>
      <c r="AK39" s="8">
        <f t="shared" si="114"/>
        <v>5.0000000000000044E-2</v>
      </c>
      <c r="AL39" s="8">
        <f t="shared" si="114"/>
        <v>5.0000000000000044E-2</v>
      </c>
      <c r="AM39" s="8">
        <f t="shared" si="114"/>
        <v>5.0000000000000044E-2</v>
      </c>
      <c r="AN39" s="8">
        <f t="shared" si="114"/>
        <v>5.0000000000000044E-2</v>
      </c>
      <c r="AO39" s="8">
        <f t="shared" si="114"/>
        <v>5.0000000000000044E-2</v>
      </c>
      <c r="AP39" s="8">
        <f t="shared" si="114"/>
        <v>5.0000000000000044E-2</v>
      </c>
    </row>
    <row r="40" spans="1:45" x14ac:dyDescent="0.3">
      <c r="B40" s="1" t="s">
        <v>54</v>
      </c>
      <c r="G40" s="8">
        <f t="shared" si="102"/>
        <v>0.19069118371367599</v>
      </c>
      <c r="H40" s="8">
        <f t="shared" si="102"/>
        <v>7.4950107177174985E-2</v>
      </c>
      <c r="I40" s="8">
        <f t="shared" si="103"/>
        <v>-8.5271317829457405E-2</v>
      </c>
      <c r="J40" s="8">
        <f t="shared" si="104"/>
        <v>-6.0648603116664312E-2</v>
      </c>
      <c r="K40" s="8">
        <f t="shared" si="105"/>
        <v>-0.15063771113409163</v>
      </c>
      <c r="L40" s="8">
        <f t="shared" si="106"/>
        <v>-0.24637282541428851</v>
      </c>
      <c r="M40" s="8">
        <f t="shared" si="107"/>
        <v>-9.8545072746362705E-2</v>
      </c>
      <c r="N40" s="8">
        <f>N9/J9-1</f>
        <v>-0.11224032282170082</v>
      </c>
      <c r="O40" s="8">
        <f t="shared" ref="O40:T40" si="115">O9/K9-1</f>
        <v>-7.3863636363636354E-2</v>
      </c>
      <c r="P40" s="8">
        <f t="shared" si="115"/>
        <v>7.208029197080279E-2</v>
      </c>
      <c r="Q40" s="8">
        <f t="shared" si="115"/>
        <v>1.1647254575707144E-2</v>
      </c>
      <c r="R40" s="8">
        <f t="shared" si="115"/>
        <v>7.8282828282828287E-2</v>
      </c>
      <c r="S40" s="8">
        <f t="shared" si="115"/>
        <v>0.13409290096406656</v>
      </c>
      <c r="T40" s="8">
        <f t="shared" si="115"/>
        <v>0.12425531914893617</v>
      </c>
      <c r="U40" s="8">
        <f t="shared" si="110"/>
        <v>0.13980263157894735</v>
      </c>
      <c r="V40" s="8">
        <f t="shared" si="110"/>
        <v>0.12000000000000011</v>
      </c>
      <c r="W40" s="8">
        <f>W9/S9-1</f>
        <v>0.10000000000000009</v>
      </c>
      <c r="X40" s="8">
        <f t="shared" ref="X40:Z40" si="116">X9/T9-1</f>
        <v>0.10000000000000009</v>
      </c>
      <c r="Y40" s="8">
        <f t="shared" si="116"/>
        <v>0.10000000000000009</v>
      </c>
      <c r="Z40" s="8">
        <f t="shared" si="116"/>
        <v>0.10000000000000009</v>
      </c>
      <c r="AC40" s="8">
        <f t="shared" ref="AC40:AD40" si="117">AC9/AB9-1</f>
        <v>2.2517236320962253E-2</v>
      </c>
      <c r="AD40" s="8">
        <f t="shared" si="117"/>
        <v>-0.15393443798866646</v>
      </c>
      <c r="AE40" s="8">
        <f t="shared" si="113"/>
        <v>2.0135650699448782E-2</v>
      </c>
      <c r="AF40" s="8">
        <f t="shared" si="113"/>
        <v>0.12938292125493467</v>
      </c>
      <c r="AG40" s="8">
        <f t="shared" si="113"/>
        <v>9.9999999999999867E-2</v>
      </c>
      <c r="AH40" s="8">
        <f t="shared" ref="AH40:AP40" si="118">AH9/AG9-1</f>
        <v>-1.000000000000012E-2</v>
      </c>
      <c r="AI40" s="8">
        <f t="shared" si="118"/>
        <v>-1.0000000000000009E-2</v>
      </c>
      <c r="AJ40" s="8">
        <f t="shared" si="118"/>
        <v>-1.0000000000000009E-2</v>
      </c>
      <c r="AK40" s="8">
        <f t="shared" si="118"/>
        <v>-1.0000000000000009E-2</v>
      </c>
      <c r="AL40" s="8">
        <f t="shared" si="118"/>
        <v>-9.9999999999998979E-3</v>
      </c>
      <c r="AM40" s="8">
        <f t="shared" si="118"/>
        <v>-9.9999999999998979E-3</v>
      </c>
      <c r="AN40" s="8">
        <f t="shared" si="118"/>
        <v>-1.000000000000012E-2</v>
      </c>
      <c r="AO40" s="8">
        <f t="shared" si="118"/>
        <v>-9.9999999999998979E-3</v>
      </c>
      <c r="AP40" s="8">
        <f t="shared" si="118"/>
        <v>-9.9999999999998979E-3</v>
      </c>
    </row>
    <row r="41" spans="1:45" x14ac:dyDescent="0.3">
      <c r="B41" s="1" t="s">
        <v>55</v>
      </c>
      <c r="G41" s="8">
        <f t="shared" si="102"/>
        <v>0.29993044284720627</v>
      </c>
      <c r="H41" s="8">
        <f t="shared" si="102"/>
        <v>0.20356056245374554</v>
      </c>
      <c r="I41" s="8">
        <f t="shared" si="103"/>
        <v>4.6061756332578918E-2</v>
      </c>
      <c r="J41" s="8">
        <f t="shared" si="104"/>
        <v>0.10604091634797475</v>
      </c>
      <c r="K41" s="8">
        <f t="shared" si="105"/>
        <v>7.273570434844645E-2</v>
      </c>
      <c r="L41" s="8">
        <f t="shared" si="106"/>
        <v>3.2009018549516766E-2</v>
      </c>
      <c r="M41" s="8">
        <f t="shared" si="107"/>
        <v>0.14794138171667837</v>
      </c>
      <c r="N41" s="8">
        <f t="shared" ref="N41" si="119">N10/J10-1</f>
        <v>0.14438215448655534</v>
      </c>
      <c r="O41" s="8">
        <f t="shared" ref="O41:T41" si="120">O10/K10-1</f>
        <v>0.15057196062782641</v>
      </c>
      <c r="P41" s="8">
        <f t="shared" si="120"/>
        <v>0.20258192651439932</v>
      </c>
      <c r="Q41" s="8">
        <f t="shared" si="120"/>
        <v>0.16139817629179332</v>
      </c>
      <c r="R41" s="8">
        <f t="shared" si="120"/>
        <v>0.16427104722792629</v>
      </c>
      <c r="S41" s="8">
        <f t="shared" si="120"/>
        <v>0.16300578034682078</v>
      </c>
      <c r="T41" s="8">
        <f t="shared" si="120"/>
        <v>0.13900357830993659</v>
      </c>
      <c r="U41" s="8">
        <f t="shared" si="110"/>
        <v>0.11358283171944517</v>
      </c>
      <c r="V41" s="8">
        <f t="shared" si="110"/>
        <v>9.2910052910052832E-2</v>
      </c>
      <c r="W41" s="8">
        <f t="shared" ref="W41:Z41" si="121">W10/S10-1</f>
        <v>0.10000000000000009</v>
      </c>
      <c r="X41" s="8">
        <f t="shared" si="121"/>
        <v>0.10000000000000009</v>
      </c>
      <c r="Y41" s="8">
        <f t="shared" si="121"/>
        <v>0.10000000000000009</v>
      </c>
      <c r="Z41" s="8">
        <f t="shared" si="121"/>
        <v>0.10000000000000009</v>
      </c>
      <c r="AC41" s="8">
        <f t="shared" ref="AC41:AD41" si="122">AC10/AB10-1</f>
        <v>0.15501895829175827</v>
      </c>
      <c r="AD41" s="8">
        <f t="shared" si="122"/>
        <v>9.9485123881267512E-2</v>
      </c>
      <c r="AE41" s="8">
        <f t="shared" si="113"/>
        <v>0.16938525363002066</v>
      </c>
      <c r="AF41" s="8">
        <f t="shared" si="113"/>
        <v>0.12576496674057669</v>
      </c>
      <c r="AG41" s="8">
        <f t="shared" si="113"/>
        <v>0.10000000000000009</v>
      </c>
      <c r="AH41" s="8">
        <f t="shared" ref="AH41:AP41" si="123">AH10/AG10-1</f>
        <v>3.0534295925456645E-2</v>
      </c>
      <c r="AI41" s="8">
        <f t="shared" si="123"/>
        <v>3.1299945950375108E-2</v>
      </c>
      <c r="AJ41" s="8">
        <f t="shared" si="123"/>
        <v>3.2048817531869167E-2</v>
      </c>
      <c r="AK41" s="8">
        <f t="shared" si="123"/>
        <v>3.278020347336863E-2</v>
      </c>
      <c r="AL41" s="8">
        <f t="shared" si="123"/>
        <v>3.3493488252358095E-2</v>
      </c>
      <c r="AM41" s="8">
        <f t="shared" si="123"/>
        <v>3.418814746689991E-2</v>
      </c>
      <c r="AN41" s="8">
        <f t="shared" si="123"/>
        <v>3.4863746460341183E-2</v>
      </c>
      <c r="AO41" s="8">
        <f t="shared" si="123"/>
        <v>3.5519938199094492E-2</v>
      </c>
      <c r="AP41" s="8">
        <f t="shared" si="123"/>
        <v>3.615646048512855E-2</v>
      </c>
    </row>
    <row r="43" spans="1:45" x14ac:dyDescent="0.3">
      <c r="B43" s="1" t="s">
        <v>56</v>
      </c>
      <c r="G43" s="8">
        <f t="shared" ref="G43:H45" si="124">G4/C4-1</f>
        <v>0.11570266959533693</v>
      </c>
      <c r="H43" s="8">
        <f t="shared" si="124"/>
        <v>1.1156822810590494E-2</v>
      </c>
      <c r="I43" s="8">
        <f t="shared" ref="I43:I45" si="125">I4/E4-1</f>
        <v>0.16280764713558682</v>
      </c>
      <c r="J43" s="8">
        <f t="shared" ref="J43:J45" si="126">J4/F4-1</f>
        <v>9.9969375421044671E-2</v>
      </c>
      <c r="K43" s="8">
        <f t="shared" ref="K43:K45" si="127">K4/G4-1</f>
        <v>5.1717085688991693E-2</v>
      </c>
      <c r="L43" s="8">
        <f t="shared" ref="L43:L45" si="128">L4/H4-1</f>
        <v>1.9458279348303131E-2</v>
      </c>
      <c r="M43" s="8">
        <f t="shared" ref="M43:M45" si="129">M4/I4-1</f>
        <v>-6.9746723129663346E-2</v>
      </c>
      <c r="N43" s="8">
        <f t="shared" ref="N43:N45" si="130">N4/J4-1</f>
        <v>-6.3468282970916445E-2</v>
      </c>
      <c r="O43" s="8">
        <f t="shared" ref="O43:T43" si="131">O4/K4-1</f>
        <v>-4.2875734725670078E-2</v>
      </c>
      <c r="P43" s="8">
        <f t="shared" si="131"/>
        <v>-3.9524387061117494E-2</v>
      </c>
      <c r="Q43" s="8">
        <f t="shared" si="131"/>
        <v>-1.561142959169981E-2</v>
      </c>
      <c r="R43" s="8">
        <f t="shared" si="131"/>
        <v>-4.425231013527009E-2</v>
      </c>
      <c r="S43" s="8">
        <f t="shared" si="131"/>
        <v>-5.6554665098154544E-2</v>
      </c>
      <c r="T43" s="8">
        <f t="shared" si="131"/>
        <v>-8.5490565522514328E-2</v>
      </c>
      <c r="U43" s="8">
        <f t="shared" ref="U43:V45" si="132">U4/Q4-1</f>
        <v>-9.8568039120966455E-2</v>
      </c>
      <c r="V43" s="8">
        <f t="shared" si="132"/>
        <v>-0.12</v>
      </c>
      <c r="W43" s="8">
        <f t="shared" ref="W43:Z43" si="133">W4/S4-1</f>
        <v>-7.999999999999996E-2</v>
      </c>
      <c r="X43" s="8">
        <f t="shared" si="133"/>
        <v>-3.0000000000000027E-2</v>
      </c>
      <c r="Y43" s="8">
        <f t="shared" si="133"/>
        <v>2.0000000000000018E-2</v>
      </c>
      <c r="Z43" s="8">
        <f t="shared" si="133"/>
        <v>5.0000000000000044E-2</v>
      </c>
      <c r="AC43" s="8">
        <f t="shared" ref="AC43:AD43" si="134">AC4/AB4-1</f>
        <v>0.20158122575547366</v>
      </c>
      <c r="AD43" s="8">
        <f t="shared" si="134"/>
        <v>-1.318485633311306E-2</v>
      </c>
      <c r="AE43" s="8">
        <f t="shared" ref="AE43:AG45" si="135">AE4/AD4-1</f>
        <v>-3.5161086638219707E-2</v>
      </c>
      <c r="AF43" s="8">
        <f t="shared" si="135"/>
        <v>-9.0389049015078604E-2</v>
      </c>
      <c r="AG43" s="8">
        <f t="shared" si="135"/>
        <v>-1.0318150108790447E-2</v>
      </c>
      <c r="AH43" s="8">
        <f t="shared" ref="AH43:AP43" si="136">AH4/AG4-1</f>
        <v>-2.9999999999999916E-2</v>
      </c>
      <c r="AI43" s="8">
        <f t="shared" si="136"/>
        <v>-3.0000000000000138E-2</v>
      </c>
      <c r="AJ43" s="8">
        <f t="shared" si="136"/>
        <v>-3.0000000000000027E-2</v>
      </c>
      <c r="AK43" s="8">
        <f t="shared" si="136"/>
        <v>-3.0000000000000027E-2</v>
      </c>
      <c r="AL43" s="8">
        <f t="shared" si="136"/>
        <v>-2.9999999999999916E-2</v>
      </c>
      <c r="AM43" s="8">
        <f t="shared" si="136"/>
        <v>-3.0000000000000027E-2</v>
      </c>
      <c r="AN43" s="8">
        <f t="shared" si="136"/>
        <v>-3.0000000000000027E-2</v>
      </c>
      <c r="AO43" s="8">
        <f t="shared" si="136"/>
        <v>-3.0000000000000027E-2</v>
      </c>
      <c r="AP43" s="8">
        <f t="shared" si="136"/>
        <v>-3.0000000000000027E-2</v>
      </c>
      <c r="AQ43" s="8"/>
    </row>
    <row r="44" spans="1:45" x14ac:dyDescent="0.3">
      <c r="B44" s="1" t="s">
        <v>57</v>
      </c>
      <c r="G44" s="8">
        <f t="shared" si="124"/>
        <v>-8.2278888972964204E-3</v>
      </c>
      <c r="H44" s="8">
        <f t="shared" si="124"/>
        <v>3.2606064773430754E-2</v>
      </c>
      <c r="I44" s="8">
        <f t="shared" si="125"/>
        <v>6.0423728813559396E-2</v>
      </c>
      <c r="J44" s="8">
        <f t="shared" si="126"/>
        <v>2.7179973698009174E-2</v>
      </c>
      <c r="K44" s="8">
        <f t="shared" si="127"/>
        <v>0.13074608266088461</v>
      </c>
      <c r="L44" s="8">
        <f t="shared" si="128"/>
        <v>0.14443694000718765</v>
      </c>
      <c r="M44" s="8">
        <f t="shared" si="129"/>
        <v>-5.4392105112168743E-3</v>
      </c>
      <c r="N44" s="8">
        <f t="shared" si="130"/>
        <v>-8.2722079255874714E-3</v>
      </c>
      <c r="O44" s="8">
        <f t="shared" ref="O44:T44" si="137">O5/K5-1</f>
        <v>-5.7633529036655751E-2</v>
      </c>
      <c r="P44" s="8">
        <f t="shared" si="137"/>
        <v>-4.8872507957781863E-2</v>
      </c>
      <c r="Q44" s="8">
        <f t="shared" si="137"/>
        <v>2.0802758097166141E-2</v>
      </c>
      <c r="R44" s="8">
        <f t="shared" si="137"/>
        <v>-3.4262110678788149E-2</v>
      </c>
      <c r="S44" s="8">
        <f t="shared" si="137"/>
        <v>-5.8488236656944692E-2</v>
      </c>
      <c r="T44" s="8">
        <f t="shared" si="137"/>
        <v>-0.1311279918395738</v>
      </c>
      <c r="U44" s="8">
        <f t="shared" si="132"/>
        <v>-0.12755649068498254</v>
      </c>
      <c r="V44" s="8">
        <f t="shared" si="132"/>
        <v>-0.12</v>
      </c>
      <c r="W44" s="8">
        <f t="shared" ref="W44:Z44" si="138">W5/S5-1</f>
        <v>-9.9999999999999978E-2</v>
      </c>
      <c r="X44" s="8">
        <f t="shared" si="138"/>
        <v>-9.9999999999999978E-2</v>
      </c>
      <c r="Y44" s="8">
        <f t="shared" si="138"/>
        <v>-9.9999999999999978E-2</v>
      </c>
      <c r="Z44" s="8">
        <f t="shared" si="138"/>
        <v>-9.9999999999999978E-2</v>
      </c>
      <c r="AC44" s="8">
        <f t="shared" ref="AC44:AD44" si="139">AC5/AB5-1</f>
        <v>0.11038335484908735</v>
      </c>
      <c r="AD44" s="8">
        <f t="shared" si="139"/>
        <v>6.542638929466027E-2</v>
      </c>
      <c r="AE44" s="8">
        <f t="shared" si="135"/>
        <v>-3.0505172337494835E-2</v>
      </c>
      <c r="AF44" s="8">
        <f t="shared" si="135"/>
        <v>-0.11012180952163131</v>
      </c>
      <c r="AG44" s="8">
        <f t="shared" si="135"/>
        <v>-9.9999999999999867E-2</v>
      </c>
      <c r="AH44" s="8">
        <f t="shared" ref="AH44:AP44" si="140">AH5/AG5-1</f>
        <v>1.0000000000000009E-2</v>
      </c>
      <c r="AI44" s="8">
        <f t="shared" si="140"/>
        <v>1.0000000000000009E-2</v>
      </c>
      <c r="AJ44" s="8">
        <f t="shared" si="140"/>
        <v>1.0000000000000009E-2</v>
      </c>
      <c r="AK44" s="8">
        <f t="shared" si="140"/>
        <v>1.0000000000000009E-2</v>
      </c>
      <c r="AL44" s="8">
        <f t="shared" si="140"/>
        <v>1.0000000000000009E-2</v>
      </c>
      <c r="AM44" s="8">
        <f t="shared" si="140"/>
        <v>1.0000000000000009E-2</v>
      </c>
      <c r="AN44" s="8">
        <f t="shared" si="140"/>
        <v>1.0000000000000009E-2</v>
      </c>
      <c r="AO44" s="8">
        <f t="shared" si="140"/>
        <v>1.0000000000000009E-2</v>
      </c>
      <c r="AP44" s="8">
        <f t="shared" si="140"/>
        <v>1.0000000000000009E-2</v>
      </c>
    </row>
    <row r="45" spans="1:45" x14ac:dyDescent="0.3">
      <c r="B45" s="1" t="s">
        <v>58</v>
      </c>
      <c r="G45" s="8">
        <f t="shared" si="124"/>
        <v>0.10163354335266872</v>
      </c>
      <c r="H45" s="8">
        <f t="shared" si="124"/>
        <v>6.4677066563941343E-2</v>
      </c>
      <c r="I45" s="8">
        <f t="shared" si="125"/>
        <v>0.18088323810708506</v>
      </c>
      <c r="J45" s="8">
        <f t="shared" si="126"/>
        <v>0.13670874036277336</v>
      </c>
      <c r="K45" s="8">
        <f t="shared" si="127"/>
        <v>0.1533673606309125</v>
      </c>
      <c r="L45" s="8">
        <f t="shared" si="128"/>
        <v>0.14696039289598661</v>
      </c>
      <c r="M45" s="8">
        <f t="shared" si="129"/>
        <v>1.0591454494462749E-2</v>
      </c>
      <c r="N45" s="8">
        <f t="shared" si="130"/>
        <v>1.4016747779300731E-2</v>
      </c>
      <c r="O45" s="8">
        <f t="shared" ref="O45:T45" si="141">O6/K6-1</f>
        <v>-3.2842879663652624E-6</v>
      </c>
      <c r="P45" s="8">
        <f t="shared" si="141"/>
        <v>-1.9804094649619852E-2</v>
      </c>
      <c r="Q45" s="8">
        <f t="shared" si="141"/>
        <v>1.9836973704848493E-2</v>
      </c>
      <c r="R45" s="8">
        <f t="shared" si="141"/>
        <v>-2.733102070850435E-2</v>
      </c>
      <c r="S45" s="8">
        <f t="shared" si="141"/>
        <v>-5.2405730227687464E-2</v>
      </c>
      <c r="T45" s="8">
        <f t="shared" si="141"/>
        <v>-9.2301175272944791E-2</v>
      </c>
      <c r="U45" s="8">
        <f t="shared" si="132"/>
        <v>-0.10819076948012507</v>
      </c>
      <c r="V45" s="8">
        <f t="shared" si="132"/>
        <v>-0.12416777080190777</v>
      </c>
      <c r="W45" s="8">
        <f t="shared" ref="W45:Z45" si="142">W6/S6-1</f>
        <v>-8.3883495145630871E-2</v>
      </c>
      <c r="X45" s="8">
        <f t="shared" si="142"/>
        <v>-4.3186895011168791E-2</v>
      </c>
      <c r="Y45" s="8">
        <f t="shared" si="142"/>
        <v>-3.4210526315791023E-3</v>
      </c>
      <c r="Z45" s="8">
        <f t="shared" si="142"/>
        <v>2.0137498151906463E-2</v>
      </c>
      <c r="AC45" s="8">
        <f t="shared" ref="AC45:AD45" si="143">AC6/AB6-1</f>
        <v>0.22086187092601484</v>
      </c>
      <c r="AD45" s="8">
        <f t="shared" si="143"/>
        <v>8.2718043971685029E-2</v>
      </c>
      <c r="AE45" s="8">
        <f t="shared" si="135"/>
        <v>-6.9193362455460816E-3</v>
      </c>
      <c r="AF45" s="8">
        <f t="shared" si="135"/>
        <v>-9.4833128862265026E-2</v>
      </c>
      <c r="AG45" s="8">
        <f t="shared" si="135"/>
        <v>-2.7732433222346975E-2</v>
      </c>
      <c r="AH45" s="8">
        <f t="shared" ref="AH45:AP45" si="144">AH6/AG6-1</f>
        <v>-1.4921929512999088E-2</v>
      </c>
      <c r="AI45" s="8">
        <f t="shared" si="144"/>
        <v>-1.5604543057919251E-2</v>
      </c>
      <c r="AJ45" s="8">
        <f t="shared" si="144"/>
        <v>-1.627072729453527E-2</v>
      </c>
      <c r="AK45" s="8">
        <f t="shared" si="144"/>
        <v>-1.6919875127081374E-2</v>
      </c>
      <c r="AL45" s="8">
        <f t="shared" si="144"/>
        <v>-1.7551468273240722E-2</v>
      </c>
      <c r="AM45" s="8">
        <f t="shared" si="144"/>
        <v>-1.8165075949878706E-2</v>
      </c>
      <c r="AN45" s="8">
        <f t="shared" si="144"/>
        <v>-1.8760352827886129E-2</v>
      </c>
      <c r="AO45" s="8">
        <f t="shared" si="144"/>
        <v>-1.9337036335663083E-2</v>
      </c>
      <c r="AP45" s="8">
        <f t="shared" si="144"/>
        <v>-1.9894943395080578E-2</v>
      </c>
    </row>
    <row r="47" spans="1:45" s="7" customFormat="1" x14ac:dyDescent="0.3">
      <c r="A47" s="6"/>
      <c r="B47" s="6" t="s">
        <v>59</v>
      </c>
      <c r="C47" s="6"/>
      <c r="D47" s="6"/>
      <c r="E47" s="6"/>
      <c r="F47" s="6"/>
      <c r="G47" s="6"/>
      <c r="H47" s="6"/>
      <c r="I47" s="6"/>
      <c r="J47" s="6"/>
      <c r="U47" s="7">
        <f>Main!O7-Main!O8</f>
        <v>-365.92399999999998</v>
      </c>
      <c r="V47" s="7">
        <f>U47+V25</f>
        <v>-318.77205199999997</v>
      </c>
      <c r="W47" s="7">
        <f t="shared" ref="W47:Z47" si="145">V47+W25</f>
        <v>-272.21865359999998</v>
      </c>
      <c r="X47" s="7">
        <f t="shared" si="145"/>
        <v>-223.04785359999997</v>
      </c>
      <c r="Y47" s="7">
        <f t="shared" si="145"/>
        <v>-170.36205199999995</v>
      </c>
      <c r="Z47" s="7">
        <f t="shared" si="145"/>
        <v>-118.91014521599995</v>
      </c>
      <c r="AG47" s="7">
        <f>Z47</f>
        <v>-118.91014521599995</v>
      </c>
      <c r="AH47" s="7">
        <f>AG47+AH25</f>
        <v>101.67741357554702</v>
      </c>
      <c r="AI47" s="7">
        <f t="shared" ref="AI47:AP47" si="146">AH47+AI25</f>
        <v>330.95694305737447</v>
      </c>
      <c r="AJ47" s="7">
        <f t="shared" si="146"/>
        <v>569.1999846873822</v>
      </c>
      <c r="AK47" s="7">
        <f t="shared" si="146"/>
        <v>816.68576119308614</v>
      </c>
      <c r="AL47" s="7">
        <f t="shared" si="146"/>
        <v>1073.7013824611709</v>
      </c>
      <c r="AM47" s="7">
        <f t="shared" si="146"/>
        <v>1340.5420567668637</v>
      </c>
      <c r="AN47" s="7">
        <f t="shared" si="146"/>
        <v>1617.5113074786586</v>
      </c>
      <c r="AO47" s="7">
        <f t="shared" si="146"/>
        <v>1904.9211953773072</v>
      </c>
      <c r="AP47" s="7">
        <f t="shared" si="146"/>
        <v>2203.0925467314642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Grenci</dc:creator>
  <cp:lastModifiedBy>Michael Grenci</cp:lastModifiedBy>
  <dcterms:created xsi:type="dcterms:W3CDTF">2024-12-28T16:25:46Z</dcterms:created>
  <dcterms:modified xsi:type="dcterms:W3CDTF">2024-12-31T20:15:03Z</dcterms:modified>
</cp:coreProperties>
</file>