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45dd68b2362293/Desktop/"/>
    </mc:Choice>
  </mc:AlternateContent>
  <xr:revisionPtr revIDLastSave="397" documentId="8_{272938ED-FDEF-45C2-930F-4AC979F627AC}" xr6:coauthVersionLast="47" xr6:coauthVersionMax="47" xr10:uidLastSave="{245008D7-A0DB-423F-B13A-F97F0C48CA13}"/>
  <bookViews>
    <workbookView xWindow="2120" yWindow="1910" windowWidth="32110" windowHeight="17180" activeTab="1" xr2:uid="{252780B2-A3C5-4DCD-A80C-A06514551A1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8" i="2" l="1"/>
  <c r="AA7" i="2"/>
  <c r="Z7" i="2"/>
  <c r="Y7" i="2"/>
  <c r="AC5" i="2"/>
  <c r="AB5" i="2"/>
  <c r="Y5" i="2"/>
  <c r="R7" i="2"/>
  <c r="Q7" i="2"/>
  <c r="P7" i="2"/>
  <c r="O7" i="2"/>
  <c r="O6" i="2" s="1"/>
  <c r="N7" i="2"/>
  <c r="J32" i="2"/>
  <c r="X5" i="2"/>
  <c r="R4" i="2"/>
  <c r="K29" i="2"/>
  <c r="M35" i="2" l="1"/>
  <c r="AG32" i="2"/>
  <c r="AF32" i="2"/>
  <c r="AE32" i="2"/>
  <c r="AD32" i="2"/>
  <c r="AC32" i="2"/>
  <c r="AB32" i="2"/>
  <c r="AA32" i="2"/>
  <c r="Z32" i="2"/>
  <c r="Y32" i="2"/>
  <c r="Z8" i="2"/>
  <c r="AA8" i="2" s="1"/>
  <c r="AB8" i="2" s="1"/>
  <c r="AC8" i="2" s="1"/>
  <c r="AD8" i="2" s="1"/>
  <c r="AE8" i="2" s="1"/>
  <c r="AF8" i="2" s="1"/>
  <c r="AG8" i="2" s="1"/>
  <c r="Y8" i="2"/>
  <c r="R32" i="2"/>
  <c r="Q32" i="2"/>
  <c r="P32" i="2"/>
  <c r="O32" i="2"/>
  <c r="R31" i="2"/>
  <c r="Q31" i="2"/>
  <c r="P31" i="2"/>
  <c r="O31" i="2"/>
  <c r="O30" i="2"/>
  <c r="V29" i="2"/>
  <c r="V33" i="2"/>
  <c r="V32" i="2"/>
  <c r="V31" i="2"/>
  <c r="V30" i="2"/>
  <c r="V28" i="2"/>
  <c r="W32" i="2"/>
  <c r="W28" i="2"/>
  <c r="V26" i="2"/>
  <c r="U26" i="2"/>
  <c r="V25" i="2"/>
  <c r="U25" i="2"/>
  <c r="V24" i="2"/>
  <c r="U24" i="2"/>
  <c r="V23" i="2"/>
  <c r="U23" i="2"/>
  <c r="X16" i="2"/>
  <c r="X14" i="2"/>
  <c r="X13" i="2"/>
  <c r="X12" i="2"/>
  <c r="X8" i="2"/>
  <c r="X32" i="2" s="1"/>
  <c r="X4" i="2"/>
  <c r="X28" i="2" s="1"/>
  <c r="R14" i="2"/>
  <c r="Q14" i="2"/>
  <c r="P14" i="2"/>
  <c r="O14" i="2"/>
  <c r="O9" i="2"/>
  <c r="O33" i="2" s="1"/>
  <c r="R6" i="2"/>
  <c r="Q6" i="2"/>
  <c r="Q9" i="2" s="1"/>
  <c r="P6" i="2"/>
  <c r="R29" i="2"/>
  <c r="R28" i="2"/>
  <c r="Q29" i="2"/>
  <c r="P29" i="2"/>
  <c r="O29" i="2"/>
  <c r="Q28" i="2"/>
  <c r="P28" i="2"/>
  <c r="Q4" i="2"/>
  <c r="P4" i="2"/>
  <c r="O28" i="2"/>
  <c r="O4" i="2"/>
  <c r="U20" i="2"/>
  <c r="U21" i="2"/>
  <c r="U19" i="2"/>
  <c r="U18" i="2"/>
  <c r="U17" i="2"/>
  <c r="U16" i="2"/>
  <c r="U15" i="2"/>
  <c r="U14" i="2"/>
  <c r="U13" i="2"/>
  <c r="U12" i="2"/>
  <c r="U11" i="2"/>
  <c r="U10" i="2"/>
  <c r="U7" i="2"/>
  <c r="U8" i="2"/>
  <c r="U9" i="2"/>
  <c r="W21" i="2"/>
  <c r="V19" i="2"/>
  <c r="V20" i="2" s="1"/>
  <c r="W16" i="2"/>
  <c r="W13" i="2"/>
  <c r="W14" i="2"/>
  <c r="W12" i="2"/>
  <c r="W8" i="2"/>
  <c r="W5" i="2"/>
  <c r="W29" i="2" s="1"/>
  <c r="W4" i="2"/>
  <c r="N14" i="2"/>
  <c r="N6" i="2"/>
  <c r="W6" i="2" s="1"/>
  <c r="N32" i="2"/>
  <c r="N29" i="2"/>
  <c r="N4" i="2"/>
  <c r="M29" i="2"/>
  <c r="N28" i="2"/>
  <c r="V21" i="2"/>
  <c r="V18" i="2"/>
  <c r="V17" i="2"/>
  <c r="V16" i="2"/>
  <c r="V15" i="2"/>
  <c r="V14" i="2"/>
  <c r="V13" i="2"/>
  <c r="V12" i="2"/>
  <c r="V11" i="2"/>
  <c r="V10" i="2"/>
  <c r="V7" i="2"/>
  <c r="V9" i="2"/>
  <c r="V8" i="2"/>
  <c r="V6" i="2"/>
  <c r="V5" i="2"/>
  <c r="V4" i="2"/>
  <c r="L33" i="2"/>
  <c r="K33" i="2"/>
  <c r="J33" i="2"/>
  <c r="I33" i="2"/>
  <c r="H33" i="2"/>
  <c r="G33" i="2"/>
  <c r="L32" i="2"/>
  <c r="K32" i="2"/>
  <c r="L31" i="2"/>
  <c r="K31" i="2"/>
  <c r="J31" i="2"/>
  <c r="L30" i="2"/>
  <c r="K30" i="2"/>
  <c r="J30" i="2"/>
  <c r="L29" i="2"/>
  <c r="J29" i="2"/>
  <c r="L28" i="2"/>
  <c r="K28" i="2"/>
  <c r="J28" i="2"/>
  <c r="M33" i="2"/>
  <c r="M32" i="2"/>
  <c r="M31" i="2"/>
  <c r="M30" i="2"/>
  <c r="M28" i="2"/>
  <c r="F7" i="2"/>
  <c r="G7" i="2"/>
  <c r="H7" i="2"/>
  <c r="I7" i="2"/>
  <c r="J7" i="2"/>
  <c r="K7" i="2"/>
  <c r="L7" i="2"/>
  <c r="M7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C16" i="2"/>
  <c r="C14" i="2"/>
  <c r="C11" i="2"/>
  <c r="C15" i="2" s="1"/>
  <c r="C17" i="2" s="1"/>
  <c r="C19" i="2" s="1"/>
  <c r="C20" i="2" s="1"/>
  <c r="D16" i="2"/>
  <c r="D14" i="2"/>
  <c r="D11" i="2"/>
  <c r="D23" i="2" s="1"/>
  <c r="E16" i="2"/>
  <c r="E14" i="2"/>
  <c r="E11" i="2"/>
  <c r="E23" i="2" s="1"/>
  <c r="F16" i="2"/>
  <c r="F14" i="2"/>
  <c r="F11" i="2"/>
  <c r="F23" i="2" s="1"/>
  <c r="J16" i="2"/>
  <c r="J14" i="2"/>
  <c r="J11" i="2"/>
  <c r="J15" i="2" s="1"/>
  <c r="J17" i="2" s="1"/>
  <c r="J19" i="2" s="1"/>
  <c r="G16" i="2"/>
  <c r="G14" i="2"/>
  <c r="G11" i="2"/>
  <c r="G15" i="2" s="1"/>
  <c r="G17" i="2" s="1"/>
  <c r="G19" i="2" s="1"/>
  <c r="G20" i="2" s="1"/>
  <c r="K16" i="2"/>
  <c r="K14" i="2"/>
  <c r="K11" i="2"/>
  <c r="K15" i="2" s="1"/>
  <c r="K17" i="2" s="1"/>
  <c r="K19" i="2" s="1"/>
  <c r="K20" i="2" s="1"/>
  <c r="H16" i="2"/>
  <c r="H14" i="2"/>
  <c r="H11" i="2"/>
  <c r="H15" i="2" s="1"/>
  <c r="L16" i="2"/>
  <c r="L14" i="2"/>
  <c r="L11" i="2"/>
  <c r="L23" i="2" s="1"/>
  <c r="I16" i="2"/>
  <c r="I14" i="2"/>
  <c r="I11" i="2"/>
  <c r="I23" i="2" s="1"/>
  <c r="M16" i="2"/>
  <c r="M14" i="2"/>
  <c r="M11" i="2"/>
  <c r="M23" i="2" s="1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Z5" i="2" l="1"/>
  <c r="Z29" i="2" s="1"/>
  <c r="W7" i="2"/>
  <c r="W31" i="2" s="1"/>
  <c r="W30" i="2"/>
  <c r="R30" i="2"/>
  <c r="X6" i="2"/>
  <c r="X7" i="2" s="1"/>
  <c r="AB7" i="2" s="1"/>
  <c r="AC7" i="2" s="1"/>
  <c r="AD7" i="2" s="1"/>
  <c r="AE7" i="2" s="1"/>
  <c r="AF7" i="2" s="1"/>
  <c r="AG7" i="2" s="1"/>
  <c r="P30" i="2"/>
  <c r="P9" i="2"/>
  <c r="P10" i="2" s="1"/>
  <c r="R9" i="2"/>
  <c r="X9" i="2" s="1"/>
  <c r="X24" i="2" s="1"/>
  <c r="Q10" i="2"/>
  <c r="Q11" i="2" s="1"/>
  <c r="Q15" i="2" s="1"/>
  <c r="Q17" i="2" s="1"/>
  <c r="Q18" i="2" s="1"/>
  <c r="Q19" i="2" s="1"/>
  <c r="Q33" i="2"/>
  <c r="Q30" i="2"/>
  <c r="X29" i="2"/>
  <c r="Y29" i="2"/>
  <c r="AB29" i="2"/>
  <c r="P11" i="2"/>
  <c r="P15" i="2" s="1"/>
  <c r="P17" i="2" s="1"/>
  <c r="O10" i="2"/>
  <c r="O11" i="2" s="1"/>
  <c r="O15" i="2" s="1"/>
  <c r="O17" i="2" s="1"/>
  <c r="N30" i="2"/>
  <c r="N9" i="2"/>
  <c r="N31" i="2"/>
  <c r="E15" i="2"/>
  <c r="E17" i="2" s="1"/>
  <c r="K23" i="2"/>
  <c r="C26" i="2"/>
  <c r="I15" i="2"/>
  <c r="I17" i="2" s="1"/>
  <c r="I19" i="2" s="1"/>
  <c r="I20" i="2" s="1"/>
  <c r="K26" i="2"/>
  <c r="M15" i="2"/>
  <c r="M17" i="2" s="1"/>
  <c r="G23" i="2"/>
  <c r="H23" i="2"/>
  <c r="J23" i="2"/>
  <c r="G26" i="2"/>
  <c r="C23" i="2"/>
  <c r="J26" i="2"/>
  <c r="D15" i="2"/>
  <c r="D17" i="2" s="1"/>
  <c r="F15" i="2"/>
  <c r="F17" i="2" s="1"/>
  <c r="H17" i="2"/>
  <c r="L15" i="2"/>
  <c r="L17" i="2" s="1"/>
  <c r="L10" i="1"/>
  <c r="L9" i="1"/>
  <c r="L7" i="1"/>
  <c r="AA29" i="2" l="1"/>
  <c r="P33" i="2"/>
  <c r="X30" i="2"/>
  <c r="N33" i="2"/>
  <c r="W9" i="2"/>
  <c r="N25" i="2"/>
  <c r="N24" i="2"/>
  <c r="N10" i="2"/>
  <c r="W10" i="2" s="1"/>
  <c r="X25" i="2"/>
  <c r="R10" i="2"/>
  <c r="R11" i="2" s="1"/>
  <c r="R15" i="2" s="1"/>
  <c r="R17" i="2" s="1"/>
  <c r="R33" i="2"/>
  <c r="X33" i="2"/>
  <c r="R18" i="2"/>
  <c r="R19" i="2" s="1"/>
  <c r="X31" i="2"/>
  <c r="AC29" i="2"/>
  <c r="P18" i="2"/>
  <c r="P19" i="2" s="1"/>
  <c r="O18" i="2"/>
  <c r="O19" i="2" s="1"/>
  <c r="I26" i="2"/>
  <c r="E19" i="2"/>
  <c r="E20" i="2" s="1"/>
  <c r="E26" i="2"/>
  <c r="M26" i="2"/>
  <c r="M19" i="2"/>
  <c r="M20" i="2" s="1"/>
  <c r="F19" i="2"/>
  <c r="F26" i="2"/>
  <c r="D19" i="2"/>
  <c r="D20" i="2" s="1"/>
  <c r="D26" i="2"/>
  <c r="L19" i="2"/>
  <c r="L20" i="2" s="1"/>
  <c r="L26" i="2"/>
  <c r="H19" i="2"/>
  <c r="H20" i="2" s="1"/>
  <c r="H26" i="2"/>
  <c r="W25" i="2" l="1"/>
  <c r="W11" i="2"/>
  <c r="W24" i="2"/>
  <c r="W33" i="2"/>
  <c r="N11" i="2"/>
  <c r="X10" i="2"/>
  <c r="X11" i="2" s="1"/>
  <c r="Y6" i="2"/>
  <c r="Y31" i="2"/>
  <c r="AD29" i="2"/>
  <c r="X18" i="2"/>
  <c r="N15" i="2" l="1"/>
  <c r="N17" i="2" s="1"/>
  <c r="N23" i="2"/>
  <c r="W23" i="2"/>
  <c r="W15" i="2"/>
  <c r="W17" i="2" s="1"/>
  <c r="X15" i="2"/>
  <c r="X17" i="2" s="1"/>
  <c r="X26" i="2" s="1"/>
  <c r="X23" i="2"/>
  <c r="Z31" i="2"/>
  <c r="Z6" i="2"/>
  <c r="Y9" i="2"/>
  <c r="Y30" i="2"/>
  <c r="AE29" i="2"/>
  <c r="X19" i="2" l="1"/>
  <c r="N18" i="2"/>
  <c r="Y12" i="2"/>
  <c r="Y10" i="2"/>
  <c r="Y11" i="2" s="1"/>
  <c r="Y23" i="2" s="1"/>
  <c r="Y13" i="2"/>
  <c r="Y25" i="2" s="1"/>
  <c r="Y33" i="2"/>
  <c r="Z9" i="2"/>
  <c r="Z30" i="2"/>
  <c r="AA31" i="2"/>
  <c r="AA6" i="2"/>
  <c r="AF29" i="2"/>
  <c r="N26" i="2" l="1"/>
  <c r="W18" i="2"/>
  <c r="N19" i="2"/>
  <c r="N35" i="2" s="1"/>
  <c r="O35" i="2" s="1"/>
  <c r="P35" i="2" s="1"/>
  <c r="Q35" i="2" s="1"/>
  <c r="R35" i="2" s="1"/>
  <c r="X35" i="2" s="1"/>
  <c r="Y16" i="2" s="1"/>
  <c r="AB31" i="2"/>
  <c r="AB6" i="2"/>
  <c r="AA9" i="2"/>
  <c r="AA30" i="2"/>
  <c r="Z12" i="2"/>
  <c r="Z10" i="2"/>
  <c r="Z11" i="2" s="1"/>
  <c r="Z23" i="2" s="1"/>
  <c r="Z33" i="2"/>
  <c r="Z13" i="2"/>
  <c r="Z25" i="2" s="1"/>
  <c r="Y24" i="2"/>
  <c r="Y14" i="2"/>
  <c r="Y15" i="2" s="1"/>
  <c r="AG29" i="2"/>
  <c r="Y17" i="2" l="1"/>
  <c r="Y18" i="2" s="1"/>
  <c r="Y26" i="2" s="1"/>
  <c r="W26" i="2"/>
  <c r="W19" i="2"/>
  <c r="W20" i="2" s="1"/>
  <c r="Z14" i="2"/>
  <c r="Z15" i="2" s="1"/>
  <c r="Z24" i="2"/>
  <c r="AA12" i="2"/>
  <c r="AA13" i="2"/>
  <c r="AA25" i="2" s="1"/>
  <c r="AA33" i="2"/>
  <c r="AA10" i="2"/>
  <c r="AA11" i="2" s="1"/>
  <c r="AA23" i="2" s="1"/>
  <c r="AB9" i="2"/>
  <c r="AB30" i="2"/>
  <c r="AC31" i="2"/>
  <c r="AC6" i="2"/>
  <c r="Y19" i="2" l="1"/>
  <c r="Y35" i="2" s="1"/>
  <c r="Z16" i="2" s="1"/>
  <c r="Z17" i="2" s="1"/>
  <c r="Z18" i="2" s="1"/>
  <c r="Z26" i="2" s="1"/>
  <c r="AC9" i="2"/>
  <c r="AC30" i="2"/>
  <c r="AA14" i="2"/>
  <c r="AA15" i="2" s="1"/>
  <c r="AA24" i="2"/>
  <c r="AD31" i="2"/>
  <c r="AD6" i="2"/>
  <c r="AB12" i="2"/>
  <c r="AB10" i="2"/>
  <c r="AB11" i="2" s="1"/>
  <c r="AB23" i="2" s="1"/>
  <c r="AB33" i="2"/>
  <c r="AB13" i="2"/>
  <c r="AB25" i="2" s="1"/>
  <c r="Z19" i="2" l="1"/>
  <c r="Z35" i="2" s="1"/>
  <c r="AA16" i="2" s="1"/>
  <c r="AA17" i="2" s="1"/>
  <c r="AB14" i="2"/>
  <c r="AB15" i="2" s="1"/>
  <c r="AB24" i="2"/>
  <c r="AD30" i="2"/>
  <c r="AD9" i="2"/>
  <c r="AE31" i="2"/>
  <c r="AE6" i="2"/>
  <c r="AC12" i="2"/>
  <c r="AC10" i="2"/>
  <c r="AC11" i="2" s="1"/>
  <c r="AC23" i="2" s="1"/>
  <c r="AC33" i="2"/>
  <c r="AC13" i="2"/>
  <c r="AC25" i="2" s="1"/>
  <c r="AC24" i="2" l="1"/>
  <c r="AC14" i="2"/>
  <c r="AC15" i="2" s="1"/>
  <c r="AE9" i="2"/>
  <c r="AE30" i="2"/>
  <c r="AF31" i="2"/>
  <c r="AF6" i="2"/>
  <c r="AD12" i="2"/>
  <c r="AD13" i="2"/>
  <c r="AD25" i="2" s="1"/>
  <c r="AD33" i="2"/>
  <c r="AD10" i="2"/>
  <c r="AD11" i="2" s="1"/>
  <c r="AD23" i="2" s="1"/>
  <c r="AA18" i="2"/>
  <c r="AA26" i="2" s="1"/>
  <c r="AA19" i="2" l="1"/>
  <c r="AA35" i="2" s="1"/>
  <c r="AB16" i="2" s="1"/>
  <c r="AB17" i="2" s="1"/>
  <c r="AD14" i="2"/>
  <c r="AD15" i="2" s="1"/>
  <c r="AD24" i="2"/>
  <c r="AF30" i="2"/>
  <c r="AF9" i="2"/>
  <c r="AG31" i="2"/>
  <c r="AG6" i="2"/>
  <c r="AE12" i="2"/>
  <c r="AE10" i="2"/>
  <c r="AE11" i="2" s="1"/>
  <c r="AE23" i="2" s="1"/>
  <c r="AE13" i="2"/>
  <c r="AE25" i="2" s="1"/>
  <c r="AE33" i="2"/>
  <c r="AE14" i="2" l="1"/>
  <c r="AE15" i="2" s="1"/>
  <c r="AE24" i="2"/>
  <c r="AG30" i="2"/>
  <c r="AG9" i="2"/>
  <c r="AF12" i="2"/>
  <c r="AF10" i="2"/>
  <c r="AF11" i="2" s="1"/>
  <c r="AF23" i="2" s="1"/>
  <c r="AF13" i="2"/>
  <c r="AF25" i="2" s="1"/>
  <c r="AF33" i="2"/>
  <c r="AB18" i="2"/>
  <c r="AB26" i="2" s="1"/>
  <c r="AF14" i="2" l="1"/>
  <c r="AF15" i="2" s="1"/>
  <c r="AF24" i="2"/>
  <c r="AG12" i="2"/>
  <c r="AG13" i="2"/>
  <c r="AG25" i="2" s="1"/>
  <c r="AG33" i="2"/>
  <c r="AG10" i="2"/>
  <c r="AG11" i="2" s="1"/>
  <c r="AG23" i="2" s="1"/>
  <c r="AB19" i="2"/>
  <c r="AB35" i="2" s="1"/>
  <c r="AC16" i="2" s="1"/>
  <c r="AC17" i="2" s="1"/>
  <c r="AG14" i="2" l="1"/>
  <c r="AG15" i="2" s="1"/>
  <c r="AG24" i="2"/>
  <c r="AC18" i="2"/>
  <c r="AC26" i="2" s="1"/>
  <c r="AC19" i="2"/>
  <c r="AC35" i="2" l="1"/>
  <c r="AD16" i="2" s="1"/>
  <c r="AD17" i="2" s="1"/>
  <c r="AD18" i="2" l="1"/>
  <c r="AD26" i="2" s="1"/>
  <c r="AD19" i="2" l="1"/>
  <c r="AD35" i="2" s="1"/>
  <c r="AE16" i="2" s="1"/>
  <c r="AE17" i="2" s="1"/>
  <c r="AE18" i="2" l="1"/>
  <c r="AE26" i="2" s="1"/>
  <c r="AE19" i="2" l="1"/>
  <c r="AE35" i="2" s="1"/>
  <c r="AF16" i="2" s="1"/>
  <c r="AF17" i="2" s="1"/>
  <c r="AF18" i="2" s="1"/>
  <c r="AF26" i="2" s="1"/>
  <c r="AF19" i="2" l="1"/>
  <c r="AF35" i="2" s="1"/>
  <c r="AG16" i="2" s="1"/>
  <c r="AG17" i="2" s="1"/>
  <c r="AG18" i="2" s="1"/>
  <c r="AG26" i="2" l="1"/>
  <c r="AG19" i="2"/>
  <c r="AG35" i="2"/>
  <c r="AH19" i="2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FO19" i="2" s="1"/>
  <c r="FP19" i="2" s="1"/>
  <c r="FQ19" i="2" s="1"/>
  <c r="FR19" i="2" s="1"/>
  <c r="FS19" i="2" s="1"/>
  <c r="AJ26" i="2" s="1"/>
  <c r="AJ27" i="2" s="1"/>
</calcChain>
</file>

<file path=xl/sharedStrings.xml><?xml version="1.0" encoding="utf-8"?>
<sst xmlns="http://schemas.openxmlformats.org/spreadsheetml/2006/main" count="61" uniqueCount="58">
  <si>
    <t>Price</t>
  </si>
  <si>
    <t>S/O</t>
  </si>
  <si>
    <t xml:space="preserve">MC </t>
  </si>
  <si>
    <t xml:space="preserve">Cash </t>
  </si>
  <si>
    <t xml:space="preserve">Debt </t>
  </si>
  <si>
    <t xml:space="preserve">EV </t>
  </si>
  <si>
    <t>Q324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</si>
  <si>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</si>
  <si>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</si>
  <si>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</si>
  <si>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</si>
  <si>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</si>
  <si>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</si>
  <si>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</si>
  <si>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</si>
  <si>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</si>
  <si>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</si>
  <si>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</si>
  <si>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</si>
  <si>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</si>
  <si>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</si>
  <si>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</si>
  <si>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</si>
  <si>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 xml:space="preserve">Revenue </t>
  </si>
  <si>
    <t xml:space="preserve">COGS </t>
  </si>
  <si>
    <t xml:space="preserve">Gross Profit </t>
  </si>
  <si>
    <t xml:space="preserve">SG&amp;A </t>
  </si>
  <si>
    <t xml:space="preserve">R&amp;D </t>
  </si>
  <si>
    <t xml:space="preserve">Operating Expenses </t>
  </si>
  <si>
    <t xml:space="preserve">Operating Income </t>
  </si>
  <si>
    <t xml:space="preserve">Other Income </t>
  </si>
  <si>
    <t xml:space="preserve">Pretax Income </t>
  </si>
  <si>
    <t xml:space="preserve">Taxes </t>
  </si>
  <si>
    <t xml:space="preserve">Net Income </t>
  </si>
  <si>
    <t xml:space="preserve">EPS </t>
  </si>
  <si>
    <t xml:space="preserve">Shares </t>
  </si>
  <si>
    <t xml:space="preserve">Gross Margin </t>
  </si>
  <si>
    <t xml:space="preserve">SG&amp;A % </t>
  </si>
  <si>
    <t xml:space="preserve">R&amp;D % </t>
  </si>
  <si>
    <t xml:space="preserve">Tax Rate </t>
  </si>
  <si>
    <t xml:space="preserve">MAUs </t>
  </si>
  <si>
    <t xml:space="preserve">Paying Users </t>
  </si>
  <si>
    <t xml:space="preserve">ARPU </t>
  </si>
  <si>
    <t xml:space="preserve">Direct Revenue </t>
  </si>
  <si>
    <t xml:space="preserve">Indirect Revenue </t>
  </si>
  <si>
    <t>MAUs y/y</t>
  </si>
  <si>
    <t>Paying Users y/y</t>
  </si>
  <si>
    <t>Direct Revenue y/y</t>
  </si>
  <si>
    <t>ARPU y/y</t>
  </si>
  <si>
    <t>Indirect Revenue y/y</t>
  </si>
  <si>
    <t>Revenue y/y</t>
  </si>
  <si>
    <t xml:space="preserve">Maturity </t>
  </si>
  <si>
    <t xml:space="preserve">ROIC </t>
  </si>
  <si>
    <t xml:space="preserve">Discount </t>
  </si>
  <si>
    <t xml:space="preserve">NPV </t>
  </si>
  <si>
    <t xml:space="preserve">Net Cash </t>
  </si>
  <si>
    <t xml:space="preserve">Share 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</si>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</sst>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9" fontId="2" fillId="0" borderId="0" xfId="1" applyFont="1"/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0</xdr:row>
      <xdr:rowOff>152400</xdr:rowOff>
    </xdr:from>
    <xdr:to>
      <xdr:col>13</xdr:col>
      <xdr:colOff>0</xdr:colOff>
      <xdr:row>48</xdr:row>
      <xdr:rowOff>88900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CBF7AD-2806-2C13-2FF1-658D69FE24CC}"/>
            </a:ext>
          </a:extLst>
        </xdr:cNvPr>
        <xdr:cNvCxnSpPr/>
      </xdr:nvCxnSpPr>
      <xdr:spPr>
        <a:xfrm flipH="1">
          <a:off x="8388350" y="152400"/>
          <a:ext cx="12700" cy="7581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603250</xdr:colOff>
      <xdr:row>0</xdr:row>
      <xdr:rowOff>152400</xdr:rowOff>
    </xdr:from>
    <xdr:to>
      <xdr:col>23</xdr:col>
      <xdr:colOff>12700</xdr:colOff>
      <xdr:row>47</xdr:row>
      <xdr:rowOff>88900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8EEB8EE-4385-E617-9F89-22EF8A934424}"/>
            </a:ext>
          </a:extLst>
        </xdr:cNvPr>
        <xdr:cNvCxnSpPr/>
      </xdr:nvCxnSpPr>
      <xdr:spPr>
        <a:xfrm>
          <a:off x="14490700" y="152400"/>
          <a:ext cx="19050" cy="8293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4650-9BD5-4B80-9A4A-6457C91C22AD}">
  <dimension ref="K5:M10"/>
  <sheetViews>
    <sheetView workbookViewId="0">
      <selection activeCell="N21" sqref="N21"/>
    </sheetView>
  </sheetViews>
  <sheetFormatPr defaultRowHeight="14" x14ac:dyDescent="0.3"/>
  <cols>
    <col min="1" max="16384" width="8.7265625" style="1"/>
  </cols>
  <sheetData>
    <row r="5" spans="11:13" x14ac:dyDescent="0.3">
      <c r="K5" s="1" t="s">
        <v>0</v>
      </c>
      <c r="L5" s="1">
        <v>17.920000000000002</v>
      </c>
    </row>
    <row r="6" spans="11:13" x14ac:dyDescent="0.3">
      <c r="K6" s="1" t="s">
        <v>1</v>
      </c>
      <c r="L6" s="2">
        <v>176.612391</v>
      </c>
      <c r="M6" s="1" t="s">
        <v>6</v>
      </c>
    </row>
    <row r="7" spans="11:13" x14ac:dyDescent="0.3">
      <c r="K7" s="1" t="s">
        <v>2</v>
      </c>
      <c r="L7" s="2">
        <f>L6*L5</f>
        <v>3164.8940467200005</v>
      </c>
    </row>
    <row r="8" spans="11:13" x14ac:dyDescent="0.3">
      <c r="K8" s="1" t="s">
        <v>3</v>
      </c>
      <c r="L8" s="2">
        <v>39.119999999999997</v>
      </c>
      <c r="M8" s="1" t="s">
        <v>6</v>
      </c>
    </row>
    <row r="9" spans="11:13" x14ac:dyDescent="0.3">
      <c r="K9" s="1" t="s">
        <v>4</v>
      </c>
      <c r="L9" s="2">
        <f>279.136+15</f>
        <v>294.13600000000002</v>
      </c>
      <c r="M9" s="1" t="s">
        <v>6</v>
      </c>
    </row>
    <row r="10" spans="11:13" x14ac:dyDescent="0.3">
      <c r="K10" s="1" t="s">
        <v>5</v>
      </c>
      <c r="L10" s="2">
        <f>L7-L8+L9</f>
        <v>3419.9100467200005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13C9-F9F5-4187-BFE3-A96F28F362FF}">
  <dimension ref="A1:FS47"/>
  <sheetViews>
    <sheetView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AE20" sqref="AE20"/>
    </sheetView>
  </sheetViews>
  <sheetFormatPr defaultRowHeight="14" x14ac:dyDescent="0.3"/>
  <cols>
    <col min="1" max="1" width="5.08984375" style="1" bestFit="1" customWidth="1"/>
    <col min="2" max="2" width="19.1796875" style="1" bestFit="1" customWidth="1"/>
    <col min="3" max="16384" width="8.7265625" style="2"/>
  </cols>
  <sheetData>
    <row r="1" spans="1:33" s="1" customFormat="1" x14ac:dyDescent="0.3">
      <c r="A1" s="1" t="s">
        <v>7</v>
      </c>
    </row>
    <row r="2" spans="1:33" s="1" customFormat="1" x14ac:dyDescent="0.3"/>
    <row r="3" spans="1:33" s="1" customFormat="1" x14ac:dyDescent="0.3"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6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T3" s="1">
        <v>2021</v>
      </c>
      <c r="U3" s="1">
        <f>+T3+1</f>
        <v>2022</v>
      </c>
      <c r="V3" s="1">
        <f t="shared" ref="V3:AG3" si="0">+U3+1</f>
        <v>2023</v>
      </c>
      <c r="W3" s="1">
        <f t="shared" si="0"/>
        <v>2024</v>
      </c>
      <c r="X3" s="1">
        <f t="shared" si="0"/>
        <v>2025</v>
      </c>
      <c r="Y3" s="1">
        <f t="shared" si="0"/>
        <v>2026</v>
      </c>
      <c r="Z3" s="1">
        <f t="shared" si="0"/>
        <v>2027</v>
      </c>
      <c r="AA3" s="1">
        <f t="shared" si="0"/>
        <v>2028</v>
      </c>
      <c r="AB3" s="1">
        <f t="shared" si="0"/>
        <v>2029</v>
      </c>
      <c r="AC3" s="1">
        <f t="shared" si="0"/>
        <v>2030</v>
      </c>
      <c r="AD3" s="1">
        <f t="shared" si="0"/>
        <v>2031</v>
      </c>
      <c r="AE3" s="1">
        <f t="shared" si="0"/>
        <v>2032</v>
      </c>
      <c r="AF3" s="1">
        <f t="shared" si="0"/>
        <v>2033</v>
      </c>
      <c r="AG3" s="1">
        <f t="shared" si="0"/>
        <v>2034</v>
      </c>
    </row>
    <row r="4" spans="1:33" s="1" customFormat="1" x14ac:dyDescent="0.3">
      <c r="B4" s="1" t="s">
        <v>40</v>
      </c>
      <c r="F4" s="1">
        <v>12</v>
      </c>
      <c r="G4" s="1">
        <v>12.8</v>
      </c>
      <c r="H4" s="1">
        <v>13.1</v>
      </c>
      <c r="I4" s="1">
        <v>13.5</v>
      </c>
      <c r="J4" s="1">
        <v>13.3</v>
      </c>
      <c r="K4" s="1">
        <v>13.7</v>
      </c>
      <c r="L4" s="1">
        <v>14.1</v>
      </c>
      <c r="M4" s="1">
        <v>14.6</v>
      </c>
      <c r="N4" s="8">
        <f>J4*1.08</f>
        <v>14.364000000000003</v>
      </c>
      <c r="O4" s="8">
        <f>K4*1.07</f>
        <v>14.659000000000001</v>
      </c>
      <c r="P4" s="8">
        <f>L4*1.06</f>
        <v>14.946</v>
      </c>
      <c r="Q4" s="8">
        <f>M4*1.05</f>
        <v>15.33</v>
      </c>
      <c r="R4" s="8">
        <f>N4*1.03</f>
        <v>14.794920000000003</v>
      </c>
      <c r="U4" s="1">
        <v>12</v>
      </c>
      <c r="V4" s="8">
        <f>AVERAGE(G4:J4)</f>
        <v>13.175000000000001</v>
      </c>
      <c r="W4" s="8">
        <f>AVERAGE(K4:N4)</f>
        <v>14.191000000000001</v>
      </c>
      <c r="X4" s="8">
        <f>AVERAGE(O4:R4)</f>
        <v>14.932480000000002</v>
      </c>
    </row>
    <row r="5" spans="1:33" s="1" customFormat="1" x14ac:dyDescent="0.3">
      <c r="B5" s="1" t="s">
        <v>41</v>
      </c>
      <c r="F5" s="5">
        <v>0.79400000000000004</v>
      </c>
      <c r="G5" s="5">
        <v>0.86599999999999999</v>
      </c>
      <c r="H5" s="5">
        <v>0.92900000000000005</v>
      </c>
      <c r="I5" s="5">
        <v>0.96199999999999997</v>
      </c>
      <c r="J5" s="5">
        <v>0.93700000000000006</v>
      </c>
      <c r="K5" s="5">
        <v>1</v>
      </c>
      <c r="L5" s="5">
        <v>1.1000000000000001</v>
      </c>
      <c r="M5" s="5">
        <v>1.1100000000000001</v>
      </c>
      <c r="N5" s="5">
        <v>1.1200000000000001</v>
      </c>
      <c r="O5" s="1">
        <v>1.18</v>
      </c>
      <c r="P5" s="1">
        <v>1.25</v>
      </c>
      <c r="Q5" s="1">
        <v>1.28</v>
      </c>
      <c r="R5" s="1">
        <v>1.3</v>
      </c>
      <c r="U5" s="1">
        <v>0.79</v>
      </c>
      <c r="V5" s="5">
        <f>AVERAGE(G5:J5)</f>
        <v>0.92349999999999999</v>
      </c>
      <c r="W5" s="5">
        <f>AVERAGE(K5:N5)</f>
        <v>1.0825</v>
      </c>
      <c r="X5" s="8">
        <f>AVERAGE(O5:R5)</f>
        <v>1.2524999999999999</v>
      </c>
      <c r="Y5" s="8">
        <f>X5*1.15</f>
        <v>1.4403749999999997</v>
      </c>
      <c r="Z5" s="8">
        <f>Y5*1.13</f>
        <v>1.6276237499999995</v>
      </c>
      <c r="AA5" s="8">
        <v>1.75</v>
      </c>
      <c r="AB5" s="8">
        <f>AA5*1.08</f>
        <v>1.8900000000000001</v>
      </c>
      <c r="AC5" s="8">
        <f>AB5*1.08</f>
        <v>2.0412000000000003</v>
      </c>
      <c r="AD5" s="8">
        <v>2.2000000000000002</v>
      </c>
      <c r="AE5" s="8">
        <v>2.2999999999999998</v>
      </c>
      <c r="AF5" s="8">
        <v>2.4</v>
      </c>
      <c r="AG5" s="8">
        <v>2.5</v>
      </c>
    </row>
    <row r="6" spans="1:33" s="1" customFormat="1" x14ac:dyDescent="0.3">
      <c r="B6" s="1" t="s">
        <v>43</v>
      </c>
      <c r="F6" s="7">
        <v>45</v>
      </c>
      <c r="G6" s="7">
        <v>48.1</v>
      </c>
      <c r="H6" s="7">
        <v>53.2</v>
      </c>
      <c r="I6" s="7">
        <v>61.6</v>
      </c>
      <c r="J6" s="7">
        <v>62</v>
      </c>
      <c r="K6" s="7">
        <v>64</v>
      </c>
      <c r="L6" s="7">
        <v>70</v>
      </c>
      <c r="M6" s="7">
        <v>77</v>
      </c>
      <c r="N6" s="7">
        <f>(N5*N7)*3</f>
        <v>79.296478121664904</v>
      </c>
      <c r="O6" s="7">
        <f>(O7*O5)*3</f>
        <v>80.051199999999994</v>
      </c>
      <c r="P6" s="7">
        <f t="shared" ref="P6:R6" si="1">(P7*P5)*3</f>
        <v>84.318181818181813</v>
      </c>
      <c r="Q6" s="7">
        <f t="shared" si="1"/>
        <v>94.120360360360365</v>
      </c>
      <c r="R6" s="7">
        <f t="shared" si="1"/>
        <v>97.562988260405575</v>
      </c>
      <c r="U6" s="1">
        <v>175</v>
      </c>
      <c r="V6" s="7">
        <f>SUM(G6:J6)</f>
        <v>224.9</v>
      </c>
      <c r="W6" s="7">
        <f>SUM(K6:N6)</f>
        <v>290.2964781216649</v>
      </c>
      <c r="X6" s="7">
        <f>SUM(O6:R6)</f>
        <v>356.05273043894778</v>
      </c>
      <c r="Y6" s="2">
        <f>Y7*Y5</f>
        <v>442.21749120517319</v>
      </c>
      <c r="Z6" s="2">
        <f t="shared" ref="Z6:AG6" si="2">Z7*Z5</f>
        <v>529.68811096555635</v>
      </c>
      <c r="AA6" s="2">
        <f t="shared" si="2"/>
        <v>580.90408061047174</v>
      </c>
      <c r="AB6" s="2">
        <f t="shared" si="2"/>
        <v>646.19769927108882</v>
      </c>
      <c r="AC6" s="2">
        <f t="shared" si="2"/>
        <v>718.83032066915928</v>
      </c>
      <c r="AD6" s="2">
        <f t="shared" si="2"/>
        <v>797.99603499721491</v>
      </c>
      <c r="AE6" s="2">
        <f t="shared" si="2"/>
        <v>859.29663950381905</v>
      </c>
      <c r="AF6" s="2">
        <f t="shared" si="2"/>
        <v>923.55708384932211</v>
      </c>
      <c r="AG6" s="2">
        <f t="shared" si="2"/>
        <v>990.8997878800019</v>
      </c>
    </row>
    <row r="7" spans="1:33" s="1" customFormat="1" x14ac:dyDescent="0.3">
      <c r="B7" s="1" t="s">
        <v>42</v>
      </c>
      <c r="F7" s="5">
        <f t="shared" ref="F7:M7" si="3">(F6/F5)/3</f>
        <v>18.89168765743073</v>
      </c>
      <c r="G7" s="5">
        <f t="shared" si="3"/>
        <v>18.514241724403387</v>
      </c>
      <c r="H7" s="5">
        <f t="shared" si="3"/>
        <v>19.088625762468606</v>
      </c>
      <c r="I7" s="5">
        <f t="shared" si="3"/>
        <v>21.344421344421345</v>
      </c>
      <c r="J7" s="5">
        <f t="shared" si="3"/>
        <v>22.056207755247243</v>
      </c>
      <c r="K7" s="5">
        <f t="shared" si="3"/>
        <v>21.333333333333332</v>
      </c>
      <c r="L7" s="5">
        <f t="shared" si="3"/>
        <v>21.212121212121211</v>
      </c>
      <c r="M7" s="5">
        <f t="shared" si="3"/>
        <v>23.123123123123122</v>
      </c>
      <c r="N7" s="5">
        <f>J7*1.07</f>
        <v>23.600142298114552</v>
      </c>
      <c r="O7" s="5">
        <f>K7*1.06</f>
        <v>22.613333333333333</v>
      </c>
      <c r="P7" s="5">
        <f t="shared" ref="P7:R7" si="4">L7*1.06</f>
        <v>22.484848484848484</v>
      </c>
      <c r="Q7" s="5">
        <f t="shared" si="4"/>
        <v>24.51051051051051</v>
      </c>
      <c r="R7" s="5">
        <f t="shared" si="4"/>
        <v>25.016150836001426</v>
      </c>
      <c r="U7" s="5">
        <f>U6/U5</f>
        <v>221.51898734177215</v>
      </c>
      <c r="V7" s="5">
        <f>V6/V5</f>
        <v>243.5300487276665</v>
      </c>
      <c r="W7" s="5">
        <f>W6/W5</f>
        <v>268.17226616320085</v>
      </c>
      <c r="X7" s="5">
        <f>X6/X5</f>
        <v>284.27363707700425</v>
      </c>
      <c r="Y7" s="5">
        <f>X7*1.08</f>
        <v>307.01552804316464</v>
      </c>
      <c r="Z7" s="5">
        <f>Y7*1.06</f>
        <v>325.4364597257545</v>
      </c>
      <c r="AA7" s="5">
        <f>Z7*1.02</f>
        <v>331.94518892026957</v>
      </c>
      <c r="AB7" s="5">
        <f t="shared" ref="AB7:AG7" si="5">AA7*1.03</f>
        <v>341.90354458787766</v>
      </c>
      <c r="AC7" s="5">
        <f t="shared" si="5"/>
        <v>352.16065092551401</v>
      </c>
      <c r="AD7" s="5">
        <f t="shared" si="5"/>
        <v>362.72547045327946</v>
      </c>
      <c r="AE7" s="5">
        <f t="shared" si="5"/>
        <v>373.60723456687788</v>
      </c>
      <c r="AF7" s="5">
        <f t="shared" si="5"/>
        <v>384.81545160388424</v>
      </c>
      <c r="AG7" s="5">
        <f t="shared" si="5"/>
        <v>396.35991515200078</v>
      </c>
    </row>
    <row r="8" spans="1:33" s="1" customFormat="1" x14ac:dyDescent="0.3">
      <c r="B8" s="1" t="s">
        <v>44</v>
      </c>
      <c r="F8" s="7">
        <v>10</v>
      </c>
      <c r="G8" s="7">
        <v>7.7</v>
      </c>
      <c r="H8" s="7">
        <v>8.3000000000000007</v>
      </c>
      <c r="I8" s="7">
        <v>8.6999999999999993</v>
      </c>
      <c r="J8" s="7">
        <v>10</v>
      </c>
      <c r="K8" s="7">
        <v>11</v>
      </c>
      <c r="L8" s="7">
        <v>12</v>
      </c>
      <c r="M8" s="7">
        <v>12</v>
      </c>
      <c r="N8" s="1">
        <v>13</v>
      </c>
      <c r="O8" s="1">
        <v>14</v>
      </c>
      <c r="P8" s="1">
        <v>15</v>
      </c>
      <c r="Q8" s="1">
        <v>16</v>
      </c>
      <c r="R8" s="1">
        <v>14</v>
      </c>
      <c r="U8" s="2">
        <f>U9-U6</f>
        <v>20.015000000000015</v>
      </c>
      <c r="V8" s="7">
        <f>SUM(G8:J8)</f>
        <v>34.700000000000003</v>
      </c>
      <c r="W8" s="7">
        <f>SUM(K8:N8)</f>
        <v>48</v>
      </c>
      <c r="X8" s="1">
        <f>SUM(O8:R8)</f>
        <v>59</v>
      </c>
      <c r="Y8" s="7">
        <f>X8*1.05</f>
        <v>61.95</v>
      </c>
      <c r="Z8" s="7">
        <f t="shared" ref="Z8:AG8" si="6">Y8*1.05</f>
        <v>65.047499999999999</v>
      </c>
      <c r="AA8" s="7">
        <f t="shared" si="6"/>
        <v>68.299875</v>
      </c>
      <c r="AB8" s="7">
        <f t="shared" si="6"/>
        <v>71.714868750000008</v>
      </c>
      <c r="AC8" s="7">
        <f t="shared" si="6"/>
        <v>75.300612187500008</v>
      </c>
      <c r="AD8" s="7">
        <f t="shared" si="6"/>
        <v>79.065642796875011</v>
      </c>
      <c r="AE8" s="7">
        <f t="shared" si="6"/>
        <v>83.018924936718761</v>
      </c>
      <c r="AF8" s="7">
        <f t="shared" si="6"/>
        <v>87.169871183554704</v>
      </c>
      <c r="AG8" s="7">
        <f t="shared" si="6"/>
        <v>91.52836474273245</v>
      </c>
    </row>
    <row r="9" spans="1:33" x14ac:dyDescent="0.3">
      <c r="B9" s="1" t="s">
        <v>23</v>
      </c>
      <c r="C9" s="2">
        <v>43.53</v>
      </c>
      <c r="D9" s="2">
        <v>46.555</v>
      </c>
      <c r="E9" s="2">
        <v>50.402000000000001</v>
      </c>
      <c r="F9" s="2">
        <v>54.527999999999999</v>
      </c>
      <c r="G9" s="2">
        <v>55.808999999999997</v>
      </c>
      <c r="H9" s="2">
        <v>61.537999999999997</v>
      </c>
      <c r="I9" s="2">
        <v>70.257999999999996</v>
      </c>
      <c r="J9" s="2">
        <v>72.085999999999999</v>
      </c>
      <c r="K9" s="2">
        <v>75.344999999999999</v>
      </c>
      <c r="L9" s="2">
        <v>82.344999999999999</v>
      </c>
      <c r="M9" s="2">
        <v>89.325000000000003</v>
      </c>
      <c r="N9" s="2">
        <f>N8+N6</f>
        <v>92.296478121664904</v>
      </c>
      <c r="O9" s="2">
        <f>O8+O6</f>
        <v>94.051199999999994</v>
      </c>
      <c r="P9" s="2">
        <f t="shared" ref="P9:R9" si="7">P8+P6</f>
        <v>99.318181818181813</v>
      </c>
      <c r="Q9" s="2">
        <f>Q8+Q6</f>
        <v>110.12036036036037</v>
      </c>
      <c r="R9" s="2">
        <f t="shared" si="7"/>
        <v>111.56298826040558</v>
      </c>
      <c r="U9" s="2">
        <f>SUM(C9:F9)</f>
        <v>195.01500000000001</v>
      </c>
      <c r="V9" s="2">
        <f>SUM(G9:J9)</f>
        <v>259.69099999999997</v>
      </c>
      <c r="W9" s="2">
        <f>SUM(K9:N9)</f>
        <v>339.31147812166489</v>
      </c>
      <c r="X9" s="2">
        <f>SUM(O9:R9)</f>
        <v>415.05273043894778</v>
      </c>
      <c r="Y9" s="2">
        <f>Y8+Y6</f>
        <v>504.16749120517318</v>
      </c>
      <c r="Z9" s="2">
        <f t="shared" ref="Z9:AG9" si="8">Z8+Z6</f>
        <v>594.73561096555636</v>
      </c>
      <c r="AA9" s="2">
        <f t="shared" si="8"/>
        <v>649.20395561047178</v>
      </c>
      <c r="AB9" s="2">
        <f t="shared" si="8"/>
        <v>717.91256802108887</v>
      </c>
      <c r="AC9" s="2">
        <f t="shared" si="8"/>
        <v>794.13093285665923</v>
      </c>
      <c r="AD9" s="2">
        <f t="shared" si="8"/>
        <v>877.06167779408997</v>
      </c>
      <c r="AE9" s="2">
        <f t="shared" si="8"/>
        <v>942.31556444053786</v>
      </c>
      <c r="AF9" s="2">
        <f t="shared" si="8"/>
        <v>1010.7269550328768</v>
      </c>
      <c r="AG9" s="2">
        <f t="shared" si="8"/>
        <v>1082.4281526227344</v>
      </c>
    </row>
    <row r="10" spans="1:33" x14ac:dyDescent="0.3">
      <c r="B10" s="1" t="s">
        <v>24</v>
      </c>
      <c r="C10" s="2">
        <v>11.701000000000001</v>
      </c>
      <c r="D10" s="2">
        <v>12.102</v>
      </c>
      <c r="E10" s="2">
        <v>12.955</v>
      </c>
      <c r="F10" s="2">
        <v>14.522</v>
      </c>
      <c r="G10" s="2">
        <v>14.815</v>
      </c>
      <c r="H10" s="2">
        <v>16.11</v>
      </c>
      <c r="I10" s="2">
        <v>18.242999999999999</v>
      </c>
      <c r="J10" s="2">
        <v>18.920000000000002</v>
      </c>
      <c r="K10" s="2">
        <v>19.62</v>
      </c>
      <c r="L10" s="2">
        <v>20.998999999999999</v>
      </c>
      <c r="M10" s="2">
        <v>22.914999999999999</v>
      </c>
      <c r="N10" s="2">
        <f>N9*0.26</f>
        <v>23.997084311632875</v>
      </c>
      <c r="O10" s="2">
        <f t="shared" ref="O10:R10" si="9">O9*0.26</f>
        <v>24.453312</v>
      </c>
      <c r="P10" s="2">
        <f t="shared" si="9"/>
        <v>25.822727272727271</v>
      </c>
      <c r="Q10" s="2">
        <f t="shared" si="9"/>
        <v>28.631293693693696</v>
      </c>
      <c r="R10" s="2">
        <f t="shared" si="9"/>
        <v>29.006376947705451</v>
      </c>
      <c r="U10" s="2">
        <f>SUM(C10:F10)</f>
        <v>51.28</v>
      </c>
      <c r="V10" s="2">
        <f>SUM(G10:J10)</f>
        <v>68.087999999999994</v>
      </c>
      <c r="W10" s="2">
        <f>SUM(K10:N10)</f>
        <v>87.531084311632867</v>
      </c>
      <c r="X10" s="2">
        <f>SUM(O10:R10)</f>
        <v>107.91370991412641</v>
      </c>
      <c r="Y10" s="2">
        <f>Y9*0.26</f>
        <v>131.08354771334504</v>
      </c>
      <c r="Z10" s="2">
        <f t="shared" ref="Z10:AG10" si="10">Z9*0.26</f>
        <v>154.63125885104466</v>
      </c>
      <c r="AA10" s="2">
        <f t="shared" si="10"/>
        <v>168.79302845872266</v>
      </c>
      <c r="AB10" s="2">
        <f t="shared" si="10"/>
        <v>186.65726768548311</v>
      </c>
      <c r="AC10" s="2">
        <f t="shared" si="10"/>
        <v>206.47404254273141</v>
      </c>
      <c r="AD10" s="2">
        <f t="shared" si="10"/>
        <v>228.03603622646341</v>
      </c>
      <c r="AE10" s="2">
        <f t="shared" si="10"/>
        <v>245.00204675453986</v>
      </c>
      <c r="AF10" s="2">
        <f t="shared" si="10"/>
        <v>262.78900830854798</v>
      </c>
      <c r="AG10" s="2">
        <f t="shared" si="10"/>
        <v>281.43131968191096</v>
      </c>
    </row>
    <row r="11" spans="1:33" x14ac:dyDescent="0.3">
      <c r="B11" s="1" t="s">
        <v>25</v>
      </c>
      <c r="C11" s="2">
        <f t="shared" ref="C11:N11" si="11">C9-C10</f>
        <v>31.829000000000001</v>
      </c>
      <c r="D11" s="2">
        <f t="shared" si="11"/>
        <v>34.453000000000003</v>
      </c>
      <c r="E11" s="2">
        <f t="shared" si="11"/>
        <v>37.447000000000003</v>
      </c>
      <c r="F11" s="2">
        <f t="shared" si="11"/>
        <v>40.006</v>
      </c>
      <c r="G11" s="2">
        <f t="shared" si="11"/>
        <v>40.994</v>
      </c>
      <c r="H11" s="2">
        <f t="shared" si="11"/>
        <v>45.427999999999997</v>
      </c>
      <c r="I11" s="2">
        <f t="shared" si="11"/>
        <v>52.015000000000001</v>
      </c>
      <c r="J11" s="2">
        <f t="shared" si="11"/>
        <v>53.165999999999997</v>
      </c>
      <c r="K11" s="2">
        <f t="shared" si="11"/>
        <v>55.724999999999994</v>
      </c>
      <c r="L11" s="2">
        <f t="shared" si="11"/>
        <v>61.346000000000004</v>
      </c>
      <c r="M11" s="2">
        <f t="shared" si="11"/>
        <v>66.41</v>
      </c>
      <c r="N11" s="2">
        <f t="shared" si="11"/>
        <v>68.299393810032029</v>
      </c>
      <c r="O11" s="2">
        <f t="shared" ref="O11:R11" si="12">O9-O10</f>
        <v>69.597887999999998</v>
      </c>
      <c r="P11" s="2">
        <f t="shared" si="12"/>
        <v>73.49545454545455</v>
      </c>
      <c r="Q11" s="2">
        <f t="shared" si="12"/>
        <v>81.489066666666673</v>
      </c>
      <c r="R11" s="2">
        <f t="shared" si="12"/>
        <v>82.556611312700127</v>
      </c>
      <c r="U11" s="2">
        <f>U9-U10</f>
        <v>143.73500000000001</v>
      </c>
      <c r="V11" s="2">
        <f>V9-V10</f>
        <v>191.60299999999998</v>
      </c>
      <c r="W11" s="2">
        <f>W9-W10</f>
        <v>251.78039381003202</v>
      </c>
      <c r="X11" s="2">
        <f>X9-X10</f>
        <v>307.13902052482138</v>
      </c>
      <c r="Y11" s="2">
        <f>Y9-Y10</f>
        <v>373.08394349182811</v>
      </c>
      <c r="Z11" s="2">
        <f t="shared" ref="Z11:AG11" si="13">Z9-Z10</f>
        <v>440.1043521145117</v>
      </c>
      <c r="AA11" s="2">
        <f t="shared" si="13"/>
        <v>480.41092715174909</v>
      </c>
      <c r="AB11" s="2">
        <f t="shared" si="13"/>
        <v>531.25530033560574</v>
      </c>
      <c r="AC11" s="2">
        <f t="shared" si="13"/>
        <v>587.65689031392776</v>
      </c>
      <c r="AD11" s="2">
        <f t="shared" si="13"/>
        <v>649.02564156762651</v>
      </c>
      <c r="AE11" s="2">
        <f t="shared" si="13"/>
        <v>697.31351768599802</v>
      </c>
      <c r="AF11" s="2">
        <f t="shared" si="13"/>
        <v>747.93794672432887</v>
      </c>
      <c r="AG11" s="2">
        <f t="shared" si="13"/>
        <v>800.99683294082342</v>
      </c>
    </row>
    <row r="12" spans="1:33" x14ac:dyDescent="0.3">
      <c r="B12" s="1" t="s">
        <v>26</v>
      </c>
      <c r="C12" s="2">
        <v>10.378</v>
      </c>
      <c r="D12" s="2">
        <v>23.234000000000002</v>
      </c>
      <c r="E12" s="2">
        <v>20.324999999999999</v>
      </c>
      <c r="F12" s="2">
        <v>21.358000000000001</v>
      </c>
      <c r="G12" s="2">
        <v>18.945</v>
      </c>
      <c r="H12" s="2">
        <v>17.158000000000001</v>
      </c>
      <c r="I12" s="2">
        <v>16.420000000000002</v>
      </c>
      <c r="J12" s="2">
        <v>27.893999999999998</v>
      </c>
      <c r="K12" s="2">
        <v>26.609000000000002</v>
      </c>
      <c r="L12" s="2">
        <v>24.802</v>
      </c>
      <c r="M12" s="2">
        <v>24.975999999999999</v>
      </c>
      <c r="N12" s="2">
        <v>25</v>
      </c>
      <c r="O12" s="2">
        <v>26</v>
      </c>
      <c r="P12" s="2">
        <v>26</v>
      </c>
      <c r="Q12" s="2">
        <v>27</v>
      </c>
      <c r="R12" s="2">
        <v>26</v>
      </c>
      <c r="U12" s="2">
        <f>SUM(C12:F12)</f>
        <v>75.295000000000002</v>
      </c>
      <c r="V12" s="2">
        <f>SUM(G12:J12)</f>
        <v>80.417000000000002</v>
      </c>
      <c r="W12" s="2">
        <f>SUM(K12:N12)</f>
        <v>101.387</v>
      </c>
      <c r="X12" s="2">
        <f>SUM(O12:R12)</f>
        <v>105</v>
      </c>
      <c r="Y12" s="2">
        <f>Y9*0.28</f>
        <v>141.16689753744851</v>
      </c>
      <c r="Z12" s="2">
        <f>Z9*0.26</f>
        <v>154.63125885104466</v>
      </c>
      <c r="AA12" s="2">
        <f>AA9*0.25</f>
        <v>162.30098890261795</v>
      </c>
      <c r="AB12" s="2">
        <f t="shared" ref="AB12:AG12" si="14">AB9*0.25</f>
        <v>179.47814200527222</v>
      </c>
      <c r="AC12" s="2">
        <f t="shared" si="14"/>
        <v>198.53273321416481</v>
      </c>
      <c r="AD12" s="2">
        <f t="shared" si="14"/>
        <v>219.26541944852249</v>
      </c>
      <c r="AE12" s="2">
        <f t="shared" si="14"/>
        <v>235.57889111013446</v>
      </c>
      <c r="AF12" s="2">
        <f t="shared" si="14"/>
        <v>252.68173875821921</v>
      </c>
      <c r="AG12" s="2">
        <f t="shared" si="14"/>
        <v>270.6070381556836</v>
      </c>
    </row>
    <row r="13" spans="1:33" x14ac:dyDescent="0.3">
      <c r="B13" s="1" t="s">
        <v>27</v>
      </c>
      <c r="C13" s="2">
        <v>3.6469999999999998</v>
      </c>
      <c r="D13" s="2">
        <v>4.1749999999999998</v>
      </c>
      <c r="E13" s="2">
        <v>4.1589999999999998</v>
      </c>
      <c r="F13" s="2">
        <v>5.9189999999999996</v>
      </c>
      <c r="G13" s="2">
        <v>5.5060000000000002</v>
      </c>
      <c r="H13" s="2">
        <v>6.2</v>
      </c>
      <c r="I13" s="2">
        <v>13.27</v>
      </c>
      <c r="J13" s="2">
        <v>4.351</v>
      </c>
      <c r="K13" s="2">
        <v>5.7409999999999997</v>
      </c>
      <c r="L13" s="2">
        <v>7.7539999999999996</v>
      </c>
      <c r="M13" s="2">
        <v>8.8059999999999992</v>
      </c>
      <c r="N13" s="2">
        <v>8</v>
      </c>
      <c r="O13" s="2">
        <v>10</v>
      </c>
      <c r="P13" s="2">
        <v>9</v>
      </c>
      <c r="Q13" s="2">
        <v>10</v>
      </c>
      <c r="R13" s="2">
        <v>9</v>
      </c>
      <c r="U13" s="2">
        <f>SUM(C13:F13)</f>
        <v>17.899999999999999</v>
      </c>
      <c r="V13" s="2">
        <f>SUM(G13:J13)</f>
        <v>29.326999999999998</v>
      </c>
      <c r="W13" s="2">
        <f>SUM(K13:N13)</f>
        <v>30.300999999999998</v>
      </c>
      <c r="X13" s="2">
        <f>SUM(O13:R13)</f>
        <v>38</v>
      </c>
      <c r="Y13" s="2">
        <f>Y9*0.1</f>
        <v>50.416749120517323</v>
      </c>
      <c r="Z13" s="2">
        <f t="shared" ref="Z13:AG13" si="15">Z9*0.1</f>
        <v>59.473561096555642</v>
      </c>
      <c r="AA13" s="2">
        <f t="shared" si="15"/>
        <v>64.920395561047187</v>
      </c>
      <c r="AB13" s="2">
        <f t="shared" si="15"/>
        <v>71.79125680210889</v>
      </c>
      <c r="AC13" s="2">
        <f t="shared" si="15"/>
        <v>79.413093285665923</v>
      </c>
      <c r="AD13" s="2">
        <f t="shared" si="15"/>
        <v>87.706167779409</v>
      </c>
      <c r="AE13" s="2">
        <f t="shared" si="15"/>
        <v>94.231556444053794</v>
      </c>
      <c r="AF13" s="2">
        <f t="shared" si="15"/>
        <v>101.07269550328769</v>
      </c>
      <c r="AG13" s="2">
        <f t="shared" si="15"/>
        <v>108.24281526227344</v>
      </c>
    </row>
    <row r="14" spans="1:33" x14ac:dyDescent="0.3">
      <c r="B14" s="1" t="s">
        <v>28</v>
      </c>
      <c r="C14" s="2">
        <f t="shared" ref="C14:N14" si="16">SUM(C12:C13)</f>
        <v>14.025</v>
      </c>
      <c r="D14" s="2">
        <f t="shared" si="16"/>
        <v>27.409000000000002</v>
      </c>
      <c r="E14" s="2">
        <f t="shared" si="16"/>
        <v>24.483999999999998</v>
      </c>
      <c r="F14" s="2">
        <f t="shared" si="16"/>
        <v>27.277000000000001</v>
      </c>
      <c r="G14" s="2">
        <f t="shared" si="16"/>
        <v>24.451000000000001</v>
      </c>
      <c r="H14" s="2">
        <f t="shared" si="16"/>
        <v>23.358000000000001</v>
      </c>
      <c r="I14" s="2">
        <f t="shared" si="16"/>
        <v>29.69</v>
      </c>
      <c r="J14" s="2">
        <f t="shared" si="16"/>
        <v>32.244999999999997</v>
      </c>
      <c r="K14" s="2">
        <f t="shared" si="16"/>
        <v>32.35</v>
      </c>
      <c r="L14" s="2">
        <f t="shared" si="16"/>
        <v>32.555999999999997</v>
      </c>
      <c r="M14" s="2">
        <f t="shared" si="16"/>
        <v>33.781999999999996</v>
      </c>
      <c r="N14" s="2">
        <f t="shared" si="16"/>
        <v>33</v>
      </c>
      <c r="O14" s="2">
        <f t="shared" ref="O14:R14" si="17">SUM(O12:O13)</f>
        <v>36</v>
      </c>
      <c r="P14" s="2">
        <f t="shared" si="17"/>
        <v>35</v>
      </c>
      <c r="Q14" s="2">
        <f t="shared" si="17"/>
        <v>37</v>
      </c>
      <c r="R14" s="2">
        <f t="shared" si="17"/>
        <v>35</v>
      </c>
      <c r="U14" s="2">
        <f>SUM(U12:U13)</f>
        <v>93.194999999999993</v>
      </c>
      <c r="V14" s="2">
        <f>SUM(V12:V13)</f>
        <v>109.744</v>
      </c>
      <c r="W14" s="2">
        <f>SUM(W12:W13)</f>
        <v>131.68799999999999</v>
      </c>
      <c r="X14" s="2">
        <f>SUM(X12:X13)</f>
        <v>143</v>
      </c>
      <c r="Y14" s="2">
        <f t="shared" ref="Y14:AG14" si="18">SUM(Y12:Y13)</f>
        <v>191.58364665796583</v>
      </c>
      <c r="Z14" s="2">
        <f t="shared" si="18"/>
        <v>214.1048199476003</v>
      </c>
      <c r="AA14" s="2">
        <f t="shared" si="18"/>
        <v>227.22138446366512</v>
      </c>
      <c r="AB14" s="2">
        <f t="shared" si="18"/>
        <v>251.26939880738109</v>
      </c>
      <c r="AC14" s="2">
        <f t="shared" si="18"/>
        <v>277.94582649983073</v>
      </c>
      <c r="AD14" s="2">
        <f t="shared" si="18"/>
        <v>306.97158722793148</v>
      </c>
      <c r="AE14" s="2">
        <f t="shared" si="18"/>
        <v>329.81044755418827</v>
      </c>
      <c r="AF14" s="2">
        <f t="shared" si="18"/>
        <v>353.7544342615069</v>
      </c>
      <c r="AG14" s="2">
        <f t="shared" si="18"/>
        <v>378.84985341795704</v>
      </c>
    </row>
    <row r="15" spans="1:33" x14ac:dyDescent="0.3">
      <c r="B15" s="1" t="s">
        <v>29</v>
      </c>
      <c r="C15" s="2">
        <f t="shared" ref="C15:N15" si="19">C11-C14</f>
        <v>17.804000000000002</v>
      </c>
      <c r="D15" s="2">
        <f t="shared" si="19"/>
        <v>7.0440000000000005</v>
      </c>
      <c r="E15" s="2">
        <f t="shared" si="19"/>
        <v>12.963000000000005</v>
      </c>
      <c r="F15" s="2">
        <f t="shared" si="19"/>
        <v>12.728999999999999</v>
      </c>
      <c r="G15" s="2">
        <f t="shared" si="19"/>
        <v>16.542999999999999</v>
      </c>
      <c r="H15" s="2">
        <f t="shared" si="19"/>
        <v>22.069999999999997</v>
      </c>
      <c r="I15" s="2">
        <f t="shared" si="19"/>
        <v>22.324999999999999</v>
      </c>
      <c r="J15" s="2">
        <f t="shared" si="19"/>
        <v>20.920999999999999</v>
      </c>
      <c r="K15" s="2">
        <f t="shared" si="19"/>
        <v>23.374999999999993</v>
      </c>
      <c r="L15" s="2">
        <f t="shared" si="19"/>
        <v>28.790000000000006</v>
      </c>
      <c r="M15" s="2">
        <f t="shared" si="19"/>
        <v>32.628</v>
      </c>
      <c r="N15" s="2">
        <f t="shared" si="19"/>
        <v>35.299393810032029</v>
      </c>
      <c r="O15" s="2">
        <f t="shared" ref="O15:R15" si="20">O11-O14</f>
        <v>33.597887999999998</v>
      </c>
      <c r="P15" s="2">
        <f t="shared" si="20"/>
        <v>38.49545454545455</v>
      </c>
      <c r="Q15" s="2">
        <f t="shared" si="20"/>
        <v>44.489066666666673</v>
      </c>
      <c r="R15" s="2">
        <f t="shared" si="20"/>
        <v>47.556611312700127</v>
      </c>
      <c r="U15" s="2">
        <f>U11-U14</f>
        <v>50.54000000000002</v>
      </c>
      <c r="V15" s="2">
        <f>V11-V14</f>
        <v>81.85899999999998</v>
      </c>
      <c r="W15" s="2">
        <f>W11-W14</f>
        <v>120.09239381003204</v>
      </c>
      <c r="X15" s="2">
        <f>X11-X14</f>
        <v>164.13902052482138</v>
      </c>
      <c r="Y15" s="2">
        <f t="shared" ref="Y15:AG15" si="21">Y11-Y14</f>
        <v>181.50029683386228</v>
      </c>
      <c r="Z15" s="2">
        <f t="shared" si="21"/>
        <v>225.99953216691139</v>
      </c>
      <c r="AA15" s="2">
        <f t="shared" si="21"/>
        <v>253.18954268808398</v>
      </c>
      <c r="AB15" s="2">
        <f t="shared" si="21"/>
        <v>279.98590152822464</v>
      </c>
      <c r="AC15" s="2">
        <f t="shared" si="21"/>
        <v>309.71106381409703</v>
      </c>
      <c r="AD15" s="2">
        <f t="shared" si="21"/>
        <v>342.05405433969503</v>
      </c>
      <c r="AE15" s="2">
        <f t="shared" si="21"/>
        <v>367.50307013180975</v>
      </c>
      <c r="AF15" s="2">
        <f t="shared" si="21"/>
        <v>394.18351246282197</v>
      </c>
      <c r="AG15" s="2">
        <f t="shared" si="21"/>
        <v>422.14697952286639</v>
      </c>
    </row>
    <row r="16" spans="1:33" x14ac:dyDescent="0.3">
      <c r="B16" s="1" t="s">
        <v>30</v>
      </c>
      <c r="C16" s="2">
        <f>+-2.956+-0.068</f>
        <v>-3.024</v>
      </c>
      <c r="D16" s="2">
        <f>+-3.256+0.002</f>
        <v>-3.254</v>
      </c>
      <c r="E16" s="2">
        <f>+-4.786+-0.263</f>
        <v>-5.0489999999999995</v>
      </c>
      <c r="F16" s="2">
        <f>+-20.54+-2.47</f>
        <v>-23.009999999999998</v>
      </c>
      <c r="G16" s="2">
        <f>+-10.793+0.123</f>
        <v>-10.67</v>
      </c>
      <c r="H16" s="2">
        <f>+-12.917+0.169</f>
        <v>-12.747999999999999</v>
      </c>
      <c r="I16" s="2">
        <f>+-11.985+-0.39</f>
        <v>-12.375</v>
      </c>
      <c r="J16" s="2">
        <f>+-10.312+0.183</f>
        <v>-10.129</v>
      </c>
      <c r="K16" s="2">
        <f>+-7.185+-0.117</f>
        <v>-7.3019999999999996</v>
      </c>
      <c r="L16" s="2">
        <f>+-6.669+-0.227</f>
        <v>-6.8959999999999999</v>
      </c>
      <c r="M16" s="2">
        <f>+-6.4+0.068</f>
        <v>-6.3320000000000007</v>
      </c>
      <c r="N16" s="2">
        <v>-5</v>
      </c>
      <c r="O16" s="2">
        <v>-4</v>
      </c>
      <c r="P16" s="2">
        <v>-3</v>
      </c>
      <c r="Q16" s="2">
        <v>-2</v>
      </c>
      <c r="R16" s="2">
        <v>-1</v>
      </c>
      <c r="U16" s="2">
        <f>SUM(C16:F16)</f>
        <v>-34.336999999999996</v>
      </c>
      <c r="V16" s="2">
        <f>SUM(G16:J16)</f>
        <v>-45.921999999999997</v>
      </c>
      <c r="W16" s="2">
        <f>SUM(K16:N16)</f>
        <v>-25.53</v>
      </c>
      <c r="X16" s="2">
        <f>SUM(O16:R16)</f>
        <v>-10</v>
      </c>
      <c r="Y16" s="2">
        <f>X35*$AJ$24</f>
        <v>-1.0746526853211733</v>
      </c>
      <c r="Z16" s="2">
        <f t="shared" ref="Z16:AG16" si="22">Y35*$AJ$24</f>
        <v>0.36875246786715538</v>
      </c>
      <c r="AA16" s="2">
        <f t="shared" si="22"/>
        <v>2.1796987449453837</v>
      </c>
      <c r="AB16" s="2">
        <f t="shared" si="22"/>
        <v>4.2226526764096182</v>
      </c>
      <c r="AC16" s="2">
        <f t="shared" si="22"/>
        <v>6.4963211100466927</v>
      </c>
      <c r="AD16" s="2">
        <f t="shared" si="22"/>
        <v>9.0259801894398421</v>
      </c>
      <c r="AE16" s="2">
        <f t="shared" si="22"/>
        <v>11.834620465672922</v>
      </c>
      <c r="AF16" s="2">
        <f t="shared" si="22"/>
        <v>14.869321990452784</v>
      </c>
      <c r="AG16" s="2">
        <f t="shared" si="22"/>
        <v>18.141744666078981</v>
      </c>
    </row>
    <row r="17" spans="1:175" x14ac:dyDescent="0.3">
      <c r="B17" s="1" t="s">
        <v>31</v>
      </c>
      <c r="C17" s="2">
        <f t="shared" ref="C17:N17" si="23">C15+C16</f>
        <v>14.780000000000001</v>
      </c>
      <c r="D17" s="2">
        <f t="shared" si="23"/>
        <v>3.7900000000000005</v>
      </c>
      <c r="E17" s="2">
        <f t="shared" si="23"/>
        <v>7.914000000000005</v>
      </c>
      <c r="F17" s="2">
        <f t="shared" si="23"/>
        <v>-10.280999999999999</v>
      </c>
      <c r="G17" s="2">
        <f t="shared" si="23"/>
        <v>5.8729999999999993</v>
      </c>
      <c r="H17" s="2">
        <f t="shared" si="23"/>
        <v>9.3219999999999974</v>
      </c>
      <c r="I17" s="2">
        <f t="shared" si="23"/>
        <v>9.9499999999999993</v>
      </c>
      <c r="J17" s="2">
        <f t="shared" si="23"/>
        <v>10.792</v>
      </c>
      <c r="K17" s="2">
        <f t="shared" si="23"/>
        <v>16.072999999999993</v>
      </c>
      <c r="L17" s="2">
        <f t="shared" si="23"/>
        <v>21.894000000000005</v>
      </c>
      <c r="M17" s="2">
        <f t="shared" si="23"/>
        <v>26.295999999999999</v>
      </c>
      <c r="N17" s="2">
        <f t="shared" si="23"/>
        <v>30.299393810032029</v>
      </c>
      <c r="O17" s="2">
        <f t="shared" ref="O17:R17" si="24">O15+O16</f>
        <v>29.597887999999998</v>
      </c>
      <c r="P17" s="2">
        <f t="shared" si="24"/>
        <v>35.49545454545455</v>
      </c>
      <c r="Q17" s="2">
        <f t="shared" si="24"/>
        <v>42.489066666666673</v>
      </c>
      <c r="R17" s="2">
        <f t="shared" si="24"/>
        <v>46.556611312700127</v>
      </c>
      <c r="U17" s="2">
        <f>U15+U16</f>
        <v>16.203000000000024</v>
      </c>
      <c r="V17" s="2">
        <f>V15+V16</f>
        <v>35.936999999999983</v>
      </c>
      <c r="W17" s="2">
        <f>W15+W16</f>
        <v>94.562393810032034</v>
      </c>
      <c r="X17" s="2">
        <f>X15+X16</f>
        <v>154.13902052482138</v>
      </c>
      <c r="Y17" s="2">
        <f t="shared" ref="Y17:AG17" si="25">Y15+Y16</f>
        <v>180.4256441485411</v>
      </c>
      <c r="Z17" s="2">
        <f t="shared" si="25"/>
        <v>226.36828463477855</v>
      </c>
      <c r="AA17" s="2">
        <f t="shared" si="25"/>
        <v>255.36924143302934</v>
      </c>
      <c r="AB17" s="2">
        <f t="shared" si="25"/>
        <v>284.20855420463425</v>
      </c>
      <c r="AC17" s="2">
        <f t="shared" si="25"/>
        <v>316.2073849241437</v>
      </c>
      <c r="AD17" s="2">
        <f t="shared" si="25"/>
        <v>351.08003452913488</v>
      </c>
      <c r="AE17" s="2">
        <f t="shared" si="25"/>
        <v>379.33769059748266</v>
      </c>
      <c r="AF17" s="2">
        <f t="shared" si="25"/>
        <v>409.05283445327473</v>
      </c>
      <c r="AG17" s="2">
        <f t="shared" si="25"/>
        <v>440.28872418894537</v>
      </c>
    </row>
    <row r="18" spans="1:175" x14ac:dyDescent="0.3">
      <c r="B18" s="1" t="s">
        <v>32</v>
      </c>
      <c r="C18" s="2">
        <v>1.2529999999999999</v>
      </c>
      <c r="D18" s="2">
        <v>-1</v>
      </c>
      <c r="E18" s="2">
        <v>3.4740000000000002</v>
      </c>
      <c r="F18" s="2">
        <v>-4.5860000000000003</v>
      </c>
      <c r="G18" s="2">
        <v>15.503</v>
      </c>
      <c r="H18" s="2">
        <v>-14.051</v>
      </c>
      <c r="I18" s="2">
        <v>1.272</v>
      </c>
      <c r="J18" s="2">
        <v>1.2989999999999999</v>
      </c>
      <c r="K18" s="2">
        <v>2.68</v>
      </c>
      <c r="L18" s="2">
        <v>4.9649999999999999</v>
      </c>
      <c r="M18" s="2">
        <v>5.593</v>
      </c>
      <c r="N18" s="2">
        <f>N17*0.2</f>
        <v>6.0598787620064059</v>
      </c>
      <c r="O18" s="2">
        <f t="shared" ref="O18:R18" si="26">O17*0.2</f>
        <v>5.9195776000000002</v>
      </c>
      <c r="P18" s="2">
        <f t="shared" si="26"/>
        <v>7.0990909090909105</v>
      </c>
      <c r="Q18" s="2">
        <f t="shared" si="26"/>
        <v>8.497813333333335</v>
      </c>
      <c r="R18" s="2">
        <f t="shared" si="26"/>
        <v>9.3113222625400258</v>
      </c>
      <c r="U18" s="2">
        <f>SUM(C18:F18)</f>
        <v>-0.85899999999999999</v>
      </c>
      <c r="V18" s="2">
        <f>SUM(G18:J18)</f>
        <v>4.0229999999999997</v>
      </c>
      <c r="W18" s="2">
        <f>SUM(K18:N18)</f>
        <v>19.297878762006405</v>
      </c>
      <c r="X18" s="2">
        <f>SUM(O18:R18)</f>
        <v>30.827804104964272</v>
      </c>
      <c r="Y18" s="2">
        <f>Y17*0.2</f>
        <v>36.085128829708218</v>
      </c>
      <c r="Z18" s="2">
        <f t="shared" ref="Z18:AG18" si="27">Z17*0.2</f>
        <v>45.273656926955709</v>
      </c>
      <c r="AA18" s="2">
        <f t="shared" si="27"/>
        <v>51.073848286605873</v>
      </c>
      <c r="AB18" s="2">
        <f t="shared" si="27"/>
        <v>56.841710840926851</v>
      </c>
      <c r="AC18" s="2">
        <f t="shared" si="27"/>
        <v>63.241476984828743</v>
      </c>
      <c r="AD18" s="2">
        <f t="shared" si="27"/>
        <v>70.216006905826973</v>
      </c>
      <c r="AE18" s="2">
        <f t="shared" si="27"/>
        <v>75.86753811949653</v>
      </c>
      <c r="AF18" s="2">
        <f t="shared" si="27"/>
        <v>81.810566890654954</v>
      </c>
      <c r="AG18" s="2">
        <f t="shared" si="27"/>
        <v>88.057744837789073</v>
      </c>
    </row>
    <row r="19" spans="1:175" s="10" customFormat="1" x14ac:dyDescent="0.3">
      <c r="A19" s="9"/>
      <c r="B19" s="9" t="s">
        <v>33</v>
      </c>
      <c r="C19" s="10">
        <f t="shared" ref="C19:N19" si="28">C17-C18</f>
        <v>13.527000000000001</v>
      </c>
      <c r="D19" s="10">
        <f t="shared" si="28"/>
        <v>4.7900000000000009</v>
      </c>
      <c r="E19" s="10">
        <f t="shared" si="28"/>
        <v>4.4400000000000048</v>
      </c>
      <c r="F19" s="10">
        <f t="shared" si="28"/>
        <v>-5.6949999999999985</v>
      </c>
      <c r="G19" s="10">
        <f t="shared" si="28"/>
        <v>-9.6300000000000008</v>
      </c>
      <c r="H19" s="10">
        <f t="shared" si="28"/>
        <v>23.372999999999998</v>
      </c>
      <c r="I19" s="10">
        <f t="shared" si="28"/>
        <v>8.677999999999999</v>
      </c>
      <c r="J19" s="10">
        <f t="shared" si="28"/>
        <v>9.4930000000000003</v>
      </c>
      <c r="K19" s="10">
        <f t="shared" si="28"/>
        <v>13.392999999999994</v>
      </c>
      <c r="L19" s="10">
        <f t="shared" si="28"/>
        <v>16.929000000000006</v>
      </c>
      <c r="M19" s="10">
        <f t="shared" si="28"/>
        <v>20.702999999999999</v>
      </c>
      <c r="N19" s="10">
        <f t="shared" si="28"/>
        <v>24.239515048025623</v>
      </c>
      <c r="O19" s="10">
        <f t="shared" ref="O19:R19" si="29">O17-O18</f>
        <v>23.678310399999997</v>
      </c>
      <c r="P19" s="10">
        <f t="shared" si="29"/>
        <v>28.396363636363638</v>
      </c>
      <c r="Q19" s="10">
        <f t="shared" si="29"/>
        <v>33.99125333333334</v>
      </c>
      <c r="R19" s="10">
        <f t="shared" si="29"/>
        <v>37.245289050160103</v>
      </c>
      <c r="U19" s="10">
        <f>U17-U18</f>
        <v>17.062000000000026</v>
      </c>
      <c r="V19" s="10">
        <f>V17-V18</f>
        <v>31.913999999999984</v>
      </c>
      <c r="W19" s="10">
        <f>W17-W18</f>
        <v>75.264515048025629</v>
      </c>
      <c r="X19" s="10">
        <f>X17-X18</f>
        <v>123.3112164198571</v>
      </c>
      <c r="Y19" s="10">
        <f t="shared" ref="Y19:AG19" si="30">Y17-Y18</f>
        <v>144.34051531883287</v>
      </c>
      <c r="Z19" s="10">
        <f t="shared" si="30"/>
        <v>181.09462770782284</v>
      </c>
      <c r="AA19" s="10">
        <f t="shared" si="30"/>
        <v>204.29539314642346</v>
      </c>
      <c r="AB19" s="10">
        <f t="shared" si="30"/>
        <v>227.3668433637074</v>
      </c>
      <c r="AC19" s="10">
        <f t="shared" si="30"/>
        <v>252.96590793931495</v>
      </c>
      <c r="AD19" s="10">
        <f t="shared" si="30"/>
        <v>280.86402762330789</v>
      </c>
      <c r="AE19" s="10">
        <f t="shared" si="30"/>
        <v>303.47015247798612</v>
      </c>
      <c r="AF19" s="10">
        <f t="shared" si="30"/>
        <v>327.24226756261976</v>
      </c>
      <c r="AG19" s="10">
        <f t="shared" si="30"/>
        <v>352.23097935115629</v>
      </c>
      <c r="AH19" s="10">
        <f>AG19*(1+$AJ$23)</f>
        <v>345.18635976413316</v>
      </c>
      <c r="AI19" s="10">
        <f t="shared" ref="AI19:CT19" si="31">AH19*(1+$AJ$23)</f>
        <v>338.28263256885049</v>
      </c>
      <c r="AJ19" s="10">
        <f t="shared" si="31"/>
        <v>331.51697991747346</v>
      </c>
      <c r="AK19" s="10">
        <f t="shared" si="31"/>
        <v>324.88664031912401</v>
      </c>
      <c r="AL19" s="10">
        <f t="shared" si="31"/>
        <v>318.38890751274153</v>
      </c>
      <c r="AM19" s="10">
        <f t="shared" si="31"/>
        <v>312.0211293624867</v>
      </c>
      <c r="AN19" s="10">
        <f t="shared" si="31"/>
        <v>305.78070677523698</v>
      </c>
      <c r="AO19" s="10">
        <f t="shared" si="31"/>
        <v>299.66509263973222</v>
      </c>
      <c r="AP19" s="10">
        <f t="shared" si="31"/>
        <v>293.67179078693755</v>
      </c>
      <c r="AQ19" s="10">
        <f t="shared" si="31"/>
        <v>287.79835497119882</v>
      </c>
      <c r="AR19" s="10">
        <f t="shared" si="31"/>
        <v>282.04238787177485</v>
      </c>
      <c r="AS19" s="10">
        <f t="shared" si="31"/>
        <v>276.40154011433935</v>
      </c>
      <c r="AT19" s="10">
        <f t="shared" si="31"/>
        <v>270.87350931205259</v>
      </c>
      <c r="AU19" s="10">
        <f t="shared" si="31"/>
        <v>265.45603912581151</v>
      </c>
      <c r="AV19" s="10">
        <f t="shared" si="31"/>
        <v>260.14691834329528</v>
      </c>
      <c r="AW19" s="10">
        <f t="shared" si="31"/>
        <v>254.94397997642938</v>
      </c>
      <c r="AX19" s="10">
        <f t="shared" si="31"/>
        <v>249.84510037690077</v>
      </c>
      <c r="AY19" s="10">
        <f t="shared" si="31"/>
        <v>244.84819836936276</v>
      </c>
      <c r="AZ19" s="10">
        <f t="shared" si="31"/>
        <v>239.95123440197551</v>
      </c>
      <c r="BA19" s="10">
        <f t="shared" si="31"/>
        <v>235.152209713936</v>
      </c>
      <c r="BB19" s="10">
        <f t="shared" si="31"/>
        <v>230.44916551965727</v>
      </c>
      <c r="BC19" s="10">
        <f t="shared" si="31"/>
        <v>225.84018220926413</v>
      </c>
      <c r="BD19" s="10">
        <f t="shared" si="31"/>
        <v>221.32337856507885</v>
      </c>
      <c r="BE19" s="10">
        <f t="shared" si="31"/>
        <v>216.89691099377728</v>
      </c>
      <c r="BF19" s="10">
        <f t="shared" si="31"/>
        <v>212.55897277390173</v>
      </c>
      <c r="BG19" s="10">
        <f t="shared" si="31"/>
        <v>208.30779331842368</v>
      </c>
      <c r="BH19" s="10">
        <f t="shared" si="31"/>
        <v>204.14163745205519</v>
      </c>
      <c r="BI19" s="10">
        <f t="shared" si="31"/>
        <v>200.05880470301409</v>
      </c>
      <c r="BJ19" s="10">
        <f t="shared" si="31"/>
        <v>196.05762860895379</v>
      </c>
      <c r="BK19" s="10">
        <f t="shared" si="31"/>
        <v>192.13647603677472</v>
      </c>
      <c r="BL19" s="10">
        <f t="shared" si="31"/>
        <v>188.29374651603922</v>
      </c>
      <c r="BM19" s="10">
        <f t="shared" si="31"/>
        <v>184.52787158571843</v>
      </c>
      <c r="BN19" s="10">
        <f t="shared" si="31"/>
        <v>180.83731415400405</v>
      </c>
      <c r="BO19" s="10">
        <f t="shared" si="31"/>
        <v>177.22056787092396</v>
      </c>
      <c r="BP19" s="10">
        <f t="shared" si="31"/>
        <v>173.67615651350548</v>
      </c>
      <c r="BQ19" s="10">
        <f t="shared" si="31"/>
        <v>170.20263338323537</v>
      </c>
      <c r="BR19" s="10">
        <f t="shared" si="31"/>
        <v>166.79858071557067</v>
      </c>
      <c r="BS19" s="10">
        <f t="shared" si="31"/>
        <v>163.46260910125926</v>
      </c>
      <c r="BT19" s="10">
        <f t="shared" si="31"/>
        <v>160.19335691923408</v>
      </c>
      <c r="BU19" s="10">
        <f t="shared" si="31"/>
        <v>156.9894897808494</v>
      </c>
      <c r="BV19" s="10">
        <f t="shared" si="31"/>
        <v>153.84969998523241</v>
      </c>
      <c r="BW19" s="10">
        <f t="shared" si="31"/>
        <v>150.77270598552775</v>
      </c>
      <c r="BX19" s="10">
        <f t="shared" si="31"/>
        <v>147.75725186581718</v>
      </c>
      <c r="BY19" s="10">
        <f t="shared" si="31"/>
        <v>144.80210682850083</v>
      </c>
      <c r="BZ19" s="10">
        <f t="shared" si="31"/>
        <v>141.90606469193079</v>
      </c>
      <c r="CA19" s="10">
        <f t="shared" si="31"/>
        <v>139.06794339809218</v>
      </c>
      <c r="CB19" s="10">
        <f t="shared" si="31"/>
        <v>136.28658453013034</v>
      </c>
      <c r="CC19" s="10">
        <f t="shared" si="31"/>
        <v>133.56085283952774</v>
      </c>
      <c r="CD19" s="10">
        <f t="shared" si="31"/>
        <v>130.88963578273717</v>
      </c>
      <c r="CE19" s="10">
        <f t="shared" si="31"/>
        <v>128.27184306708241</v>
      </c>
      <c r="CF19" s="10">
        <f t="shared" si="31"/>
        <v>125.70640620574076</v>
      </c>
      <c r="CG19" s="10">
        <f t="shared" si="31"/>
        <v>123.19227808162594</v>
      </c>
      <c r="CH19" s="10">
        <f t="shared" si="31"/>
        <v>120.72843251999342</v>
      </c>
      <c r="CI19" s="10">
        <f t="shared" si="31"/>
        <v>118.31386386959355</v>
      </c>
      <c r="CJ19" s="10">
        <f t="shared" si="31"/>
        <v>115.94758659220167</v>
      </c>
      <c r="CK19" s="10">
        <f t="shared" si="31"/>
        <v>113.62863486035764</v>
      </c>
      <c r="CL19" s="10">
        <f t="shared" si="31"/>
        <v>111.35606216315048</v>
      </c>
      <c r="CM19" s="10">
        <f t="shared" si="31"/>
        <v>109.12894091988747</v>
      </c>
      <c r="CN19" s="10">
        <f t="shared" si="31"/>
        <v>106.94636210148971</v>
      </c>
      <c r="CO19" s="10">
        <f t="shared" si="31"/>
        <v>104.80743485945992</v>
      </c>
      <c r="CP19" s="10">
        <f t="shared" si="31"/>
        <v>102.71128616227071</v>
      </c>
      <c r="CQ19" s="10">
        <f t="shared" si="31"/>
        <v>100.6570604390253</v>
      </c>
      <c r="CR19" s="10">
        <f t="shared" si="31"/>
        <v>98.643919230244791</v>
      </c>
      <c r="CS19" s="10">
        <f t="shared" si="31"/>
        <v>96.671040845639894</v>
      </c>
      <c r="CT19" s="10">
        <f t="shared" si="31"/>
        <v>94.737620028727093</v>
      </c>
      <c r="CU19" s="10">
        <f t="shared" ref="CU19:FF19" si="32">CT19*(1+$AJ$23)</f>
        <v>92.842867628152547</v>
      </c>
      <c r="CV19" s="10">
        <f t="shared" si="32"/>
        <v>90.986010275589493</v>
      </c>
      <c r="CW19" s="10">
        <f t="shared" si="32"/>
        <v>89.166290070077707</v>
      </c>
      <c r="CX19" s="10">
        <f t="shared" si="32"/>
        <v>87.382964268676147</v>
      </c>
      <c r="CY19" s="10">
        <f t="shared" si="32"/>
        <v>85.635304983302618</v>
      </c>
      <c r="CZ19" s="10">
        <f t="shared" si="32"/>
        <v>83.922598883636567</v>
      </c>
      <c r="DA19" s="10">
        <f t="shared" si="32"/>
        <v>82.244146905963831</v>
      </c>
      <c r="DB19" s="10">
        <f t="shared" si="32"/>
        <v>80.59926396784455</v>
      </c>
      <c r="DC19" s="10">
        <f t="shared" si="32"/>
        <v>78.987278688487663</v>
      </c>
      <c r="DD19" s="10">
        <f t="shared" si="32"/>
        <v>77.407533114717907</v>
      </c>
      <c r="DE19" s="10">
        <f t="shared" si="32"/>
        <v>75.859382452423546</v>
      </c>
      <c r="DF19" s="10">
        <f t="shared" si="32"/>
        <v>74.342194803375079</v>
      </c>
      <c r="DG19" s="10">
        <f t="shared" si="32"/>
        <v>72.855350907307582</v>
      </c>
      <c r="DH19" s="10">
        <f t="shared" si="32"/>
        <v>71.398243889161435</v>
      </c>
      <c r="DI19" s="10">
        <f t="shared" si="32"/>
        <v>69.97027901137821</v>
      </c>
      <c r="DJ19" s="10">
        <f t="shared" si="32"/>
        <v>68.570873431150645</v>
      </c>
      <c r="DK19" s="10">
        <f t="shared" si="32"/>
        <v>67.199455962527637</v>
      </c>
      <c r="DL19" s="10">
        <f t="shared" si="32"/>
        <v>65.855466843277085</v>
      </c>
      <c r="DM19" s="10">
        <f t="shared" si="32"/>
        <v>64.538357506411543</v>
      </c>
      <c r="DN19" s="10">
        <f t="shared" si="32"/>
        <v>63.247590356283311</v>
      </c>
      <c r="DO19" s="10">
        <f t="shared" si="32"/>
        <v>61.982638549157642</v>
      </c>
      <c r="DP19" s="10">
        <f t="shared" si="32"/>
        <v>60.742985778174486</v>
      </c>
      <c r="DQ19" s="10">
        <f t="shared" si="32"/>
        <v>59.528126062610994</v>
      </c>
      <c r="DR19" s="10">
        <f t="shared" si="32"/>
        <v>58.337563541358776</v>
      </c>
      <c r="DS19" s="10">
        <f t="shared" si="32"/>
        <v>57.170812270531599</v>
      </c>
      <c r="DT19" s="10">
        <f t="shared" si="32"/>
        <v>56.027396025120964</v>
      </c>
      <c r="DU19" s="10">
        <f t="shared" si="32"/>
        <v>54.906848104618547</v>
      </c>
      <c r="DV19" s="10">
        <f t="shared" si="32"/>
        <v>53.808711142526178</v>
      </c>
      <c r="DW19" s="10">
        <f t="shared" si="32"/>
        <v>52.732536919675653</v>
      </c>
      <c r="DX19" s="10">
        <f t="shared" si="32"/>
        <v>51.67788618128214</v>
      </c>
      <c r="DY19" s="10">
        <f t="shared" si="32"/>
        <v>50.644328457656499</v>
      </c>
      <c r="DZ19" s="10">
        <f t="shared" si="32"/>
        <v>49.631441888503367</v>
      </c>
      <c r="EA19" s="10">
        <f t="shared" si="32"/>
        <v>48.638813050733297</v>
      </c>
      <c r="EB19" s="10">
        <f t="shared" si="32"/>
        <v>47.666036789718632</v>
      </c>
      <c r="EC19" s="10">
        <f t="shared" si="32"/>
        <v>46.712716053924261</v>
      </c>
      <c r="ED19" s="10">
        <f t="shared" si="32"/>
        <v>45.778461732845777</v>
      </c>
      <c r="EE19" s="10">
        <f t="shared" si="32"/>
        <v>44.862892498188863</v>
      </c>
      <c r="EF19" s="10">
        <f t="shared" si="32"/>
        <v>43.965634648225084</v>
      </c>
      <c r="EG19" s="10">
        <f t="shared" si="32"/>
        <v>43.08632195526058</v>
      </c>
      <c r="EH19" s="10">
        <f t="shared" si="32"/>
        <v>42.224595516155368</v>
      </c>
      <c r="EI19" s="10">
        <f t="shared" si="32"/>
        <v>41.380103605832261</v>
      </c>
      <c r="EJ19" s="10">
        <f t="shared" si="32"/>
        <v>40.552501533715613</v>
      </c>
      <c r="EK19" s="10">
        <f t="shared" si="32"/>
        <v>39.741451503041297</v>
      </c>
      <c r="EL19" s="10">
        <f t="shared" si="32"/>
        <v>38.946622472980472</v>
      </c>
      <c r="EM19" s="10">
        <f t="shared" si="32"/>
        <v>38.167690023520862</v>
      </c>
      <c r="EN19" s="10">
        <f t="shared" si="32"/>
        <v>37.404336223050443</v>
      </c>
      <c r="EO19" s="10">
        <f t="shared" si="32"/>
        <v>36.656249498589432</v>
      </c>
      <c r="EP19" s="10">
        <f t="shared" si="32"/>
        <v>35.92312450861764</v>
      </c>
      <c r="EQ19" s="10">
        <f t="shared" si="32"/>
        <v>35.204662018445283</v>
      </c>
      <c r="ER19" s="10">
        <f t="shared" si="32"/>
        <v>34.500568778076378</v>
      </c>
      <c r="ES19" s="10">
        <f t="shared" si="32"/>
        <v>33.810557402514853</v>
      </c>
      <c r="ET19" s="10">
        <f t="shared" si="32"/>
        <v>33.134346254464553</v>
      </c>
      <c r="EU19" s="10">
        <f t="shared" si="32"/>
        <v>32.471659329375264</v>
      </c>
      <c r="EV19" s="10">
        <f t="shared" si="32"/>
        <v>31.822226142787759</v>
      </c>
      <c r="EW19" s="10">
        <f t="shared" si="32"/>
        <v>31.185781619932005</v>
      </c>
      <c r="EX19" s="10">
        <f t="shared" si="32"/>
        <v>30.562065987533366</v>
      </c>
      <c r="EY19" s="10">
        <f t="shared" si="32"/>
        <v>29.950824667782697</v>
      </c>
      <c r="EZ19" s="10">
        <f t="shared" si="32"/>
        <v>29.351808174427042</v>
      </c>
      <c r="FA19" s="10">
        <f t="shared" si="32"/>
        <v>28.764772010938501</v>
      </c>
      <c r="FB19" s="10">
        <f t="shared" si="32"/>
        <v>28.18947657071973</v>
      </c>
      <c r="FC19" s="10">
        <f t="shared" si="32"/>
        <v>27.625687039305333</v>
      </c>
      <c r="FD19" s="10">
        <f t="shared" si="32"/>
        <v>27.073173298519226</v>
      </c>
      <c r="FE19" s="10">
        <f t="shared" si="32"/>
        <v>26.531709832548842</v>
      </c>
      <c r="FF19" s="10">
        <f t="shared" si="32"/>
        <v>26.001075635897866</v>
      </c>
      <c r="FG19" s="10">
        <f t="shared" ref="FG19:FS19" si="33">FF19*(1+$AJ$23)</f>
        <v>25.481054123179909</v>
      </c>
      <c r="FH19" s="10">
        <f t="shared" si="33"/>
        <v>24.97143304071631</v>
      </c>
      <c r="FI19" s="10">
        <f t="shared" si="33"/>
        <v>24.472004379901982</v>
      </c>
      <c r="FJ19" s="10">
        <f t="shared" si="33"/>
        <v>23.982564292303941</v>
      </c>
      <c r="FK19" s="10">
        <f t="shared" si="33"/>
        <v>23.502913006457863</v>
      </c>
      <c r="FL19" s="10">
        <f t="shared" si="33"/>
        <v>23.032854746328706</v>
      </c>
      <c r="FM19" s="10">
        <f t="shared" si="33"/>
        <v>22.572197651402131</v>
      </c>
      <c r="FN19" s="10">
        <f t="shared" si="33"/>
        <v>22.120753698374088</v>
      </c>
      <c r="FO19" s="10">
        <f t="shared" si="33"/>
        <v>21.678338624406607</v>
      </c>
      <c r="FP19" s="10">
        <f t="shared" si="33"/>
        <v>21.244771851918475</v>
      </c>
      <c r="FQ19" s="10">
        <f t="shared" si="33"/>
        <v>20.819876414880106</v>
      </c>
      <c r="FR19" s="10">
        <f t="shared" si="33"/>
        <v>20.403478886582505</v>
      </c>
      <c r="FS19" s="10">
        <f t="shared" si="33"/>
        <v>19.995409308850853</v>
      </c>
    </row>
    <row r="20" spans="1:175" x14ac:dyDescent="0.3">
      <c r="B20" s="1" t="s">
        <v>34</v>
      </c>
      <c r="C20" s="3">
        <f>C19/C21</f>
        <v>8.6953317735432453E-2</v>
      </c>
      <c r="D20" s="3">
        <f>D19/D21</f>
        <v>3.076788087601489E-2</v>
      </c>
      <c r="E20" s="3">
        <f>E19/E21</f>
        <v>2.8486422995472521E-2</v>
      </c>
      <c r="G20" s="3">
        <f>G19/G21</f>
        <v>-5.5472374196014196E-2</v>
      </c>
      <c r="H20" s="3">
        <f>H19/H21</f>
        <v>0.134407543245985</v>
      </c>
      <c r="I20" s="3">
        <f>I19/I21</f>
        <v>4.9841021900614825E-2</v>
      </c>
      <c r="J20" s="3"/>
      <c r="K20" s="3">
        <f>K19/K21</f>
        <v>7.6306300131987123E-2</v>
      </c>
      <c r="L20" s="3">
        <f>L19/L21</f>
        <v>9.6364374070983069E-2</v>
      </c>
      <c r="M20" s="3">
        <f>M19/M21</f>
        <v>0.11760758061551443</v>
      </c>
      <c r="U20" s="3">
        <f>U19/U21</f>
        <v>0.10957976532499721</v>
      </c>
      <c r="V20" s="3">
        <f>V19/V21</f>
        <v>0.18355092181703095</v>
      </c>
      <c r="W20" s="3">
        <f>W19/W21</f>
        <v>0.42826560009692372</v>
      </c>
    </row>
    <row r="21" spans="1:175" x14ac:dyDescent="0.3">
      <c r="B21" s="1" t="s">
        <v>35</v>
      </c>
      <c r="C21" s="2">
        <v>155.56623200000001</v>
      </c>
      <c r="D21" s="2">
        <v>155.68182999999999</v>
      </c>
      <c r="E21" s="2">
        <v>155.86372499999999</v>
      </c>
      <c r="G21" s="2">
        <v>173.59992500000001</v>
      </c>
      <c r="H21" s="2">
        <v>173.89649</v>
      </c>
      <c r="I21" s="2">
        <v>174.11360500000001</v>
      </c>
      <c r="K21" s="2">
        <v>175.51630700000001</v>
      </c>
      <c r="L21" s="2">
        <v>175.67695699999999</v>
      </c>
      <c r="M21" s="2">
        <v>176.034571</v>
      </c>
      <c r="U21" s="2">
        <f>AVERAGE(C21:F21)</f>
        <v>155.70392899999999</v>
      </c>
      <c r="V21" s="2">
        <f>AVERAGE(G21:J21)</f>
        <v>173.87000666666668</v>
      </c>
      <c r="W21" s="2">
        <f>AVERAGE(K21:N21)</f>
        <v>175.74261166666668</v>
      </c>
    </row>
    <row r="23" spans="1:175" x14ac:dyDescent="0.3">
      <c r="B23" s="1" t="s">
        <v>36</v>
      </c>
      <c r="C23" s="4">
        <f>C11/C9</f>
        <v>0.73119687571789571</v>
      </c>
      <c r="D23" s="4">
        <f t="shared" ref="D23:N23" si="34">D11/D9</f>
        <v>0.74004940393083452</v>
      </c>
      <c r="E23" s="4">
        <f t="shared" si="34"/>
        <v>0.74296654894647041</v>
      </c>
      <c r="F23" s="4">
        <f t="shared" si="34"/>
        <v>0.7336781103286385</v>
      </c>
      <c r="G23" s="4">
        <f t="shared" si="34"/>
        <v>0.73454102384919995</v>
      </c>
      <c r="H23" s="4">
        <f t="shared" si="34"/>
        <v>0.73821053657902436</v>
      </c>
      <c r="I23" s="4">
        <f t="shared" si="34"/>
        <v>0.74034273677018991</v>
      </c>
      <c r="J23" s="4">
        <f t="shared" si="34"/>
        <v>0.73753572122187383</v>
      </c>
      <c r="K23" s="4">
        <f t="shared" si="34"/>
        <v>0.73959784989050359</v>
      </c>
      <c r="L23" s="4">
        <f t="shared" si="34"/>
        <v>0.74498755237112158</v>
      </c>
      <c r="M23" s="4">
        <f t="shared" si="34"/>
        <v>0.74346487545479978</v>
      </c>
      <c r="N23" s="4">
        <f t="shared" si="34"/>
        <v>0.74</v>
      </c>
      <c r="U23" s="4">
        <f t="shared" ref="U23:V23" si="35">U11/U9</f>
        <v>0.73704586826654361</v>
      </c>
      <c r="V23" s="4">
        <f t="shared" si="35"/>
        <v>0.73781147594641328</v>
      </c>
      <c r="W23" s="4">
        <f>W11/W9</f>
        <v>0.74203323507892838</v>
      </c>
      <c r="X23" s="4">
        <f>X11/X9</f>
        <v>0.7400000000000001</v>
      </c>
      <c r="Y23" s="4">
        <f t="shared" ref="Y23:AG23" si="36">Y11/Y9</f>
        <v>0.73999999999999988</v>
      </c>
      <c r="Z23" s="4">
        <f t="shared" si="36"/>
        <v>0.74</v>
      </c>
      <c r="AA23" s="4">
        <f t="shared" si="36"/>
        <v>0.74</v>
      </c>
      <c r="AB23" s="4">
        <f t="shared" si="36"/>
        <v>0.74</v>
      </c>
      <c r="AC23" s="4">
        <f t="shared" si="36"/>
        <v>0.73999999999999988</v>
      </c>
      <c r="AD23" s="4">
        <f t="shared" si="36"/>
        <v>0.73999999999999988</v>
      </c>
      <c r="AE23" s="4">
        <f t="shared" si="36"/>
        <v>0.74</v>
      </c>
      <c r="AF23" s="4">
        <f t="shared" si="36"/>
        <v>0.74</v>
      </c>
      <c r="AG23" s="4">
        <f t="shared" si="36"/>
        <v>0.74</v>
      </c>
      <c r="AI23" s="2" t="s">
        <v>51</v>
      </c>
      <c r="AJ23" s="4">
        <v>-0.02</v>
      </c>
    </row>
    <row r="24" spans="1:175" x14ac:dyDescent="0.3">
      <c r="B24" s="1" t="s">
        <v>37</v>
      </c>
      <c r="C24" s="4">
        <f>C12/C9</f>
        <v>0.23841029175281414</v>
      </c>
      <c r="D24" s="4">
        <f t="shared" ref="D24:N24" si="37">D12/D9</f>
        <v>0.4990656213081302</v>
      </c>
      <c r="E24" s="4">
        <f t="shared" si="37"/>
        <v>0.40325780722987181</v>
      </c>
      <c r="F24" s="4">
        <f t="shared" si="37"/>
        <v>0.39168867370892019</v>
      </c>
      <c r="G24" s="4">
        <f t="shared" si="37"/>
        <v>0.3394613771972263</v>
      </c>
      <c r="H24" s="4">
        <f t="shared" si="37"/>
        <v>0.27881959114693361</v>
      </c>
      <c r="I24" s="4">
        <f t="shared" si="37"/>
        <v>0.23371004013777794</v>
      </c>
      <c r="J24" s="4">
        <f t="shared" si="37"/>
        <v>0.38695447104846986</v>
      </c>
      <c r="K24" s="4">
        <f t="shared" si="37"/>
        <v>0.35316212091047849</v>
      </c>
      <c r="L24" s="4">
        <f t="shared" si="37"/>
        <v>0.30119618677515331</v>
      </c>
      <c r="M24" s="4">
        <f t="shared" si="37"/>
        <v>0.27960817240414215</v>
      </c>
      <c r="N24" s="4">
        <f t="shared" si="37"/>
        <v>0.27086624006438342</v>
      </c>
      <c r="U24" s="4">
        <f t="shared" ref="U24:V24" si="38">U12/U9</f>
        <v>0.3860985052431864</v>
      </c>
      <c r="V24" s="4">
        <f t="shared" si="38"/>
        <v>0.30966417781132194</v>
      </c>
      <c r="W24" s="4">
        <f>W12/W9</f>
        <v>0.29880215240949282</v>
      </c>
      <c r="X24" s="4">
        <f>X12/X9</f>
        <v>0.25297990423760142</v>
      </c>
      <c r="Y24" s="4">
        <f t="shared" ref="Y24:AG24" si="39">Y12/Y9</f>
        <v>0.28000000000000003</v>
      </c>
      <c r="Z24" s="4">
        <f t="shared" si="39"/>
        <v>0.26</v>
      </c>
      <c r="AA24" s="4">
        <f t="shared" si="39"/>
        <v>0.25</v>
      </c>
      <c r="AB24" s="4">
        <f t="shared" si="39"/>
        <v>0.25</v>
      </c>
      <c r="AC24" s="4">
        <f t="shared" si="39"/>
        <v>0.25</v>
      </c>
      <c r="AD24" s="4">
        <f t="shared" si="39"/>
        <v>0.25</v>
      </c>
      <c r="AE24" s="4">
        <f t="shared" si="39"/>
        <v>0.25</v>
      </c>
      <c r="AF24" s="4">
        <f t="shared" si="39"/>
        <v>0.25</v>
      </c>
      <c r="AG24" s="4">
        <f t="shared" si="39"/>
        <v>0.25</v>
      </c>
      <c r="AI24" s="2" t="s">
        <v>52</v>
      </c>
      <c r="AJ24" s="4">
        <v>0.01</v>
      </c>
    </row>
    <row r="25" spans="1:175" x14ac:dyDescent="0.3">
      <c r="B25" s="1" t="s">
        <v>38</v>
      </c>
      <c r="C25" s="4">
        <f>C13/C9</f>
        <v>8.3781300252699281E-2</v>
      </c>
      <c r="D25" s="4">
        <f t="shared" ref="D25:N25" si="40">D13/D9</f>
        <v>8.9678874449575771E-2</v>
      </c>
      <c r="E25" s="4">
        <f t="shared" si="40"/>
        <v>8.2516566802904645E-2</v>
      </c>
      <c r="F25" s="4">
        <f t="shared" si="40"/>
        <v>0.10854973591549295</v>
      </c>
      <c r="G25" s="4">
        <f t="shared" si="40"/>
        <v>9.8657922557293637E-2</v>
      </c>
      <c r="H25" s="4">
        <f t="shared" si="40"/>
        <v>0.10075075563066724</v>
      </c>
      <c r="I25" s="4">
        <f t="shared" si="40"/>
        <v>0.18887528822340516</v>
      </c>
      <c r="J25" s="4">
        <f t="shared" si="40"/>
        <v>6.0358460727464418E-2</v>
      </c>
      <c r="K25" s="4">
        <f t="shared" si="40"/>
        <v>7.6196164310836811E-2</v>
      </c>
      <c r="L25" s="4">
        <f t="shared" si="40"/>
        <v>9.4164794462323148E-2</v>
      </c>
      <c r="M25" s="4">
        <f t="shared" si="40"/>
        <v>9.8583823117828137E-2</v>
      </c>
      <c r="N25" s="4">
        <f t="shared" si="40"/>
        <v>8.6677196820602695E-2</v>
      </c>
      <c r="U25" s="4">
        <f t="shared" ref="U25:V25" si="41">U13/U9</f>
        <v>9.1787811194010707E-2</v>
      </c>
      <c r="V25" s="4">
        <f t="shared" si="41"/>
        <v>0.11293036724414786</v>
      </c>
      <c r="W25" s="4">
        <f>W13/W9</f>
        <v>8.9301429376153166E-2</v>
      </c>
      <c r="X25" s="4">
        <f>X13/X9</f>
        <v>9.1554632009798603E-2</v>
      </c>
      <c r="Y25" s="4">
        <f t="shared" ref="Y25:AG25" si="42">Y13/Y9</f>
        <v>0.1</v>
      </c>
      <c r="Z25" s="4">
        <f t="shared" si="42"/>
        <v>0.1</v>
      </c>
      <c r="AA25" s="4">
        <f t="shared" si="42"/>
        <v>0.10000000000000002</v>
      </c>
      <c r="AB25" s="4">
        <f t="shared" si="42"/>
        <v>0.1</v>
      </c>
      <c r="AC25" s="4">
        <f t="shared" si="42"/>
        <v>0.1</v>
      </c>
      <c r="AD25" s="4">
        <f t="shared" si="42"/>
        <v>0.1</v>
      </c>
      <c r="AE25" s="4">
        <f t="shared" si="42"/>
        <v>0.1</v>
      </c>
      <c r="AF25" s="4">
        <f t="shared" si="42"/>
        <v>0.1</v>
      </c>
      <c r="AG25" s="4">
        <f t="shared" si="42"/>
        <v>0.1</v>
      </c>
      <c r="AI25" s="2" t="s">
        <v>53</v>
      </c>
      <c r="AJ25" s="4">
        <v>0.08</v>
      </c>
    </row>
    <row r="26" spans="1:175" x14ac:dyDescent="0.3">
      <c r="B26" s="1" t="s">
        <v>39</v>
      </c>
      <c r="C26" s="4">
        <f>C18/C17</f>
        <v>8.4776725304465478E-2</v>
      </c>
      <c r="D26" s="4">
        <f t="shared" ref="D26:N26" si="43">D18/D17</f>
        <v>-0.26385224274406327</v>
      </c>
      <c r="E26" s="4">
        <f t="shared" si="43"/>
        <v>0.43896891584533715</v>
      </c>
      <c r="F26" s="4">
        <f t="shared" si="43"/>
        <v>0.44606555782511437</v>
      </c>
      <c r="G26" s="4">
        <f t="shared" si="43"/>
        <v>2.6397071343436065</v>
      </c>
      <c r="H26" s="4">
        <f t="shared" si="43"/>
        <v>-1.5072945719802622</v>
      </c>
      <c r="I26" s="4">
        <f t="shared" si="43"/>
        <v>0.12783919597989951</v>
      </c>
      <c r="J26" s="4">
        <f t="shared" si="43"/>
        <v>0.12036693847294291</v>
      </c>
      <c r="K26" s="4">
        <f t="shared" si="43"/>
        <v>0.16673925216201091</v>
      </c>
      <c r="L26" s="4">
        <f t="shared" si="43"/>
        <v>0.22677445875582344</v>
      </c>
      <c r="M26" s="4">
        <f t="shared" si="43"/>
        <v>0.21269394584727716</v>
      </c>
      <c r="N26" s="4">
        <f t="shared" si="43"/>
        <v>0.2</v>
      </c>
      <c r="U26" s="4">
        <f t="shared" ref="U26:V26" si="44">U18/U17</f>
        <v>-5.3014873788804463E-2</v>
      </c>
      <c r="V26" s="4">
        <f t="shared" si="44"/>
        <v>0.11194590533433513</v>
      </c>
      <c r="W26" s="4">
        <f>W18/W17</f>
        <v>0.20407561594489915</v>
      </c>
      <c r="X26" s="4">
        <f>X18/X17</f>
        <v>0.19999999999999998</v>
      </c>
      <c r="Y26" s="4">
        <f t="shared" ref="Y26:AG26" si="45">Y18/Y17</f>
        <v>0.19999999999999998</v>
      </c>
      <c r="Z26" s="4">
        <f t="shared" si="45"/>
        <v>0.2</v>
      </c>
      <c r="AA26" s="4">
        <f t="shared" si="45"/>
        <v>0.2</v>
      </c>
      <c r="AB26" s="4">
        <f t="shared" si="45"/>
        <v>0.2</v>
      </c>
      <c r="AC26" s="4">
        <f t="shared" si="45"/>
        <v>0.2</v>
      </c>
      <c r="AD26" s="4">
        <f t="shared" si="45"/>
        <v>0.19999999999999998</v>
      </c>
      <c r="AE26" s="4">
        <f t="shared" si="45"/>
        <v>0.19999999999999998</v>
      </c>
      <c r="AF26" s="4">
        <f t="shared" si="45"/>
        <v>0.2</v>
      </c>
      <c r="AG26" s="4">
        <f t="shared" si="45"/>
        <v>0.2</v>
      </c>
      <c r="AI26" s="2" t="s">
        <v>54</v>
      </c>
      <c r="AJ26" s="2">
        <f>NPV(AJ25,X19:FS19)</f>
        <v>3099.57098862466</v>
      </c>
    </row>
    <row r="27" spans="1:175" x14ac:dyDescent="0.3">
      <c r="AI27" s="2" t="s">
        <v>56</v>
      </c>
      <c r="AJ27" s="3">
        <f>AJ26/Main!L6</f>
        <v>17.550133210215471</v>
      </c>
    </row>
    <row r="28" spans="1:175" x14ac:dyDescent="0.3">
      <c r="B28" s="1" t="s">
        <v>45</v>
      </c>
      <c r="F28" s="4"/>
      <c r="G28" s="4"/>
      <c r="H28" s="4"/>
      <c r="I28" s="4"/>
      <c r="J28" s="4">
        <f t="shared" ref="J28:L32" si="46">J4/F4-1</f>
        <v>0.10833333333333339</v>
      </c>
      <c r="K28" s="4">
        <f t="shared" si="46"/>
        <v>7.0312499999999778E-2</v>
      </c>
      <c r="L28" s="4">
        <f t="shared" si="46"/>
        <v>7.6335877862595325E-2</v>
      </c>
      <c r="M28" s="4">
        <f>M4/I4-1</f>
        <v>8.1481481481481488E-2</v>
      </c>
      <c r="N28" s="4">
        <f>N4/J4-1</f>
        <v>8.0000000000000071E-2</v>
      </c>
      <c r="O28" s="4">
        <f>O4/K4-1</f>
        <v>7.0000000000000062E-2</v>
      </c>
      <c r="P28" s="4">
        <f t="shared" ref="P28:R32" si="47">P4/L4-1</f>
        <v>6.0000000000000053E-2</v>
      </c>
      <c r="Q28" s="4">
        <f t="shared" si="47"/>
        <v>5.0000000000000044E-2</v>
      </c>
      <c r="R28" s="4">
        <f t="shared" si="47"/>
        <v>3.0000000000000027E-2</v>
      </c>
      <c r="V28" s="4">
        <f t="shared" ref="V28:X33" si="48">V4/U4-1</f>
        <v>9.7916666666666652E-2</v>
      </c>
      <c r="W28" s="4">
        <f t="shared" si="48"/>
        <v>7.7115749525616728E-2</v>
      </c>
      <c r="X28" s="4">
        <f t="shared" si="48"/>
        <v>5.2250017616799482E-2</v>
      </c>
      <c r="AI28" s="2" t="s">
        <v>57</v>
      </c>
      <c r="AJ28" s="4">
        <f>AJ27/Main!L5-1</f>
        <v>-2.0639887822797465E-2</v>
      </c>
    </row>
    <row r="29" spans="1:175" x14ac:dyDescent="0.3">
      <c r="B29" s="1" t="s">
        <v>46</v>
      </c>
      <c r="F29" s="4"/>
      <c r="G29" s="4"/>
      <c r="H29" s="4"/>
      <c r="I29" s="4"/>
      <c r="J29" s="4">
        <f t="shared" si="46"/>
        <v>0.18010075566750627</v>
      </c>
      <c r="K29" s="4">
        <f>K5/G5-1</f>
        <v>0.15473441108545027</v>
      </c>
      <c r="L29" s="4">
        <f t="shared" si="46"/>
        <v>0.18406889128094739</v>
      </c>
      <c r="M29" s="4">
        <f>M5/I5-1</f>
        <v>0.15384615384615397</v>
      </c>
      <c r="N29" s="4">
        <f t="shared" ref="M29:N32" si="49">N5/J5-1</f>
        <v>0.19530416221985059</v>
      </c>
      <c r="O29" s="4">
        <f t="shared" ref="O29:O33" si="50">O5/K5-1</f>
        <v>0.17999999999999994</v>
      </c>
      <c r="P29" s="4">
        <f t="shared" si="47"/>
        <v>0.13636363636363624</v>
      </c>
      <c r="Q29" s="4">
        <f t="shared" si="47"/>
        <v>0.15315315315315314</v>
      </c>
      <c r="R29" s="4">
        <f t="shared" si="47"/>
        <v>0.16071428571428559</v>
      </c>
      <c r="V29" s="4">
        <f t="shared" si="48"/>
        <v>0.16898734177215191</v>
      </c>
      <c r="W29" s="4">
        <f t="shared" si="48"/>
        <v>0.17217108825121819</v>
      </c>
      <c r="X29" s="4">
        <f t="shared" si="48"/>
        <v>0.15704387990762125</v>
      </c>
      <c r="Y29" s="4">
        <f t="shared" ref="Y29:AG29" si="51">Y5/X5-1</f>
        <v>0.14999999999999991</v>
      </c>
      <c r="Z29" s="4">
        <f t="shared" si="51"/>
        <v>0.12999999999999989</v>
      </c>
      <c r="AA29" s="4">
        <f t="shared" si="51"/>
        <v>7.518706334925418E-2</v>
      </c>
      <c r="AB29" s="4">
        <f t="shared" si="51"/>
        <v>8.0000000000000071E-2</v>
      </c>
      <c r="AC29" s="4">
        <f t="shared" si="51"/>
        <v>8.0000000000000071E-2</v>
      </c>
      <c r="AD29" s="4">
        <f t="shared" si="51"/>
        <v>7.7797374093670379E-2</v>
      </c>
      <c r="AE29" s="4">
        <f t="shared" si="51"/>
        <v>4.5454545454545192E-2</v>
      </c>
      <c r="AF29" s="4">
        <f t="shared" si="51"/>
        <v>4.3478260869565188E-2</v>
      </c>
      <c r="AG29" s="4">
        <f t="shared" si="51"/>
        <v>4.1666666666666741E-2</v>
      </c>
    </row>
    <row r="30" spans="1:175" x14ac:dyDescent="0.3">
      <c r="B30" s="1" t="s">
        <v>47</v>
      </c>
      <c r="F30" s="4"/>
      <c r="G30" s="4"/>
      <c r="H30" s="4"/>
      <c r="I30" s="4"/>
      <c r="J30" s="4">
        <f t="shared" si="46"/>
        <v>0.37777777777777777</v>
      </c>
      <c r="K30" s="4">
        <f t="shared" si="46"/>
        <v>0.33056133056133041</v>
      </c>
      <c r="L30" s="4">
        <f t="shared" si="46"/>
        <v>0.3157894736842104</v>
      </c>
      <c r="M30" s="4">
        <f t="shared" si="49"/>
        <v>0.25</v>
      </c>
      <c r="N30" s="4">
        <f t="shared" si="49"/>
        <v>0.27897545357524045</v>
      </c>
      <c r="O30" s="4">
        <f t="shared" si="50"/>
        <v>0.25079999999999991</v>
      </c>
      <c r="P30" s="4">
        <f t="shared" si="47"/>
        <v>0.20454545454545436</v>
      </c>
      <c r="Q30" s="4">
        <f t="shared" si="47"/>
        <v>0.22234234234234251</v>
      </c>
      <c r="R30" s="4">
        <f t="shared" si="47"/>
        <v>0.23035714285714293</v>
      </c>
      <c r="V30" s="4">
        <f t="shared" si="48"/>
        <v>0.28514285714285714</v>
      </c>
      <c r="W30" s="4">
        <f t="shared" si="48"/>
        <v>0.29078024954052872</v>
      </c>
      <c r="X30" s="4">
        <f t="shared" si="48"/>
        <v>0.22651412357033163</v>
      </c>
      <c r="Y30" s="4">
        <f t="shared" ref="Y30:AG30" si="52">Y6/X6-1</f>
        <v>0.24200000000000021</v>
      </c>
      <c r="Z30" s="4">
        <f t="shared" si="52"/>
        <v>0.19779999999999975</v>
      </c>
      <c r="AA30" s="4">
        <f t="shared" si="52"/>
        <v>9.6690804616239134E-2</v>
      </c>
      <c r="AB30" s="4">
        <f t="shared" si="52"/>
        <v>0.11240000000000006</v>
      </c>
      <c r="AC30" s="4">
        <f t="shared" si="52"/>
        <v>0.11240000000000006</v>
      </c>
      <c r="AD30" s="4">
        <f t="shared" si="52"/>
        <v>0.11013129531648058</v>
      </c>
      <c r="AE30" s="4">
        <f t="shared" si="52"/>
        <v>7.6818181818181674E-2</v>
      </c>
      <c r="AF30" s="4">
        <f t="shared" si="52"/>
        <v>7.4782608695652231E-2</v>
      </c>
      <c r="AG30" s="4">
        <f t="shared" si="52"/>
        <v>7.2916666666666741E-2</v>
      </c>
    </row>
    <row r="31" spans="1:175" x14ac:dyDescent="0.3">
      <c r="B31" s="1" t="s">
        <v>48</v>
      </c>
      <c r="F31" s="4"/>
      <c r="G31" s="4"/>
      <c r="H31" s="4"/>
      <c r="I31" s="4"/>
      <c r="J31" s="4">
        <f t="shared" si="46"/>
        <v>0.16750859717775413</v>
      </c>
      <c r="K31" s="4">
        <f t="shared" si="46"/>
        <v>0.1522661122661122</v>
      </c>
      <c r="L31" s="4">
        <f t="shared" si="46"/>
        <v>0.11124401913875581</v>
      </c>
      <c r="M31" s="4">
        <f t="shared" si="49"/>
        <v>8.3333333333333259E-2</v>
      </c>
      <c r="N31" s="4">
        <f t="shared" si="49"/>
        <v>7.0000000000000062E-2</v>
      </c>
      <c r="O31" s="4">
        <f t="shared" si="50"/>
        <v>6.0000000000000053E-2</v>
      </c>
      <c r="P31" s="4">
        <f t="shared" si="47"/>
        <v>6.0000000000000053E-2</v>
      </c>
      <c r="Q31" s="4">
        <f t="shared" si="47"/>
        <v>6.0000000000000053E-2</v>
      </c>
      <c r="R31" s="4">
        <f t="shared" si="47"/>
        <v>6.0000000000000053E-2</v>
      </c>
      <c r="V31" s="4">
        <f t="shared" si="48"/>
        <v>9.9364219970608847E-2</v>
      </c>
      <c r="W31" s="4">
        <f t="shared" si="48"/>
        <v>0.101187584711943</v>
      </c>
      <c r="X31" s="4">
        <f t="shared" si="48"/>
        <v>6.0041148714478298E-2</v>
      </c>
      <c r="Y31" s="4">
        <f t="shared" ref="Y31:AG31" si="53">Y7/X7-1</f>
        <v>8.0000000000000071E-2</v>
      </c>
      <c r="Z31" s="4">
        <f t="shared" si="53"/>
        <v>6.0000000000000053E-2</v>
      </c>
      <c r="AA31" s="4">
        <f t="shared" si="53"/>
        <v>2.0000000000000018E-2</v>
      </c>
      <c r="AB31" s="4">
        <f t="shared" si="53"/>
        <v>3.0000000000000027E-2</v>
      </c>
      <c r="AC31" s="4">
        <f t="shared" si="53"/>
        <v>3.0000000000000027E-2</v>
      </c>
      <c r="AD31" s="4">
        <f t="shared" si="53"/>
        <v>3.0000000000000027E-2</v>
      </c>
      <c r="AE31" s="4">
        <f t="shared" si="53"/>
        <v>3.0000000000000027E-2</v>
      </c>
      <c r="AF31" s="4">
        <f t="shared" si="53"/>
        <v>3.0000000000000027E-2</v>
      </c>
      <c r="AG31" s="4">
        <f t="shared" si="53"/>
        <v>3.0000000000000027E-2</v>
      </c>
    </row>
    <row r="32" spans="1:175" x14ac:dyDescent="0.3">
      <c r="B32" s="1" t="s">
        <v>49</v>
      </c>
      <c r="F32" s="4"/>
      <c r="G32" s="4"/>
      <c r="H32" s="4"/>
      <c r="I32" s="4"/>
      <c r="J32" s="4">
        <f>J8/F8-1</f>
        <v>0</v>
      </c>
      <c r="K32" s="4">
        <f t="shared" si="46"/>
        <v>0.4285714285714286</v>
      </c>
      <c r="L32" s="4">
        <f t="shared" si="46"/>
        <v>0.44578313253012025</v>
      </c>
      <c r="M32" s="4">
        <f t="shared" si="49"/>
        <v>0.3793103448275863</v>
      </c>
      <c r="N32" s="4">
        <f t="shared" si="49"/>
        <v>0.30000000000000004</v>
      </c>
      <c r="O32" s="4">
        <f t="shared" si="50"/>
        <v>0.27272727272727271</v>
      </c>
      <c r="P32" s="4">
        <f t="shared" si="47"/>
        <v>0.25</v>
      </c>
      <c r="Q32" s="4">
        <f t="shared" si="47"/>
        <v>0.33333333333333326</v>
      </c>
      <c r="R32" s="4">
        <f t="shared" si="47"/>
        <v>7.6923076923076872E-2</v>
      </c>
      <c r="V32" s="4">
        <f t="shared" si="48"/>
        <v>0.73369972520609439</v>
      </c>
      <c r="W32" s="4">
        <f t="shared" si="48"/>
        <v>0.38328530259365978</v>
      </c>
      <c r="X32" s="4">
        <f t="shared" si="48"/>
        <v>0.22916666666666674</v>
      </c>
      <c r="Y32" s="4">
        <f t="shared" ref="Y32:AG32" si="54">Y8/X8-1</f>
        <v>5.0000000000000044E-2</v>
      </c>
      <c r="Z32" s="4">
        <f t="shared" si="54"/>
        <v>5.0000000000000044E-2</v>
      </c>
      <c r="AA32" s="4">
        <f t="shared" si="54"/>
        <v>5.0000000000000044E-2</v>
      </c>
      <c r="AB32" s="4">
        <f t="shared" si="54"/>
        <v>5.0000000000000044E-2</v>
      </c>
      <c r="AC32" s="4">
        <f t="shared" si="54"/>
        <v>5.0000000000000044E-2</v>
      </c>
      <c r="AD32" s="4">
        <f t="shared" si="54"/>
        <v>5.0000000000000044E-2</v>
      </c>
      <c r="AE32" s="4">
        <f t="shared" si="54"/>
        <v>5.0000000000000044E-2</v>
      </c>
      <c r="AF32" s="4">
        <f t="shared" si="54"/>
        <v>5.0000000000000044E-2</v>
      </c>
      <c r="AG32" s="4">
        <f t="shared" si="54"/>
        <v>5.0000000000000044E-2</v>
      </c>
    </row>
    <row r="33" spans="1:33" x14ac:dyDescent="0.3">
      <c r="B33" s="1" t="s">
        <v>50</v>
      </c>
      <c r="F33" s="4"/>
      <c r="G33" s="4">
        <f t="shared" ref="G33:L33" si="55">G9/C9-1</f>
        <v>0.28208132322536184</v>
      </c>
      <c r="H33" s="4">
        <f t="shared" si="55"/>
        <v>0.32183438943185472</v>
      </c>
      <c r="I33" s="4">
        <f t="shared" si="55"/>
        <v>0.39395262092774086</v>
      </c>
      <c r="J33" s="4">
        <f t="shared" si="55"/>
        <v>0.32199970657276999</v>
      </c>
      <c r="K33" s="4">
        <f t="shared" si="55"/>
        <v>0.35005106703219924</v>
      </c>
      <c r="L33" s="4">
        <f t="shared" si="55"/>
        <v>0.33811628587214404</v>
      </c>
      <c r="M33" s="4">
        <f>M9/I9-1</f>
        <v>0.27138546500042704</v>
      </c>
      <c r="N33" s="4">
        <f>N9/J9-1</f>
        <v>0.28036620316933814</v>
      </c>
      <c r="O33" s="4">
        <f t="shared" si="50"/>
        <v>0.24827393987656765</v>
      </c>
      <c r="P33" s="4">
        <f t="shared" ref="P33:R33" si="56">P9/L9-1</f>
        <v>0.20612279820489188</v>
      </c>
      <c r="Q33" s="4">
        <f t="shared" si="56"/>
        <v>0.23280560157134467</v>
      </c>
      <c r="R33" s="4">
        <f t="shared" si="56"/>
        <v>0.20874588641772029</v>
      </c>
      <c r="V33" s="4">
        <f t="shared" si="48"/>
        <v>0.33164628361920845</v>
      </c>
      <c r="W33" s="4">
        <f t="shared" si="48"/>
        <v>0.30659698688697312</v>
      </c>
      <c r="X33" s="4">
        <f t="shared" si="48"/>
        <v>0.22322042489268457</v>
      </c>
      <c r="Y33" s="4">
        <f t="shared" ref="Y33:AG33" si="57">Y9/X9-1</f>
        <v>0.21470708233139479</v>
      </c>
      <c r="Z33" s="4">
        <f t="shared" si="57"/>
        <v>0.17963895201550417</v>
      </c>
      <c r="AA33" s="4">
        <f t="shared" si="57"/>
        <v>9.1584131907766153E-2</v>
      </c>
      <c r="AB33" s="4">
        <f t="shared" si="57"/>
        <v>0.10583517216251037</v>
      </c>
      <c r="AC33" s="4">
        <f t="shared" si="57"/>
        <v>0.10616663954729844</v>
      </c>
      <c r="AD33" s="4">
        <f t="shared" si="57"/>
        <v>0.10442956130560366</v>
      </c>
      <c r="AE33" s="4">
        <f t="shared" si="57"/>
        <v>7.4400567598129186E-2</v>
      </c>
      <c r="AF33" s="4">
        <f t="shared" si="57"/>
        <v>7.2599236576290194E-2</v>
      </c>
      <c r="AG33" s="4">
        <f t="shared" si="57"/>
        <v>7.0940224986406175E-2</v>
      </c>
    </row>
    <row r="35" spans="1:33" s="10" customFormat="1" x14ac:dyDescent="0.3">
      <c r="A35" s="1"/>
      <c r="B35" s="9" t="s">
        <v>55</v>
      </c>
      <c r="M35" s="10">
        <f>Main!L8-Main!L9</f>
        <v>-255.01600000000002</v>
      </c>
      <c r="N35" s="10">
        <f>M35+N19</f>
        <v>-230.7764849519744</v>
      </c>
      <c r="O35" s="10">
        <f t="shared" ref="O35:R35" si="58">N35+O19</f>
        <v>-207.09817455197441</v>
      </c>
      <c r="P35" s="10">
        <f t="shared" si="58"/>
        <v>-178.70181091561076</v>
      </c>
      <c r="Q35" s="10">
        <f t="shared" si="58"/>
        <v>-144.71055758227743</v>
      </c>
      <c r="R35" s="10">
        <f t="shared" si="58"/>
        <v>-107.46526853211734</v>
      </c>
      <c r="X35" s="10">
        <f>R35</f>
        <v>-107.46526853211734</v>
      </c>
      <c r="Y35" s="10">
        <f>X35+Y19</f>
        <v>36.875246786715536</v>
      </c>
      <c r="Z35" s="10">
        <f t="shared" ref="Z35:AG35" si="59">Y35+Z19</f>
        <v>217.96987449453837</v>
      </c>
      <c r="AA35" s="10">
        <f t="shared" si="59"/>
        <v>422.26526764096184</v>
      </c>
      <c r="AB35" s="10">
        <f t="shared" si="59"/>
        <v>649.63211100466924</v>
      </c>
      <c r="AC35" s="10">
        <f t="shared" si="59"/>
        <v>902.59801894398424</v>
      </c>
      <c r="AD35" s="10">
        <f t="shared" si="59"/>
        <v>1183.4620465672922</v>
      </c>
      <c r="AE35" s="10">
        <f t="shared" si="59"/>
        <v>1486.9321990452784</v>
      </c>
      <c r="AF35" s="10">
        <f t="shared" si="59"/>
        <v>1814.174466607898</v>
      </c>
      <c r="AG35" s="10">
        <f t="shared" si="59"/>
        <v>2166.4054459590543</v>
      </c>
    </row>
    <row r="47" spans="1:33" x14ac:dyDescent="0.3">
      <c r="F4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2024-12-29T21:20:56Z</dcterms:created>
  <dcterms:modified xsi:type="dcterms:W3CDTF">2024-12-31T20:10:01Z</dcterms:modified>
</cp:coreProperties>
</file>