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45dd68b2362293/Desktop/"/>
    </mc:Choice>
  </mc:AlternateContent>
  <xr:revisionPtr revIDLastSave="875" documentId="8_{08FEB31F-8170-4D6C-9BF5-08F21BBE52EB}" xr6:coauthVersionLast="47" xr6:coauthVersionMax="47" xr10:uidLastSave="{7B38D777-F356-4D8D-85E8-929B4D559652}"/>
  <bookViews>
    <workbookView xWindow="-110" yWindow="-110" windowWidth="38620" windowHeight="21100" activeTab="1" xr2:uid="{FC89283D-F7AB-4DE1-B0D5-D19DE0DAE280}"/>
  </bookViews>
  <sheets>
    <sheet name="Main" sheetId="1" r:id="rId1"/>
    <sheet name="Model" sheetId="2" r:id="rId2"/>
    <sheet name="E&amp;E" sheetId="3" r:id="rId3"/>
    <sheet name="MG As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R11" i="2"/>
  <c r="Q11" i="2"/>
  <c r="P11" i="2"/>
  <c r="O11" i="2"/>
  <c r="O12" i="2"/>
  <c r="R5" i="2"/>
  <c r="R10" i="2"/>
  <c r="Q10" i="2"/>
  <c r="P10" i="2"/>
  <c r="M50" i="2"/>
  <c r="N12" i="1"/>
  <c r="F7" i="3"/>
  <c r="E7" i="3"/>
  <c r="D7" i="3"/>
  <c r="C7" i="3"/>
  <c r="R13" i="2"/>
  <c r="Q13" i="2"/>
  <c r="P13" i="2"/>
  <c r="O13" i="2"/>
  <c r="J80" i="2" l="1"/>
  <c r="J65" i="2"/>
  <c r="J63" i="2"/>
  <c r="J70" i="2"/>
  <c r="J62" i="2"/>
  <c r="K80" i="2"/>
  <c r="K65" i="2"/>
  <c r="K70" i="2" s="1"/>
  <c r="K63" i="2"/>
  <c r="K62" i="2"/>
  <c r="L80" i="2"/>
  <c r="L65" i="2"/>
  <c r="L63" i="2"/>
  <c r="L62" i="2" s="1"/>
  <c r="L70" i="2"/>
  <c r="M62" i="2"/>
  <c r="M80" i="2"/>
  <c r="M70" i="2"/>
  <c r="M65" i="2"/>
  <c r="M63" i="2"/>
  <c r="Z53" i="2" l="1"/>
  <c r="Z10" i="2"/>
  <c r="AA10" i="2" s="1"/>
  <c r="AB10" i="2" s="1"/>
  <c r="AC10" i="2" s="1"/>
  <c r="AD10" i="2" s="1"/>
  <c r="AE10" i="2" s="1"/>
  <c r="AF10" i="2" s="1"/>
  <c r="AG10" i="2" s="1"/>
  <c r="AH10" i="2" s="1"/>
  <c r="Y53" i="2"/>
  <c r="Y13" i="2"/>
  <c r="Z13" i="2" s="1"/>
  <c r="AA13" i="2" s="1"/>
  <c r="AB13" i="2" s="1"/>
  <c r="AC13" i="2" s="1"/>
  <c r="AD13" i="2" s="1"/>
  <c r="AE13" i="2" s="1"/>
  <c r="AF13" i="2" s="1"/>
  <c r="AG13" i="2" s="1"/>
  <c r="AH13" i="2" s="1"/>
  <c r="Y12" i="2"/>
  <c r="Z12" i="2" s="1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Y10" i="2"/>
  <c r="Y50" i="2" s="1"/>
  <c r="Y30" i="2"/>
  <c r="Y21" i="2"/>
  <c r="Y18" i="2"/>
  <c r="Y46" i="2" s="1"/>
  <c r="Y16" i="2"/>
  <c r="Y44" i="2" s="1"/>
  <c r="O47" i="2"/>
  <c r="R19" i="2"/>
  <c r="R47" i="2" s="1"/>
  <c r="Q19" i="2"/>
  <c r="Q47" i="2" s="1"/>
  <c r="P19" i="2"/>
  <c r="P47" i="2" s="1"/>
  <c r="O19" i="2"/>
  <c r="R14" i="2"/>
  <c r="Q14" i="2"/>
  <c r="P14" i="2"/>
  <c r="O14" i="2"/>
  <c r="R59" i="2"/>
  <c r="Q59" i="2"/>
  <c r="P59" i="2"/>
  <c r="O59" i="2"/>
  <c r="R7" i="2"/>
  <c r="Q7" i="2"/>
  <c r="P7" i="2"/>
  <c r="O7" i="2"/>
  <c r="P53" i="2"/>
  <c r="R53" i="2"/>
  <c r="Q53" i="2"/>
  <c r="O53" i="2"/>
  <c r="R46" i="2"/>
  <c r="Q46" i="2"/>
  <c r="P46" i="2"/>
  <c r="R18" i="2"/>
  <c r="Q18" i="2"/>
  <c r="P18" i="2"/>
  <c r="O18" i="2"/>
  <c r="R6" i="2"/>
  <c r="Q6" i="2"/>
  <c r="R58" i="2"/>
  <c r="Q58" i="2"/>
  <c r="P58" i="2"/>
  <c r="P6" i="2"/>
  <c r="O58" i="2"/>
  <c r="O6" i="2"/>
  <c r="R52" i="2"/>
  <c r="Q52" i="2"/>
  <c r="P52" i="2"/>
  <c r="O52" i="2"/>
  <c r="R12" i="2"/>
  <c r="Q12" i="2"/>
  <c r="P12" i="2"/>
  <c r="R17" i="2"/>
  <c r="R45" i="2" s="1"/>
  <c r="Q17" i="2"/>
  <c r="Q45" i="2" s="1"/>
  <c r="P17" i="2"/>
  <c r="P45" i="2" s="1"/>
  <c r="O17" i="2"/>
  <c r="O45" i="2" s="1"/>
  <c r="Q5" i="2"/>
  <c r="P5" i="2"/>
  <c r="R57" i="2"/>
  <c r="Q57" i="2"/>
  <c r="P57" i="2"/>
  <c r="O57" i="2"/>
  <c r="O5" i="2"/>
  <c r="Q51" i="2"/>
  <c r="R51" i="2"/>
  <c r="P51" i="2"/>
  <c r="O51" i="2"/>
  <c r="O44" i="2"/>
  <c r="R16" i="2"/>
  <c r="R44" i="2" s="1"/>
  <c r="Q16" i="2"/>
  <c r="Q44" i="2" s="1"/>
  <c r="P16" i="2"/>
  <c r="P44" i="2" s="1"/>
  <c r="O16" i="2"/>
  <c r="R4" i="2"/>
  <c r="Q4" i="2"/>
  <c r="Q56" i="2" s="1"/>
  <c r="P4" i="2"/>
  <c r="P56" i="2" s="1"/>
  <c r="R56" i="2"/>
  <c r="O56" i="2"/>
  <c r="O4" i="2"/>
  <c r="R50" i="2"/>
  <c r="Q50" i="2"/>
  <c r="P50" i="2"/>
  <c r="O50" i="2"/>
  <c r="O10" i="2"/>
  <c r="W60" i="2"/>
  <c r="W59" i="2"/>
  <c r="X58" i="2"/>
  <c r="W58" i="2"/>
  <c r="X57" i="2"/>
  <c r="W57" i="2"/>
  <c r="W56" i="2"/>
  <c r="W53" i="2"/>
  <c r="W54" i="2"/>
  <c r="W52" i="2"/>
  <c r="W51" i="2"/>
  <c r="X53" i="2"/>
  <c r="X52" i="2"/>
  <c r="X51" i="2"/>
  <c r="W50" i="2"/>
  <c r="X50" i="2"/>
  <c r="W48" i="2"/>
  <c r="V48" i="2"/>
  <c r="W47" i="2"/>
  <c r="V47" i="2"/>
  <c r="W46" i="2"/>
  <c r="V46" i="2"/>
  <c r="W45" i="2"/>
  <c r="V45" i="2"/>
  <c r="X46" i="2"/>
  <c r="X45" i="2"/>
  <c r="W44" i="2"/>
  <c r="V44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X6" i="2"/>
  <c r="X5" i="2"/>
  <c r="X4" i="2"/>
  <c r="X56" i="2" s="1"/>
  <c r="W4" i="2"/>
  <c r="X13" i="2"/>
  <c r="X14" i="2" s="1"/>
  <c r="X54" i="2" s="1"/>
  <c r="X12" i="2"/>
  <c r="X11" i="2"/>
  <c r="X10" i="2"/>
  <c r="X35" i="2"/>
  <c r="X30" i="2"/>
  <c r="X21" i="2"/>
  <c r="X19" i="2"/>
  <c r="X18" i="2"/>
  <c r="X17" i="2"/>
  <c r="X16" i="2"/>
  <c r="X44" i="2" s="1"/>
  <c r="W16" i="2"/>
  <c r="N47" i="2"/>
  <c r="N46" i="2"/>
  <c r="N45" i="2"/>
  <c r="N44" i="2"/>
  <c r="N20" i="2"/>
  <c r="N14" i="2"/>
  <c r="N54" i="2" s="1"/>
  <c r="N59" i="2"/>
  <c r="N19" i="2"/>
  <c r="N7" i="2"/>
  <c r="N53" i="2"/>
  <c r="N12" i="2"/>
  <c r="N11" i="2"/>
  <c r="N6" i="2"/>
  <c r="N58" i="2"/>
  <c r="N52" i="2"/>
  <c r="N57" i="2"/>
  <c r="N17" i="2"/>
  <c r="N5" i="2"/>
  <c r="N51" i="2"/>
  <c r="N56" i="2"/>
  <c r="N16" i="2"/>
  <c r="N4" i="2"/>
  <c r="N50" i="2"/>
  <c r="L60" i="2"/>
  <c r="K60" i="2"/>
  <c r="J60" i="2"/>
  <c r="I60" i="2"/>
  <c r="H60" i="2"/>
  <c r="G60" i="2"/>
  <c r="L59" i="2"/>
  <c r="K59" i="2"/>
  <c r="J59" i="2"/>
  <c r="I59" i="2"/>
  <c r="H59" i="2"/>
  <c r="G59" i="2"/>
  <c r="L58" i="2"/>
  <c r="K58" i="2"/>
  <c r="J58" i="2"/>
  <c r="I58" i="2"/>
  <c r="H58" i="2"/>
  <c r="G58" i="2"/>
  <c r="L57" i="2"/>
  <c r="K57" i="2"/>
  <c r="J57" i="2"/>
  <c r="I57" i="2"/>
  <c r="H57" i="2"/>
  <c r="G57" i="2"/>
  <c r="L56" i="2"/>
  <c r="K56" i="2"/>
  <c r="J56" i="2"/>
  <c r="I56" i="2"/>
  <c r="H56" i="2"/>
  <c r="G56" i="2"/>
  <c r="M60" i="2"/>
  <c r="M59" i="2"/>
  <c r="M58" i="2"/>
  <c r="M57" i="2"/>
  <c r="M56" i="2"/>
  <c r="L54" i="2"/>
  <c r="K54" i="2"/>
  <c r="J54" i="2"/>
  <c r="I54" i="2"/>
  <c r="H54" i="2"/>
  <c r="G54" i="2"/>
  <c r="L53" i="2"/>
  <c r="K53" i="2"/>
  <c r="J53" i="2"/>
  <c r="I53" i="2"/>
  <c r="H53" i="2"/>
  <c r="G53" i="2"/>
  <c r="L52" i="2"/>
  <c r="K52" i="2"/>
  <c r="J52" i="2"/>
  <c r="I52" i="2"/>
  <c r="H52" i="2"/>
  <c r="G52" i="2"/>
  <c r="L51" i="2"/>
  <c r="K51" i="2"/>
  <c r="J51" i="2"/>
  <c r="I51" i="2"/>
  <c r="H51" i="2"/>
  <c r="G51" i="2"/>
  <c r="L50" i="2"/>
  <c r="K50" i="2"/>
  <c r="J50" i="2"/>
  <c r="I50" i="2"/>
  <c r="H50" i="2"/>
  <c r="G50" i="2"/>
  <c r="M54" i="2"/>
  <c r="M53" i="2"/>
  <c r="M52" i="2"/>
  <c r="M51" i="2"/>
  <c r="L48" i="2"/>
  <c r="K48" i="2"/>
  <c r="J48" i="2"/>
  <c r="I48" i="2"/>
  <c r="H48" i="2"/>
  <c r="G48" i="2"/>
  <c r="L47" i="2"/>
  <c r="K47" i="2"/>
  <c r="J47" i="2"/>
  <c r="I47" i="2"/>
  <c r="H47" i="2"/>
  <c r="G47" i="2"/>
  <c r="L46" i="2"/>
  <c r="K46" i="2"/>
  <c r="J46" i="2"/>
  <c r="I46" i="2"/>
  <c r="H46" i="2"/>
  <c r="G46" i="2"/>
  <c r="L45" i="2"/>
  <c r="K45" i="2"/>
  <c r="J45" i="2"/>
  <c r="I45" i="2"/>
  <c r="H45" i="2"/>
  <c r="G45" i="2"/>
  <c r="L44" i="2"/>
  <c r="K44" i="2"/>
  <c r="J44" i="2"/>
  <c r="I44" i="2"/>
  <c r="H44" i="2"/>
  <c r="G44" i="2"/>
  <c r="M48" i="2"/>
  <c r="M47" i="2"/>
  <c r="M46" i="2"/>
  <c r="M45" i="2"/>
  <c r="M44" i="2"/>
  <c r="N10" i="2"/>
  <c r="L42" i="2"/>
  <c r="K42" i="2"/>
  <c r="J42" i="2"/>
  <c r="I42" i="2"/>
  <c r="H42" i="2"/>
  <c r="G42" i="2"/>
  <c r="F42" i="2"/>
  <c r="E42" i="2"/>
  <c r="D42" i="2"/>
  <c r="C42" i="2"/>
  <c r="M42" i="2"/>
  <c r="L41" i="2"/>
  <c r="K41" i="2"/>
  <c r="J41" i="2"/>
  <c r="I41" i="2"/>
  <c r="H41" i="2"/>
  <c r="G41" i="2"/>
  <c r="F41" i="2"/>
  <c r="E41" i="2"/>
  <c r="D41" i="2"/>
  <c r="C41" i="2"/>
  <c r="L40" i="2"/>
  <c r="K40" i="2"/>
  <c r="J40" i="2"/>
  <c r="I40" i="2"/>
  <c r="H40" i="2"/>
  <c r="G40" i="2"/>
  <c r="F40" i="2"/>
  <c r="E40" i="2"/>
  <c r="D40" i="2"/>
  <c r="C40" i="2"/>
  <c r="L39" i="2"/>
  <c r="K39" i="2"/>
  <c r="J39" i="2"/>
  <c r="I39" i="2"/>
  <c r="H39" i="2"/>
  <c r="G39" i="2"/>
  <c r="F39" i="2"/>
  <c r="E39" i="2"/>
  <c r="D39" i="2"/>
  <c r="C39" i="2"/>
  <c r="M41" i="2"/>
  <c r="M40" i="2"/>
  <c r="M39" i="2"/>
  <c r="L38" i="2"/>
  <c r="K38" i="2"/>
  <c r="J38" i="2"/>
  <c r="I38" i="2"/>
  <c r="H38" i="2"/>
  <c r="G38" i="2"/>
  <c r="F38" i="2"/>
  <c r="E38" i="2"/>
  <c r="D38" i="2"/>
  <c r="C38" i="2"/>
  <c r="M38" i="2"/>
  <c r="U22" i="2"/>
  <c r="U20" i="2"/>
  <c r="T30" i="2"/>
  <c r="T28" i="2"/>
  <c r="T24" i="2"/>
  <c r="U30" i="2"/>
  <c r="U28" i="2"/>
  <c r="U24" i="2"/>
  <c r="V34" i="2"/>
  <c r="V8" i="2"/>
  <c r="V7" i="2"/>
  <c r="V6" i="2"/>
  <c r="V5" i="2"/>
  <c r="V4" i="2"/>
  <c r="V14" i="2"/>
  <c r="V13" i="2"/>
  <c r="V12" i="2"/>
  <c r="V11" i="2"/>
  <c r="V10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W7" i="2"/>
  <c r="W6" i="2"/>
  <c r="W5" i="2"/>
  <c r="W14" i="2"/>
  <c r="W13" i="2"/>
  <c r="W12" i="2"/>
  <c r="W11" i="2"/>
  <c r="W10" i="2"/>
  <c r="W35" i="2"/>
  <c r="W32" i="2"/>
  <c r="W30" i="2"/>
  <c r="W28" i="2"/>
  <c r="W27" i="2"/>
  <c r="W26" i="2"/>
  <c r="W25" i="2"/>
  <c r="W23" i="2"/>
  <c r="W21" i="2"/>
  <c r="W20" i="2"/>
  <c r="W8" i="2" s="1"/>
  <c r="W19" i="2"/>
  <c r="W18" i="2"/>
  <c r="W17" i="2"/>
  <c r="C30" i="2"/>
  <c r="C28" i="2"/>
  <c r="C24" i="2"/>
  <c r="D30" i="2"/>
  <c r="D28" i="2"/>
  <c r="D24" i="2"/>
  <c r="E30" i="2"/>
  <c r="E28" i="2"/>
  <c r="E24" i="2"/>
  <c r="F30" i="2"/>
  <c r="F28" i="2"/>
  <c r="F24" i="2"/>
  <c r="F29" i="2" s="1"/>
  <c r="F31" i="2" s="1"/>
  <c r="F33" i="2" s="1"/>
  <c r="J30" i="2"/>
  <c r="J28" i="2"/>
  <c r="J24" i="2"/>
  <c r="J29" i="2" s="1"/>
  <c r="G30" i="2"/>
  <c r="G28" i="2"/>
  <c r="G24" i="2"/>
  <c r="K30" i="2"/>
  <c r="K28" i="2"/>
  <c r="K24" i="2"/>
  <c r="H30" i="2"/>
  <c r="H28" i="2"/>
  <c r="H24" i="2"/>
  <c r="L30" i="2"/>
  <c r="L28" i="2"/>
  <c r="L24" i="2"/>
  <c r="I30" i="2"/>
  <c r="I28" i="2"/>
  <c r="I24" i="2"/>
  <c r="M34" i="2"/>
  <c r="M33" i="2"/>
  <c r="M31" i="2"/>
  <c r="M30" i="2"/>
  <c r="M29" i="2"/>
  <c r="M28" i="2"/>
  <c r="M24" i="2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M8" i="2"/>
  <c r="L8" i="2"/>
  <c r="K8" i="2"/>
  <c r="J8" i="2"/>
  <c r="I8" i="2"/>
  <c r="H8" i="2"/>
  <c r="G8" i="2"/>
  <c r="F8" i="2"/>
  <c r="E8" i="2"/>
  <c r="D8" i="2"/>
  <c r="C8" i="2"/>
  <c r="C7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C6" i="2"/>
  <c r="M5" i="2"/>
  <c r="L5" i="2"/>
  <c r="K5" i="2"/>
  <c r="J5" i="2"/>
  <c r="I5" i="2"/>
  <c r="H5" i="2"/>
  <c r="G5" i="2"/>
  <c r="F5" i="2"/>
  <c r="E5" i="2"/>
  <c r="D5" i="2"/>
  <c r="C5" i="2"/>
  <c r="M4" i="2"/>
  <c r="L4" i="2"/>
  <c r="K4" i="2"/>
  <c r="J4" i="2"/>
  <c r="I4" i="2"/>
  <c r="H4" i="2"/>
  <c r="G4" i="2"/>
  <c r="F4" i="2"/>
  <c r="E4" i="2"/>
  <c r="D4" i="2"/>
  <c r="C4" i="2"/>
  <c r="M14" i="2"/>
  <c r="L14" i="2"/>
  <c r="K14" i="2"/>
  <c r="J14" i="2"/>
  <c r="I14" i="2"/>
  <c r="H14" i="2"/>
  <c r="G14" i="2"/>
  <c r="F14" i="2"/>
  <c r="E14" i="2"/>
  <c r="D14" i="2"/>
  <c r="C14" i="2"/>
  <c r="M20" i="2"/>
  <c r="M22" i="2" s="1"/>
  <c r="L20" i="2"/>
  <c r="L22" i="2" s="1"/>
  <c r="K20" i="2"/>
  <c r="K22" i="2" s="1"/>
  <c r="J20" i="2"/>
  <c r="J22" i="2" s="1"/>
  <c r="I20" i="2"/>
  <c r="I22" i="2" s="1"/>
  <c r="H20" i="2"/>
  <c r="H22" i="2" s="1"/>
  <c r="G20" i="2"/>
  <c r="G22" i="2" s="1"/>
  <c r="F20" i="2"/>
  <c r="F22" i="2" s="1"/>
  <c r="E20" i="2"/>
  <c r="E22" i="2" s="1"/>
  <c r="D20" i="2"/>
  <c r="D22" i="2" s="1"/>
  <c r="C22" i="2"/>
  <c r="C20" i="2"/>
  <c r="N8" i="1"/>
  <c r="N7" i="1"/>
  <c r="N8" i="2" l="1"/>
  <c r="N60" i="2" s="1"/>
  <c r="X7" i="2"/>
  <c r="X59" i="2" s="1"/>
  <c r="Y51" i="2"/>
  <c r="Z51" i="2"/>
  <c r="O20" i="2"/>
  <c r="O8" i="2" s="1"/>
  <c r="O60" i="2" s="1"/>
  <c r="Y17" i="2"/>
  <c r="Y52" i="2"/>
  <c r="O46" i="2"/>
  <c r="AA12" i="2"/>
  <c r="Z52" i="2"/>
  <c r="Y6" i="2"/>
  <c r="Y45" i="2"/>
  <c r="Z50" i="2"/>
  <c r="Y14" i="2"/>
  <c r="Y54" i="2" s="1"/>
  <c r="AA50" i="2"/>
  <c r="Y4" i="2"/>
  <c r="AB50" i="2"/>
  <c r="P20" i="2"/>
  <c r="Q20" i="2"/>
  <c r="Y19" i="2"/>
  <c r="Y47" i="2" s="1"/>
  <c r="R20" i="2"/>
  <c r="Z14" i="2"/>
  <c r="N10" i="1"/>
  <c r="AD50" i="2"/>
  <c r="AC50" i="2"/>
  <c r="AB51" i="2"/>
  <c r="AC51" i="2"/>
  <c r="AA51" i="2"/>
  <c r="AA53" i="2"/>
  <c r="X20" i="2"/>
  <c r="X47" i="2"/>
  <c r="N48" i="2"/>
  <c r="N22" i="2"/>
  <c r="W22" i="2"/>
  <c r="W24" i="2" s="1"/>
  <c r="W29" i="2" s="1"/>
  <c r="W31" i="2" s="1"/>
  <c r="W33" i="2" s="1"/>
  <c r="W34" i="2" s="1"/>
  <c r="N18" i="2"/>
  <c r="T29" i="2"/>
  <c r="T31" i="2" s="1"/>
  <c r="T33" i="2" s="1"/>
  <c r="U29" i="2"/>
  <c r="U31" i="2" s="1"/>
  <c r="U33" i="2" s="1"/>
  <c r="C29" i="2"/>
  <c r="C31" i="2" s="1"/>
  <c r="C33" i="2" s="1"/>
  <c r="D29" i="2"/>
  <c r="D31" i="2" s="1"/>
  <c r="D33" i="2" s="1"/>
  <c r="E29" i="2"/>
  <c r="E31" i="2" s="1"/>
  <c r="E33" i="2" s="1"/>
  <c r="J31" i="2"/>
  <c r="J33" i="2" s="1"/>
  <c r="J34" i="2" s="1"/>
  <c r="G29" i="2"/>
  <c r="G31" i="2" s="1"/>
  <c r="G33" i="2" s="1"/>
  <c r="K29" i="2"/>
  <c r="K31" i="2" s="1"/>
  <c r="K33" i="2" s="1"/>
  <c r="K34" i="2" s="1"/>
  <c r="H29" i="2"/>
  <c r="H31" i="2" s="1"/>
  <c r="H33" i="2" s="1"/>
  <c r="L29" i="2"/>
  <c r="L31" i="2" s="1"/>
  <c r="L33" i="2" s="1"/>
  <c r="L34" i="2" s="1"/>
  <c r="I29" i="2"/>
  <c r="I31" i="2" s="1"/>
  <c r="I33" i="2" s="1"/>
  <c r="Y20" i="2" l="1"/>
  <c r="Y7" i="2"/>
  <c r="Z7" i="2" s="1"/>
  <c r="AA7" i="2" s="1"/>
  <c r="AB7" i="2" s="1"/>
  <c r="AC7" i="2" s="1"/>
  <c r="AD7" i="2" s="1"/>
  <c r="AE7" i="2" s="1"/>
  <c r="AF7" i="2" s="1"/>
  <c r="AG7" i="2" s="1"/>
  <c r="AH7" i="2" s="1"/>
  <c r="Y5" i="2"/>
  <c r="O22" i="2"/>
  <c r="O27" i="2" s="1"/>
  <c r="Z54" i="2"/>
  <c r="Z6" i="2"/>
  <c r="Y58" i="2"/>
  <c r="AA52" i="2"/>
  <c r="AB12" i="2"/>
  <c r="Z5" i="2"/>
  <c r="Y57" i="2"/>
  <c r="Y56" i="2"/>
  <c r="Z4" i="2"/>
  <c r="R8" i="2"/>
  <c r="R60" i="2" s="1"/>
  <c r="R22" i="2"/>
  <c r="Q8" i="2"/>
  <c r="Q60" i="2" s="1"/>
  <c r="Q22" i="2"/>
  <c r="P8" i="2"/>
  <c r="P60" i="2" s="1"/>
  <c r="P22" i="2"/>
  <c r="O26" i="2"/>
  <c r="Y59" i="2"/>
  <c r="Y48" i="2"/>
  <c r="Y8" i="2"/>
  <c r="Y22" i="2"/>
  <c r="AA14" i="2"/>
  <c r="AA54" i="2" s="1"/>
  <c r="AE50" i="2"/>
  <c r="AD51" i="2"/>
  <c r="X8" i="2"/>
  <c r="X60" i="2" s="1"/>
  <c r="X22" i="2"/>
  <c r="X48" i="2"/>
  <c r="N23" i="2"/>
  <c r="X23" i="2" s="1"/>
  <c r="X24" i="2" s="1"/>
  <c r="N27" i="2"/>
  <c r="N25" i="2"/>
  <c r="N26" i="2"/>
  <c r="O25" i="2" l="1"/>
  <c r="O23" i="2"/>
  <c r="O24" i="2" s="1"/>
  <c r="B42" i="1"/>
  <c r="B13" i="1"/>
  <c r="B11" i="1"/>
  <c r="B8" i="1"/>
  <c r="B23" i="1"/>
  <c r="Y60" i="2"/>
  <c r="AC12" i="2"/>
  <c r="AB52" i="2"/>
  <c r="AA6" i="2"/>
  <c r="Z58" i="2"/>
  <c r="Z18" i="2"/>
  <c r="Z46" i="2" s="1"/>
  <c r="AA5" i="2"/>
  <c r="Z17" i="2"/>
  <c r="Z45" i="2" s="1"/>
  <c r="Z57" i="2"/>
  <c r="AA4" i="2"/>
  <c r="Z56" i="2"/>
  <c r="Z16" i="2"/>
  <c r="Z44" i="2" s="1"/>
  <c r="P23" i="2"/>
  <c r="P24" i="2" s="1"/>
  <c r="P26" i="2"/>
  <c r="P40" i="2" s="1"/>
  <c r="P27" i="2"/>
  <c r="P41" i="2" s="1"/>
  <c r="P25" i="2"/>
  <c r="Q25" i="2"/>
  <c r="Q26" i="2"/>
  <c r="Q40" i="2" s="1"/>
  <c r="Q27" i="2"/>
  <c r="Q41" i="2" s="1"/>
  <c r="Q23" i="2"/>
  <c r="Q24" i="2" s="1"/>
  <c r="R26" i="2"/>
  <c r="R40" i="2" s="1"/>
  <c r="R25" i="2"/>
  <c r="R23" i="2"/>
  <c r="R24" i="2"/>
  <c r="R27" i="2"/>
  <c r="R41" i="2" s="1"/>
  <c r="Z59" i="2"/>
  <c r="Z19" i="2"/>
  <c r="AB53" i="2"/>
  <c r="AB14" i="2"/>
  <c r="AB54" i="2" s="1"/>
  <c r="O38" i="2"/>
  <c r="O41" i="2"/>
  <c r="O28" i="2"/>
  <c r="O29" i="2" s="1"/>
  <c r="O31" i="2" s="1"/>
  <c r="O39" i="2"/>
  <c r="O40" i="2"/>
  <c r="AF50" i="2"/>
  <c r="AE51" i="2"/>
  <c r="X38" i="2"/>
  <c r="X26" i="2"/>
  <c r="X40" i="2" s="1"/>
  <c r="N40" i="2"/>
  <c r="N24" i="2"/>
  <c r="X25" i="2"/>
  <c r="N39" i="2"/>
  <c r="N28" i="2"/>
  <c r="N41" i="2"/>
  <c r="X27" i="2"/>
  <c r="X41" i="2" s="1"/>
  <c r="AB6" i="2" l="1"/>
  <c r="AA58" i="2"/>
  <c r="AA18" i="2"/>
  <c r="AA46" i="2" s="1"/>
  <c r="AD12" i="2"/>
  <c r="AC52" i="2"/>
  <c r="Y23" i="2"/>
  <c r="Y24" i="2" s="1"/>
  <c r="AB5" i="2"/>
  <c r="AA17" i="2"/>
  <c r="AA45" i="2" s="1"/>
  <c r="AA57" i="2"/>
  <c r="AA56" i="2"/>
  <c r="AB4" i="2"/>
  <c r="AA16" i="2"/>
  <c r="AA44" i="2" s="1"/>
  <c r="Q38" i="2"/>
  <c r="R38" i="2"/>
  <c r="R39" i="2"/>
  <c r="R28" i="2"/>
  <c r="R29" i="2" s="1"/>
  <c r="R31" i="2" s="1"/>
  <c r="Y26" i="2"/>
  <c r="Y40" i="2" s="1"/>
  <c r="Y25" i="2"/>
  <c r="Q39" i="2"/>
  <c r="Q28" i="2"/>
  <c r="Q29" i="2" s="1"/>
  <c r="Q31" i="2" s="1"/>
  <c r="Y27" i="2"/>
  <c r="Y41" i="2" s="1"/>
  <c r="P39" i="2"/>
  <c r="P28" i="2"/>
  <c r="P29" i="2"/>
  <c r="P31" i="2" s="1"/>
  <c r="P38" i="2"/>
  <c r="O32" i="2"/>
  <c r="AC14" i="2"/>
  <c r="AC54" i="2" s="1"/>
  <c r="AC53" i="2"/>
  <c r="Z47" i="2"/>
  <c r="Z20" i="2"/>
  <c r="Z21" i="2" s="1"/>
  <c r="AA59" i="2"/>
  <c r="AA19" i="2"/>
  <c r="Y38" i="2"/>
  <c r="AG50" i="2"/>
  <c r="AF51" i="2"/>
  <c r="X39" i="2"/>
  <c r="X28" i="2"/>
  <c r="X29" i="2" s="1"/>
  <c r="X31" i="2" s="1"/>
  <c r="N29" i="2"/>
  <c r="N31" i="2" s="1"/>
  <c r="N38" i="2"/>
  <c r="AE12" i="2" l="1"/>
  <c r="AD52" i="2"/>
  <c r="AC6" i="2"/>
  <c r="AB58" i="2"/>
  <c r="AB18" i="2"/>
  <c r="AB46" i="2" s="1"/>
  <c r="AC5" i="2"/>
  <c r="AB57" i="2"/>
  <c r="AB17" i="2"/>
  <c r="AB45" i="2" s="1"/>
  <c r="Y28" i="2"/>
  <c r="Y29" i="2" s="1"/>
  <c r="Y31" i="2" s="1"/>
  <c r="AC4" i="2"/>
  <c r="AB56" i="2"/>
  <c r="AB16" i="2"/>
  <c r="AB44" i="2" s="1"/>
  <c r="Q32" i="2"/>
  <c r="Q33" i="2" s="1"/>
  <c r="R32" i="2"/>
  <c r="R33" i="2" s="1"/>
  <c r="P32" i="2"/>
  <c r="P33" i="2"/>
  <c r="Y39" i="2"/>
  <c r="AB59" i="2"/>
  <c r="AB19" i="2"/>
  <c r="Z22" i="2"/>
  <c r="Z48" i="2"/>
  <c r="Z8" i="2"/>
  <c r="Z60" i="2" s="1"/>
  <c r="AD14" i="2"/>
  <c r="AD54" i="2" s="1"/>
  <c r="AD53" i="2"/>
  <c r="O33" i="2"/>
  <c r="AA47" i="2"/>
  <c r="AA20" i="2"/>
  <c r="AA21" i="2" s="1"/>
  <c r="AH50" i="2"/>
  <c r="AG51" i="2"/>
  <c r="N32" i="2"/>
  <c r="N33" i="2" s="1"/>
  <c r="N62" i="2" s="1"/>
  <c r="O62" i="2" l="1"/>
  <c r="P62" i="2" s="1"/>
  <c r="Q62" i="2" s="1"/>
  <c r="R62" i="2" s="1"/>
  <c r="Y62" i="2" s="1"/>
  <c r="Z30" i="2" s="1"/>
  <c r="AD6" i="2"/>
  <c r="AC58" i="2"/>
  <c r="AC18" i="2"/>
  <c r="AC46" i="2" s="1"/>
  <c r="AF12" i="2"/>
  <c r="AE52" i="2"/>
  <c r="AD5" i="2"/>
  <c r="AC17" i="2"/>
  <c r="AC45" i="2" s="1"/>
  <c r="AC57" i="2"/>
  <c r="Y32" i="2"/>
  <c r="Y33" i="2" s="1"/>
  <c r="AD4" i="2"/>
  <c r="AC56" i="2"/>
  <c r="AC16" i="2"/>
  <c r="AC44" i="2" s="1"/>
  <c r="Z23" i="2"/>
  <c r="Z24" i="2" s="1"/>
  <c r="Z38" i="2" s="1"/>
  <c r="Z27" i="2"/>
  <c r="Z41" i="2" s="1"/>
  <c r="Z26" i="2"/>
  <c r="Z40" i="2" s="1"/>
  <c r="Z25" i="2"/>
  <c r="AB47" i="2"/>
  <c r="AB20" i="2"/>
  <c r="AB21" i="2" s="1"/>
  <c r="AC59" i="2"/>
  <c r="AC19" i="2"/>
  <c r="AA8" i="2"/>
  <c r="AA60" i="2" s="1"/>
  <c r="AA48" i="2"/>
  <c r="AA22" i="2"/>
  <c r="AE14" i="2"/>
  <c r="AE54" i="2" s="1"/>
  <c r="AE53" i="2"/>
  <c r="AH51" i="2"/>
  <c r="N42" i="2"/>
  <c r="X32" i="2"/>
  <c r="Y42" i="2" l="1"/>
  <c r="AG12" i="2"/>
  <c r="AF52" i="2"/>
  <c r="AE6" i="2"/>
  <c r="AD58" i="2"/>
  <c r="AD18" i="2"/>
  <c r="AD46" i="2" s="1"/>
  <c r="AE5" i="2"/>
  <c r="AD57" i="2"/>
  <c r="AD17" i="2"/>
  <c r="AD45" i="2" s="1"/>
  <c r="AE4" i="2"/>
  <c r="AD56" i="2"/>
  <c r="AD16" i="2"/>
  <c r="AD44" i="2" s="1"/>
  <c r="AC47" i="2"/>
  <c r="AC20" i="2"/>
  <c r="AC21" i="2" s="1"/>
  <c r="AD59" i="2"/>
  <c r="AD19" i="2"/>
  <c r="AB8" i="2"/>
  <c r="AB60" i="2" s="1"/>
  <c r="AB48" i="2"/>
  <c r="AB22" i="2"/>
  <c r="Z28" i="2"/>
  <c r="Z29" i="2" s="1"/>
  <c r="Z31" i="2" s="1"/>
  <c r="Z39" i="2"/>
  <c r="AF14" i="2"/>
  <c r="AF54" i="2" s="1"/>
  <c r="AF53" i="2"/>
  <c r="AA25" i="2"/>
  <c r="AA23" i="2"/>
  <c r="AA24" i="2" s="1"/>
  <c r="AA38" i="2" s="1"/>
  <c r="AA26" i="2"/>
  <c r="AA40" i="2" s="1"/>
  <c r="AA27" i="2"/>
  <c r="AA41" i="2" s="1"/>
  <c r="X42" i="2"/>
  <c r="X33" i="2"/>
  <c r="X34" i="2" s="1"/>
  <c r="AF6" i="2" l="1"/>
  <c r="AE58" i="2"/>
  <c r="AE18" i="2"/>
  <c r="AE46" i="2" s="1"/>
  <c r="AH12" i="2"/>
  <c r="AG52" i="2"/>
  <c r="AF5" i="2"/>
  <c r="AE17" i="2"/>
  <c r="AE45" i="2" s="1"/>
  <c r="AE57" i="2"/>
  <c r="AF4" i="2"/>
  <c r="AE56" i="2"/>
  <c r="AE16" i="2"/>
  <c r="AE44" i="2" s="1"/>
  <c r="Z32" i="2"/>
  <c r="Z42" i="2" s="1"/>
  <c r="AB23" i="2"/>
  <c r="AB24" i="2" s="1"/>
  <c r="AB38" i="2" s="1"/>
  <c r="AB25" i="2"/>
  <c r="AB26" i="2"/>
  <c r="AB40" i="2" s="1"/>
  <c r="AB27" i="2"/>
  <c r="AB41" i="2" s="1"/>
  <c r="AD47" i="2"/>
  <c r="AD20" i="2"/>
  <c r="AD21" i="2" s="1"/>
  <c r="AE59" i="2"/>
  <c r="AE19" i="2"/>
  <c r="AC48" i="2"/>
  <c r="AC8" i="2"/>
  <c r="AC60" i="2" s="1"/>
  <c r="AC22" i="2"/>
  <c r="AA39" i="2"/>
  <c r="AA28" i="2"/>
  <c r="AA29" i="2" s="1"/>
  <c r="AG14" i="2"/>
  <c r="AG54" i="2" s="1"/>
  <c r="AG53" i="2"/>
  <c r="AH52" i="2" l="1"/>
  <c r="AG6" i="2"/>
  <c r="AF58" i="2"/>
  <c r="AF18" i="2"/>
  <c r="AF46" i="2" s="1"/>
  <c r="AG5" i="2"/>
  <c r="AF57" i="2"/>
  <c r="AF17" i="2"/>
  <c r="AF45" i="2" s="1"/>
  <c r="AG4" i="2"/>
  <c r="AF56" i="2"/>
  <c r="AF16" i="2"/>
  <c r="AF44" i="2" s="1"/>
  <c r="Z33" i="2"/>
  <c r="Z62" i="2" s="1"/>
  <c r="AF59" i="2"/>
  <c r="AF19" i="2"/>
  <c r="AD8" i="2"/>
  <c r="AD60" i="2" s="1"/>
  <c r="AD48" i="2"/>
  <c r="AD22" i="2"/>
  <c r="AB28" i="2"/>
  <c r="AB29" i="2" s="1"/>
  <c r="AB39" i="2"/>
  <c r="AA30" i="2"/>
  <c r="AA31" i="2" s="1"/>
  <c r="AH53" i="2"/>
  <c r="AH14" i="2"/>
  <c r="AH54" i="2" s="1"/>
  <c r="AC26" i="2"/>
  <c r="AC40" i="2" s="1"/>
  <c r="AC27" i="2"/>
  <c r="AC41" i="2" s="1"/>
  <c r="AC25" i="2"/>
  <c r="AC23" i="2"/>
  <c r="AC24" i="2" s="1"/>
  <c r="AC38" i="2" s="1"/>
  <c r="AE47" i="2"/>
  <c r="AE20" i="2"/>
  <c r="AE21" i="2" s="1"/>
  <c r="AH6" i="2" l="1"/>
  <c r="AG58" i="2"/>
  <c r="AG18" i="2"/>
  <c r="AG46" i="2" s="1"/>
  <c r="AH5" i="2"/>
  <c r="AG17" i="2"/>
  <c r="AG45" i="2" s="1"/>
  <c r="AG57" i="2"/>
  <c r="AH4" i="2"/>
  <c r="AG56" i="2"/>
  <c r="AG16" i="2"/>
  <c r="AG44" i="2" s="1"/>
  <c r="AA32" i="2"/>
  <c r="AA42" i="2" s="1"/>
  <c r="AD25" i="2"/>
  <c r="AD23" i="2"/>
  <c r="AD24" i="2" s="1"/>
  <c r="AD38" i="2" s="1"/>
  <c r="AD26" i="2"/>
  <c r="AD40" i="2" s="1"/>
  <c r="AD27" i="2"/>
  <c r="AD41" i="2" s="1"/>
  <c r="AF47" i="2"/>
  <c r="AF20" i="2"/>
  <c r="AF21" i="2" s="1"/>
  <c r="AG59" i="2"/>
  <c r="AG19" i="2"/>
  <c r="AE22" i="2"/>
  <c r="AE8" i="2"/>
  <c r="AE60" i="2" s="1"/>
  <c r="AE48" i="2"/>
  <c r="AC39" i="2"/>
  <c r="AC28" i="2"/>
  <c r="AC29" i="2" s="1"/>
  <c r="AH58" i="2" l="1"/>
  <c r="AH18" i="2"/>
  <c r="AH46" i="2" s="1"/>
  <c r="AH17" i="2"/>
  <c r="AH45" i="2" s="1"/>
  <c r="AH57" i="2"/>
  <c r="AH56" i="2"/>
  <c r="AH16" i="2"/>
  <c r="AH44" i="2" s="1"/>
  <c r="AA33" i="2"/>
  <c r="AA62" i="2" s="1"/>
  <c r="AB30" i="2" s="1"/>
  <c r="AB31" i="2" s="1"/>
  <c r="AH59" i="2"/>
  <c r="AH19" i="2"/>
  <c r="AF48" i="2"/>
  <c r="AF22" i="2"/>
  <c r="AF8" i="2"/>
  <c r="AF60" i="2" s="1"/>
  <c r="AD39" i="2"/>
  <c r="AD28" i="2"/>
  <c r="AD29" i="2" s="1"/>
  <c r="AE26" i="2"/>
  <c r="AE40" i="2" s="1"/>
  <c r="AE27" i="2"/>
  <c r="AE41" i="2" s="1"/>
  <c r="AE23" i="2"/>
  <c r="AE24" i="2" s="1"/>
  <c r="AE38" i="2" s="1"/>
  <c r="AE25" i="2"/>
  <c r="AG47" i="2"/>
  <c r="AG20" i="2"/>
  <c r="AG21" i="2" s="1"/>
  <c r="AB32" i="2" l="1"/>
  <c r="AB42" i="2" s="1"/>
  <c r="AF25" i="2"/>
  <c r="AF26" i="2"/>
  <c r="AF40" i="2" s="1"/>
  <c r="AF27" i="2"/>
  <c r="AF41" i="2" s="1"/>
  <c r="AF23" i="2"/>
  <c r="AF24" i="2" s="1"/>
  <c r="AF38" i="2" s="1"/>
  <c r="AH47" i="2"/>
  <c r="AH20" i="2"/>
  <c r="AH21" i="2" s="1"/>
  <c r="AG22" i="2"/>
  <c r="AG48" i="2"/>
  <c r="AG8" i="2"/>
  <c r="AG60" i="2" s="1"/>
  <c r="AE28" i="2"/>
  <c r="AE29" i="2" s="1"/>
  <c r="AE39" i="2"/>
  <c r="AB33" i="2" l="1"/>
  <c r="AB62" i="2" s="1"/>
  <c r="AC30" i="2" s="1"/>
  <c r="AC31" i="2" s="1"/>
  <c r="AG26" i="2"/>
  <c r="AG40" i="2" s="1"/>
  <c r="AG25" i="2"/>
  <c r="AG27" i="2"/>
  <c r="AG41" i="2" s="1"/>
  <c r="AG23" i="2"/>
  <c r="AG24" i="2" s="1"/>
  <c r="AG38" i="2" s="1"/>
  <c r="AH22" i="2"/>
  <c r="AH8" i="2"/>
  <c r="AH60" i="2" s="1"/>
  <c r="AH48" i="2"/>
  <c r="AF39" i="2"/>
  <c r="AF28" i="2"/>
  <c r="AF29" i="2" s="1"/>
  <c r="AC32" i="2" l="1"/>
  <c r="AC42" i="2" s="1"/>
  <c r="AH26" i="2"/>
  <c r="AH40" i="2" s="1"/>
  <c r="AH27" i="2"/>
  <c r="AH41" i="2" s="1"/>
  <c r="AH23" i="2"/>
  <c r="AH24" i="2" s="1"/>
  <c r="AH38" i="2" s="1"/>
  <c r="AH25" i="2"/>
  <c r="AG39" i="2"/>
  <c r="AG28" i="2"/>
  <c r="AG29" i="2" s="1"/>
  <c r="AC33" i="2" l="1"/>
  <c r="AC62" i="2" s="1"/>
  <c r="AD30" i="2" s="1"/>
  <c r="AD31" i="2" s="1"/>
  <c r="AH28" i="2"/>
  <c r="AH29" i="2" s="1"/>
  <c r="AH39" i="2"/>
  <c r="AD32" i="2" l="1"/>
  <c r="AD42" i="2" s="1"/>
  <c r="AD33" i="2" l="1"/>
  <c r="AD62" i="2" s="1"/>
  <c r="AE30" i="2" s="1"/>
  <c r="AE31" i="2" s="1"/>
  <c r="AE32" i="2" s="1"/>
  <c r="AE42" i="2" s="1"/>
  <c r="AE33" i="2" l="1"/>
  <c r="AE62" i="2" s="1"/>
  <c r="AF30" i="2" s="1"/>
  <c r="AF31" i="2" s="1"/>
  <c r="AF32" i="2" l="1"/>
  <c r="AF42" i="2" s="1"/>
  <c r="AF33" i="2" l="1"/>
  <c r="AF62" i="2" s="1"/>
  <c r="AG30" i="2" s="1"/>
  <c r="AG31" i="2" s="1"/>
  <c r="AG32" i="2" s="1"/>
  <c r="AG42" i="2" s="1"/>
  <c r="AG33" i="2" l="1"/>
  <c r="AG62" i="2" s="1"/>
  <c r="AH30" i="2" s="1"/>
  <c r="AH31" i="2" s="1"/>
  <c r="AH32" i="2" s="1"/>
  <c r="AH42" i="2" s="1"/>
  <c r="AH33" i="2" l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  <c r="EF33" i="2" s="1"/>
  <c r="EG33" i="2" s="1"/>
  <c r="EH33" i="2" s="1"/>
  <c r="EI33" i="2" s="1"/>
  <c r="EJ33" i="2" s="1"/>
  <c r="EK33" i="2" s="1"/>
  <c r="EL33" i="2" s="1"/>
  <c r="EM33" i="2" s="1"/>
  <c r="EN33" i="2" s="1"/>
  <c r="EO33" i="2" s="1"/>
  <c r="EP33" i="2" s="1"/>
  <c r="EQ33" i="2" s="1"/>
  <c r="ER33" i="2" s="1"/>
  <c r="ES33" i="2" s="1"/>
  <c r="ET33" i="2" s="1"/>
  <c r="EU33" i="2" s="1"/>
  <c r="EV33" i="2" s="1"/>
  <c r="EW33" i="2" s="1"/>
  <c r="EX33" i="2" s="1"/>
  <c r="EY33" i="2" s="1"/>
  <c r="EZ33" i="2" s="1"/>
  <c r="AK41" i="2" s="1"/>
  <c r="AH62" i="2" l="1"/>
  <c r="AK42" i="2"/>
  <c r="AK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Grenci</author>
  </authors>
  <commentList>
    <comment ref="N10" authorId="0" shapeId="0" xr:uid="{99AB0E20-3970-4B39-8749-5A4C706CE408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Mid single digit y/y declines in payers </t>
        </r>
      </text>
    </comment>
    <comment ref="N16" authorId="0" shapeId="0" xr:uid="{C0F5F63A-FD6C-4395-BCD7-0413BDE60CA0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480-485 million expected 
</t>
        </r>
      </text>
    </comment>
    <comment ref="N17" authorId="0" shapeId="0" xr:uid="{4263868D-753A-4076-B795-C89550B6DA3E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Expectation of 145 Million</t>
        </r>
      </text>
    </comment>
    <comment ref="N21" authorId="0" shapeId="0" xr:uid="{49BA03AE-8603-4124-99C4-BC85B6E2F291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Expectation from filling </t>
        </r>
      </text>
    </comment>
    <comment ref="N22" authorId="0" shapeId="0" xr:uid="{D364082F-0A95-4443-AC15-55585AC61029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Expecation 865-875 million
</t>
        </r>
      </text>
    </comment>
    <comment ref="O22" authorId="0" shapeId="0" xr:uid="{C8E883B9-EA51-42E9-A842-A6A88C393E97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Expecation 865-875 million
</t>
        </r>
      </text>
    </comment>
    <comment ref="P22" authorId="0" shapeId="0" xr:uid="{48E2FFAB-EABD-4D8C-B3E7-7FD9F8B62276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Expecation 865-875 million
</t>
        </r>
      </text>
    </comment>
    <comment ref="Q22" authorId="0" shapeId="0" xr:uid="{1EB31EA9-4B8D-4F88-A90A-5A499D4D9A4E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Expecation 865-875 million
</t>
        </r>
      </text>
    </comment>
    <comment ref="R22" authorId="0" shapeId="0" xr:uid="{802394FD-56AA-49BF-A992-08634C54FED4}">
      <text>
        <r>
          <rPr>
            <b/>
            <sz val="9"/>
            <color indexed="81"/>
            <rFont val="Tahoma"/>
            <family val="2"/>
          </rPr>
          <t>Michael Grenci:</t>
        </r>
        <r>
          <rPr>
            <sz val="9"/>
            <color indexed="81"/>
            <rFont val="Tahoma"/>
            <family val="2"/>
          </rPr>
          <t xml:space="preserve">
Expecation 865-875 million
</t>
        </r>
      </text>
    </comment>
  </commentList>
</comments>
</file>

<file path=xl/sharedStrings.xml><?xml version="1.0" encoding="utf-8"?>
<sst xmlns="http://schemas.openxmlformats.org/spreadsheetml/2006/main" count="169" uniqueCount="148">
  <si>
    <t>Price</t>
  </si>
  <si>
    <t>S/O</t>
  </si>
  <si>
    <t xml:space="preserve">MC </t>
  </si>
  <si>
    <t xml:space="preserve">Cash </t>
  </si>
  <si>
    <t xml:space="preserve">Debt </t>
  </si>
  <si>
    <t xml:space="preserve">EV </t>
  </si>
  <si>
    <t>Q324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</si>
  <si>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</si>
  <si>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</si>
  <si>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</si>
  <si>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</si>
  <si>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</si>
  <si>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</si>
  <si>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</si>
  <si>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</si>
  <si>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</si>
  <si>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</si>
  <si>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</si>
  <si>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</si>
  <si>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</si>
  <si>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</si>
  <si>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</si>
  <si>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</si>
  <si>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 xml:space="preserve">Tinder RPP </t>
  </si>
  <si>
    <t xml:space="preserve">Hinge RPP </t>
  </si>
  <si>
    <t xml:space="preserve">MG Asia RPP </t>
  </si>
  <si>
    <t>Evergreen &amp; Emerging RPP</t>
  </si>
  <si>
    <t xml:space="preserve">Match Group RPP </t>
  </si>
  <si>
    <t xml:space="preserve">Tinder Payers </t>
  </si>
  <si>
    <t xml:space="preserve">Hinge Payers </t>
  </si>
  <si>
    <t xml:space="preserve">MG Asia Payers </t>
  </si>
  <si>
    <t xml:space="preserve">Evergreen &amp; Emerging Payers </t>
  </si>
  <si>
    <t xml:space="preserve">Match Group Payers </t>
  </si>
  <si>
    <t xml:space="preserve">Tinder Revenue </t>
  </si>
  <si>
    <t xml:space="preserve">Hinge Revenue </t>
  </si>
  <si>
    <t xml:space="preserve">MG Asia Revenue </t>
  </si>
  <si>
    <t xml:space="preserve">Evergreen &amp; Emerging Revenue </t>
  </si>
  <si>
    <t xml:space="preserve">Total Direct Revenue </t>
  </si>
  <si>
    <t xml:space="preserve">Indirect Revenue </t>
  </si>
  <si>
    <t xml:space="preserve">Revenue </t>
  </si>
  <si>
    <t xml:space="preserve">COGS </t>
  </si>
  <si>
    <t xml:space="preserve">Gross Profit </t>
  </si>
  <si>
    <t xml:space="preserve">S&amp;M </t>
  </si>
  <si>
    <t xml:space="preserve">G&amp;A </t>
  </si>
  <si>
    <t xml:space="preserve">R&amp;D </t>
  </si>
  <si>
    <t xml:space="preserve">Operating Expenses </t>
  </si>
  <si>
    <t xml:space="preserve">Operating Income </t>
  </si>
  <si>
    <t xml:space="preserve">Other Income </t>
  </si>
  <si>
    <t xml:space="preserve">Pretax Income </t>
  </si>
  <si>
    <t xml:space="preserve">Taxes </t>
  </si>
  <si>
    <t xml:space="preserve">Net Income </t>
  </si>
  <si>
    <t xml:space="preserve">EPS </t>
  </si>
  <si>
    <t xml:space="preserve">Shares </t>
  </si>
  <si>
    <t xml:space="preserve">Gross Margin </t>
  </si>
  <si>
    <t xml:space="preserve">S&amp;M % </t>
  </si>
  <si>
    <t xml:space="preserve">G&amp;A % </t>
  </si>
  <si>
    <t>R&amp;D %</t>
  </si>
  <si>
    <t xml:space="preserve">Tax Rate </t>
  </si>
  <si>
    <t>Tinder Revenue y/y</t>
  </si>
  <si>
    <t>Hinge Revenue y/y</t>
  </si>
  <si>
    <t>MG Asia Revenue y/y</t>
  </si>
  <si>
    <t>Evergreen &amp; Emerging Revenue y/y</t>
  </si>
  <si>
    <t>Revenue y/y</t>
  </si>
  <si>
    <t>Tinder Payers y/y</t>
  </si>
  <si>
    <t>Hinge Payers y/y</t>
  </si>
  <si>
    <t>MG Asia Payers y/y</t>
  </si>
  <si>
    <t>Evergreen &amp; Emerging Payers y/y</t>
  </si>
  <si>
    <t>Tinder RPP y/y</t>
  </si>
  <si>
    <t>Hinge RPP y/y</t>
  </si>
  <si>
    <t>MG Asia RPP y/y</t>
  </si>
  <si>
    <t>Evergreen &amp; Emerging RPP y/y</t>
  </si>
  <si>
    <t>Match Group RPP y/y</t>
  </si>
  <si>
    <t>Match Group Payers y/y</t>
  </si>
  <si>
    <t xml:space="preserve">Maturity </t>
  </si>
  <si>
    <t xml:space="preserve">Discount </t>
  </si>
  <si>
    <t xml:space="preserve">ROIC </t>
  </si>
  <si>
    <t xml:space="preserve">NPV </t>
  </si>
  <si>
    <t xml:space="preserve">Share </t>
  </si>
  <si>
    <t xml:space="preserve">Upside </t>
  </si>
  <si>
    <t xml:space="preserve">Net Cash </t>
  </si>
  <si>
    <t>A/R</t>
  </si>
  <si>
    <t xml:space="preserve">Other </t>
  </si>
  <si>
    <t xml:space="preserve">PP&amp;E </t>
  </si>
  <si>
    <t xml:space="preserve">Goodwill </t>
  </si>
  <si>
    <t xml:space="preserve">Intangibles </t>
  </si>
  <si>
    <t>DT</t>
  </si>
  <si>
    <t xml:space="preserve">Total Assets </t>
  </si>
  <si>
    <t>A/P</t>
  </si>
  <si>
    <t xml:space="preserve">Deferred Revenue </t>
  </si>
  <si>
    <t xml:space="preserve">Accrued Expenses &amp; Other </t>
  </si>
  <si>
    <t xml:space="preserve">Taxes Payable </t>
  </si>
  <si>
    <t xml:space="preserve">S/E </t>
  </si>
  <si>
    <t>L + S/E</t>
  </si>
  <si>
    <t xml:space="preserve">Model NI </t>
  </si>
  <si>
    <t xml:space="preserve">Reported NI </t>
  </si>
  <si>
    <t>CFFO</t>
  </si>
  <si>
    <t xml:space="preserve">CapEx </t>
  </si>
  <si>
    <t>EV/E</t>
  </si>
  <si>
    <t xml:space="preserve">Segments </t>
  </si>
  <si>
    <t xml:space="preserve">Tinder </t>
  </si>
  <si>
    <t xml:space="preserve">Hinge </t>
  </si>
  <si>
    <t xml:space="preserve">MG Asia </t>
  </si>
  <si>
    <t xml:space="preserve">Evergreen &amp; Emerging </t>
  </si>
  <si>
    <t xml:space="preserve">Tinder U </t>
  </si>
  <si>
    <t xml:space="preserve">Launched 5 years ago. </t>
  </si>
  <si>
    <t xml:space="preserve">Azar </t>
  </si>
  <si>
    <t xml:space="preserve">Evergreen </t>
  </si>
  <si>
    <t xml:space="preserve">Match </t>
  </si>
  <si>
    <t xml:space="preserve">Meetic </t>
  </si>
  <si>
    <t xml:space="preserve">Plenty of Fish </t>
  </si>
  <si>
    <t xml:space="preserve">OkCupid </t>
  </si>
  <si>
    <t xml:space="preserve">Emerging </t>
  </si>
  <si>
    <t xml:space="preserve">Evergreen - Longstanding Brands </t>
  </si>
  <si>
    <t xml:space="preserve">Emerging - Demographic Specific </t>
  </si>
  <si>
    <t xml:space="preserve">Chispa - Latin Singles </t>
  </si>
  <si>
    <t xml:space="preserve">BLK - Black singles </t>
  </si>
  <si>
    <t xml:space="preserve">Archer - Gay Man </t>
  </si>
  <si>
    <t xml:space="preserve">Salams - Muslims </t>
  </si>
  <si>
    <t xml:space="preserve">Upward - Christians </t>
  </si>
  <si>
    <t xml:space="preserve">Yuzu - East Asians </t>
  </si>
  <si>
    <t xml:space="preserve">Pairs </t>
  </si>
  <si>
    <t xml:space="preserve">Stir - Single Parent </t>
  </si>
  <si>
    <t xml:space="preserve">Live Streaming </t>
  </si>
  <si>
    <t xml:space="preserve">E&amp;E </t>
  </si>
  <si>
    <t xml:space="preserve">The League - Career Oriented Individuals </t>
  </si>
  <si>
    <t xml:space="preserve">What can emerging grow to? </t>
  </si>
  <si>
    <t xml:space="preserve">Azar MAUs </t>
  </si>
  <si>
    <t xml:space="preserve">Safer community-based video chat environment </t>
  </si>
  <si>
    <t>Expansion into europe, October push into U.S.</t>
  </si>
  <si>
    <t xml:space="preserve">Live video chat app, personalized AI Technology?  </t>
  </si>
  <si>
    <t>https://azarlive.com/</t>
  </si>
  <si>
    <t xml:space="preserve">Leading app in Japanese dating market </t>
  </si>
  <si>
    <t xml:space="preserve">Launched project in 2018. </t>
  </si>
  <si>
    <t xml:space="preserve">What can Azar Grow to? </t>
  </si>
  <si>
    <t xml:space="preserve">Omegle? </t>
  </si>
  <si>
    <t xml:space="preserve">Advertising Revenue </t>
  </si>
  <si>
    <t>Launched 2012.</t>
  </si>
  <si>
    <t>Launched in 2012.</t>
  </si>
  <si>
    <t xml:space="preserve">Founded in 2014 </t>
  </si>
  <si>
    <t xml:space="preserve">Hyperconnect. </t>
  </si>
  <si>
    <t xml:space="preserve">Launched in 2012. </t>
  </si>
  <si>
    <t xml:space="preserve">Launched 1995. </t>
  </si>
  <si>
    <t>Launched 2001.</t>
  </si>
  <si>
    <t xml:space="preserve">Launched 2003. </t>
  </si>
  <si>
    <t>Launched 2004.</t>
  </si>
  <si>
    <t xml:space="preserve"> </t>
  </si>
  <si>
    <t>Direct Revenue - Subscription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</si>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</sst>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3" fillId="0" borderId="0" xfId="0" applyFont="1"/>
    <xf numFmtId="3" fontId="3" fillId="0" borderId="0" xfId="0" applyNumberFormat="1" applyFont="1"/>
    <xf numFmtId="3" fontId="2" fillId="2" borderId="0" xfId="0" applyNumberFormat="1" applyFont="1" applyFill="1"/>
    <xf numFmtId="164" fontId="2" fillId="0" borderId="0" xfId="1" applyNumberFormat="1" applyFont="1"/>
    <xf numFmtId="165" fontId="2" fillId="0" borderId="0" xfId="0" applyNumberFormat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165100</xdr:rowOff>
    </xdr:from>
    <xdr:to>
      <xdr:col>13</xdr:col>
      <xdr:colOff>31750</xdr:colOff>
      <xdr:row>81</xdr:row>
      <xdr:rowOff>69850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760F0B8-EEC6-0E34-F335-B39EBBE187A5}"/>
            </a:ext>
          </a:extLst>
        </xdr:cNvPr>
        <xdr:cNvCxnSpPr/>
      </xdr:nvCxnSpPr>
      <xdr:spPr>
        <a:xfrm flipH="1">
          <a:off x="9340850" y="165100"/>
          <a:ext cx="19050" cy="143065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0</xdr:row>
      <xdr:rowOff>146050</xdr:rowOff>
    </xdr:from>
    <xdr:to>
      <xdr:col>24</xdr:col>
      <xdr:colOff>6350</xdr:colOff>
      <xdr:row>62</xdr:row>
      <xdr:rowOff>120650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BB17174-E63F-D599-59C1-2CA8AB7DFAEF}"/>
            </a:ext>
          </a:extLst>
        </xdr:cNvPr>
        <xdr:cNvCxnSpPr/>
      </xdr:nvCxnSpPr>
      <xdr:spPr>
        <a:xfrm>
          <a:off x="16033750" y="146050"/>
          <a:ext cx="6350" cy="10998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DCEB-527B-428D-B842-95263762658C}">
  <dimension ref="B4:O42"/>
  <sheetViews>
    <sheetView workbookViewId="0">
      <selection activeCell="N13" sqref="N13"/>
    </sheetView>
  </sheetViews>
  <sheetFormatPr defaultRowHeight="14" x14ac:dyDescent="0.3"/>
  <cols>
    <col min="1" max="2" width="8.7265625" style="1"/>
    <col min="3" max="3" width="21.453125" style="1" bestFit="1" customWidth="1"/>
    <col min="4" max="4" width="10.36328125" style="1" bestFit="1" customWidth="1"/>
    <col min="5" max="16384" width="8.7265625" style="1"/>
  </cols>
  <sheetData>
    <row r="4" spans="2:15" x14ac:dyDescent="0.3">
      <c r="C4" s="10" t="s">
        <v>98</v>
      </c>
    </row>
    <row r="5" spans="2:15" x14ac:dyDescent="0.3">
      <c r="M5" s="1" t="s">
        <v>0</v>
      </c>
      <c r="N5" s="1">
        <v>33.130000000000003</v>
      </c>
    </row>
    <row r="6" spans="2:15" x14ac:dyDescent="0.3">
      <c r="C6" s="5" t="s">
        <v>146</v>
      </c>
      <c r="M6" s="1" t="s">
        <v>1</v>
      </c>
      <c r="N6" s="2">
        <v>251.09099699999999</v>
      </c>
      <c r="O6" s="1" t="s">
        <v>6</v>
      </c>
    </row>
    <row r="7" spans="2:15" x14ac:dyDescent="0.3">
      <c r="M7" s="1" t="s">
        <v>2</v>
      </c>
      <c r="N7" s="2">
        <f>N5*N6</f>
        <v>8318.6447306099999</v>
      </c>
    </row>
    <row r="8" spans="2:15" x14ac:dyDescent="0.3">
      <c r="B8" s="4">
        <f>Model!X16/Model!X22</f>
        <v>0.55862403698407026</v>
      </c>
      <c r="C8" s="1" t="s">
        <v>99</v>
      </c>
      <c r="D8" s="1" t="s">
        <v>99</v>
      </c>
      <c r="E8" s="1" t="s">
        <v>136</v>
      </c>
      <c r="M8" s="1" t="s">
        <v>3</v>
      </c>
      <c r="N8" s="2">
        <f>855.532+5.323</f>
        <v>860.85500000000002</v>
      </c>
      <c r="O8" s="1" t="s">
        <v>6</v>
      </c>
    </row>
    <row r="9" spans="2:15" x14ac:dyDescent="0.3">
      <c r="D9" s="1" t="s">
        <v>103</v>
      </c>
      <c r="E9" s="1" t="s">
        <v>104</v>
      </c>
      <c r="M9" s="1" t="s">
        <v>4</v>
      </c>
      <c r="N9" s="2">
        <v>3847.2719999999999</v>
      </c>
      <c r="O9" s="1" t="s">
        <v>6</v>
      </c>
    </row>
    <row r="10" spans="2:15" x14ac:dyDescent="0.3">
      <c r="M10" s="1" t="s">
        <v>5</v>
      </c>
      <c r="N10" s="2">
        <f>N7-N8+N9</f>
        <v>11305.061730609999</v>
      </c>
    </row>
    <row r="11" spans="2:15" x14ac:dyDescent="0.3">
      <c r="B11" s="4">
        <f>Model!X17/Model!X22</f>
        <v>0.15731329155667254</v>
      </c>
      <c r="C11" s="1" t="s">
        <v>100</v>
      </c>
      <c r="D11" s="1" t="s">
        <v>100</v>
      </c>
      <c r="E11" s="1" t="s">
        <v>137</v>
      </c>
    </row>
    <row r="12" spans="2:15" x14ac:dyDescent="0.3">
      <c r="M12" s="1" t="s">
        <v>97</v>
      </c>
      <c r="N12" s="9">
        <f>N10</f>
        <v>11305.061730609999</v>
      </c>
    </row>
    <row r="13" spans="2:15" x14ac:dyDescent="0.3">
      <c r="B13" s="4">
        <f>Model!X18/Model!X22</f>
        <v>8.2451498575551077E-2</v>
      </c>
      <c r="C13" s="1" t="s">
        <v>101</v>
      </c>
      <c r="D13" s="1" t="s">
        <v>105</v>
      </c>
      <c r="E13" s="1" t="s">
        <v>129</v>
      </c>
    </row>
    <row r="14" spans="2:15" x14ac:dyDescent="0.3">
      <c r="E14" s="1" t="s">
        <v>127</v>
      </c>
    </row>
    <row r="15" spans="2:15" x14ac:dyDescent="0.3">
      <c r="E15" s="1" t="s">
        <v>128</v>
      </c>
      <c r="J15" s="1" t="s">
        <v>130</v>
      </c>
    </row>
    <row r="16" spans="2:15" x14ac:dyDescent="0.3">
      <c r="F16" s="1" t="s">
        <v>134</v>
      </c>
      <c r="J16" s="1" t="s">
        <v>138</v>
      </c>
    </row>
    <row r="17" spans="2:10" x14ac:dyDescent="0.3">
      <c r="J17" s="1" t="s">
        <v>139</v>
      </c>
    </row>
    <row r="19" spans="2:10" x14ac:dyDescent="0.3">
      <c r="D19" s="1" t="s">
        <v>120</v>
      </c>
      <c r="E19" s="1" t="s">
        <v>131</v>
      </c>
      <c r="J19" s="1" t="s">
        <v>140</v>
      </c>
    </row>
    <row r="23" spans="2:10" x14ac:dyDescent="0.3">
      <c r="B23" s="4">
        <f>Model!X19/Model!X22</f>
        <v>0.18401001394326608</v>
      </c>
      <c r="C23" s="1" t="s">
        <v>102</v>
      </c>
      <c r="D23" s="1" t="s">
        <v>112</v>
      </c>
    </row>
    <row r="24" spans="2:10" x14ac:dyDescent="0.3">
      <c r="D24" s="1" t="s">
        <v>107</v>
      </c>
      <c r="F24" s="1" t="s">
        <v>141</v>
      </c>
    </row>
    <row r="25" spans="2:10" x14ac:dyDescent="0.3">
      <c r="D25" s="1" t="s">
        <v>108</v>
      </c>
      <c r="F25" s="1" t="s">
        <v>142</v>
      </c>
    </row>
    <row r="26" spans="2:10" x14ac:dyDescent="0.3">
      <c r="D26" s="1" t="s">
        <v>109</v>
      </c>
      <c r="F26" s="1" t="s">
        <v>143</v>
      </c>
    </row>
    <row r="27" spans="2:10" x14ac:dyDescent="0.3">
      <c r="D27" s="1" t="s">
        <v>110</v>
      </c>
      <c r="F27" s="1" t="s">
        <v>144</v>
      </c>
    </row>
    <row r="28" spans="2:10" x14ac:dyDescent="0.3">
      <c r="F28" s="1" t="s">
        <v>145</v>
      </c>
    </row>
    <row r="29" spans="2:10" x14ac:dyDescent="0.3">
      <c r="D29" s="1" t="s">
        <v>113</v>
      </c>
      <c r="H29" s="1" t="s">
        <v>132</v>
      </c>
    </row>
    <row r="30" spans="2:10" x14ac:dyDescent="0.3">
      <c r="D30" s="1" t="s">
        <v>114</v>
      </c>
    </row>
    <row r="31" spans="2:10" x14ac:dyDescent="0.3">
      <c r="D31" s="1" t="s">
        <v>115</v>
      </c>
    </row>
    <row r="32" spans="2:10" x14ac:dyDescent="0.3">
      <c r="D32" s="1" t="s">
        <v>116</v>
      </c>
    </row>
    <row r="33" spans="2:4" x14ac:dyDescent="0.3">
      <c r="D33" s="1" t="s">
        <v>117</v>
      </c>
    </row>
    <row r="34" spans="2:4" x14ac:dyDescent="0.3">
      <c r="D34" s="1" t="s">
        <v>118</v>
      </c>
    </row>
    <row r="35" spans="2:4" x14ac:dyDescent="0.3">
      <c r="D35" s="1" t="s">
        <v>119</v>
      </c>
    </row>
    <row r="36" spans="2:4" x14ac:dyDescent="0.3">
      <c r="D36" s="1" t="s">
        <v>121</v>
      </c>
    </row>
    <row r="37" spans="2:4" x14ac:dyDescent="0.3">
      <c r="D37" s="1" t="s">
        <v>124</v>
      </c>
    </row>
    <row r="40" spans="2:4" x14ac:dyDescent="0.3">
      <c r="C40" s="5" t="s">
        <v>38</v>
      </c>
    </row>
    <row r="42" spans="2:4" x14ac:dyDescent="0.3">
      <c r="B42" s="4">
        <f>Model!X21/Model!X22</f>
        <v>1.7601158940439995E-2</v>
      </c>
      <c r="C42" s="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7B49-3B36-41E5-833A-32162A2B4CB3}">
  <dimension ref="A1:EZ8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22" sqref="S22"/>
    </sheetView>
  </sheetViews>
  <sheetFormatPr defaultRowHeight="14" x14ac:dyDescent="0.3"/>
  <cols>
    <col min="1" max="1" width="5.08984375" style="1" bestFit="1" customWidth="1"/>
    <col min="2" max="2" width="32.453125" style="1" bestFit="1" customWidth="1"/>
    <col min="3" max="16384" width="8.7265625" style="2"/>
  </cols>
  <sheetData>
    <row r="1" spans="1:34" s="1" customFormat="1" x14ac:dyDescent="0.3">
      <c r="A1" s="1" t="s">
        <v>7</v>
      </c>
    </row>
    <row r="2" spans="1:34" s="1" customFormat="1" x14ac:dyDescent="0.3"/>
    <row r="3" spans="1:34" s="1" customFormat="1" x14ac:dyDescent="0.3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6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T3" s="1">
        <v>2020</v>
      </c>
      <c r="U3" s="1">
        <f>+T3+1</f>
        <v>2021</v>
      </c>
      <c r="V3" s="1">
        <f t="shared" ref="V3:AH3" si="0">+U3+1</f>
        <v>2022</v>
      </c>
      <c r="W3" s="1">
        <f t="shared" si="0"/>
        <v>2023</v>
      </c>
      <c r="X3" s="1">
        <f t="shared" si="0"/>
        <v>2024</v>
      </c>
      <c r="Y3" s="1">
        <f t="shared" si="0"/>
        <v>2025</v>
      </c>
      <c r="Z3" s="1">
        <f t="shared" si="0"/>
        <v>2026</v>
      </c>
      <c r="AA3" s="1">
        <f t="shared" si="0"/>
        <v>2027</v>
      </c>
      <c r="AB3" s="1">
        <f t="shared" si="0"/>
        <v>2028</v>
      </c>
      <c r="AC3" s="1">
        <f t="shared" si="0"/>
        <v>2029</v>
      </c>
      <c r="AD3" s="1">
        <f t="shared" si="0"/>
        <v>2030</v>
      </c>
      <c r="AE3" s="1">
        <f t="shared" si="0"/>
        <v>2031</v>
      </c>
      <c r="AF3" s="1">
        <f t="shared" si="0"/>
        <v>2032</v>
      </c>
      <c r="AG3" s="1">
        <f t="shared" si="0"/>
        <v>2033</v>
      </c>
      <c r="AH3" s="1">
        <f t="shared" si="0"/>
        <v>2034</v>
      </c>
    </row>
    <row r="4" spans="1:34" x14ac:dyDescent="0.3">
      <c r="B4" s="1" t="s">
        <v>23</v>
      </c>
      <c r="C4" s="3">
        <f>(C16/C10)/3</f>
        <v>13.756316676024705</v>
      </c>
      <c r="D4" s="3">
        <f t="shared" ref="D4:M4" si="1">(D16/D10)/3</f>
        <v>13.746556473829202</v>
      </c>
      <c r="E4" s="3">
        <f t="shared" si="1"/>
        <v>13.816085742592092</v>
      </c>
      <c r="F4" s="3">
        <f t="shared" si="1"/>
        <v>13.671899045860265</v>
      </c>
      <c r="G4" s="3">
        <f t="shared" si="1"/>
        <v>13.802058887950187</v>
      </c>
      <c r="H4" s="3">
        <f t="shared" si="1"/>
        <v>15.11446492820072</v>
      </c>
      <c r="I4" s="3">
        <f t="shared" si="1"/>
        <v>16.279293123319245</v>
      </c>
      <c r="J4" s="3">
        <f t="shared" si="1"/>
        <v>16.492776886035312</v>
      </c>
      <c r="K4" s="3">
        <f t="shared" si="1"/>
        <v>16.524245856069186</v>
      </c>
      <c r="L4" s="3">
        <f t="shared" si="1"/>
        <v>16.604387239637393</v>
      </c>
      <c r="M4" s="3">
        <f t="shared" si="1"/>
        <v>16.866096866096864</v>
      </c>
      <c r="N4" s="3">
        <f>J4*1.04</f>
        <v>17.152487961476726</v>
      </c>
      <c r="O4" s="3">
        <f>K4*1.08</f>
        <v>17.846185524554723</v>
      </c>
      <c r="P4" s="3">
        <f>L4*1.1</f>
        <v>18.264825963601133</v>
      </c>
      <c r="Q4" s="3">
        <f>M4*1.15</f>
        <v>19.396011396011392</v>
      </c>
      <c r="R4" s="3">
        <f>N4*1.08</f>
        <v>18.524686998394866</v>
      </c>
      <c r="V4" s="3">
        <f t="shared" ref="V4:Y8" si="2">V16/V10</f>
        <v>164.97736100576893</v>
      </c>
      <c r="W4" s="3">
        <f t="shared" si="2"/>
        <v>184.81037058455016</v>
      </c>
      <c r="X4" s="3">
        <f t="shared" si="2"/>
        <v>201.42425493271691</v>
      </c>
      <c r="Y4" s="3">
        <f t="shared" si="2"/>
        <v>222.16359778750103</v>
      </c>
      <c r="Z4" s="3">
        <f>Y4*1.1</f>
        <v>244.37995756625116</v>
      </c>
      <c r="AA4" s="3">
        <f>Z4*1.08</f>
        <v>263.9303541715513</v>
      </c>
      <c r="AB4" s="3">
        <f>AA4*1.02</f>
        <v>269.20896125498234</v>
      </c>
      <c r="AC4" s="3">
        <f>AB4*1.03</f>
        <v>277.28523009263182</v>
      </c>
      <c r="AD4" s="3">
        <f t="shared" ref="AD4:AH4" si="3">AC4*1.03</f>
        <v>285.60378699541076</v>
      </c>
      <c r="AE4" s="3">
        <f t="shared" si="3"/>
        <v>294.17190060527309</v>
      </c>
      <c r="AF4" s="3">
        <f t="shared" si="3"/>
        <v>302.99705762343132</v>
      </c>
      <c r="AG4" s="3">
        <f t="shared" si="3"/>
        <v>312.08696935213425</v>
      </c>
      <c r="AH4" s="3">
        <f t="shared" si="3"/>
        <v>321.44957843269827</v>
      </c>
    </row>
    <row r="5" spans="1:34" x14ac:dyDescent="0.3">
      <c r="B5" s="1" t="s">
        <v>24</v>
      </c>
      <c r="C5" s="3">
        <f>(C17/C11)/3</f>
        <v>23.025150549061284</v>
      </c>
      <c r="D5" s="3">
        <f t="shared" ref="D5:M5" si="4">(D17/D11)/3</f>
        <v>23.250173250173248</v>
      </c>
      <c r="E5" s="3">
        <f t="shared" si="4"/>
        <v>24.849699398797597</v>
      </c>
      <c r="F5" s="3">
        <f t="shared" si="4"/>
        <v>25.204048318641856</v>
      </c>
      <c r="G5" s="3">
        <f t="shared" si="4"/>
        <v>25.437788018433181</v>
      </c>
      <c r="H5" s="3">
        <f t="shared" si="4"/>
        <v>25.230511316010055</v>
      </c>
      <c r="I5" s="3">
        <f t="shared" si="4"/>
        <v>26.953026877668929</v>
      </c>
      <c r="J5" s="3">
        <f t="shared" si="4"/>
        <v>28.414096916299556</v>
      </c>
      <c r="K5" s="3">
        <f t="shared" si="4"/>
        <v>28.979400749063672</v>
      </c>
      <c r="L5" s="3">
        <f t="shared" si="4"/>
        <v>30.008984725965856</v>
      </c>
      <c r="M5" s="3">
        <f t="shared" si="4"/>
        <v>30.253849354972953</v>
      </c>
      <c r="N5" s="3">
        <f>J5*1.1</f>
        <v>31.255506607929515</v>
      </c>
      <c r="O5" s="3">
        <f>K5*1.12</f>
        <v>32.456928838951313</v>
      </c>
      <c r="P5" s="3">
        <f>L5*1.13</f>
        <v>33.910152740341417</v>
      </c>
      <c r="Q5" s="3">
        <f>M5*1.13</f>
        <v>34.186849771119434</v>
      </c>
      <c r="R5" s="3">
        <f>N5*1.13</f>
        <v>35.318722466960352</v>
      </c>
      <c r="V5" s="3">
        <f t="shared" si="2"/>
        <v>289.3421723610403</v>
      </c>
      <c r="W5" s="3">
        <f t="shared" si="2"/>
        <v>319.30742903160859</v>
      </c>
      <c r="X5" s="3">
        <f t="shared" si="2"/>
        <v>361.84289781610516</v>
      </c>
      <c r="Y5" s="3">
        <f t="shared" si="2"/>
        <v>408.06750489607174</v>
      </c>
      <c r="Z5" s="3">
        <f>Y5*1.05</f>
        <v>428.47088014087535</v>
      </c>
      <c r="AA5" s="3">
        <f t="shared" ref="AA5:AB5" si="5">Z5*1.05</f>
        <v>449.89442414791915</v>
      </c>
      <c r="AB5" s="3">
        <f t="shared" si="5"/>
        <v>472.38914535531512</v>
      </c>
      <c r="AC5" s="3">
        <f>AB5*0.98</f>
        <v>462.94136244820879</v>
      </c>
      <c r="AD5" s="3">
        <f t="shared" ref="AD5:AH5" si="6">AC5*0.98</f>
        <v>453.68253519924463</v>
      </c>
      <c r="AE5" s="3">
        <f t="shared" si="6"/>
        <v>444.6088844952597</v>
      </c>
      <c r="AF5" s="3">
        <f t="shared" si="6"/>
        <v>435.71670680535448</v>
      </c>
      <c r="AG5" s="3">
        <f t="shared" si="6"/>
        <v>427.00237266924739</v>
      </c>
      <c r="AH5" s="3">
        <f t="shared" si="6"/>
        <v>418.46232521586245</v>
      </c>
    </row>
    <row r="6" spans="1:34" x14ac:dyDescent="0.3">
      <c r="B6" s="1" t="s">
        <v>25</v>
      </c>
      <c r="C6" s="3">
        <f>(C18/C12)/3</f>
        <v>29.066666666666666</v>
      </c>
      <c r="D6" s="3">
        <f t="shared" ref="D6:M6" si="7">(D18/D12)/3</f>
        <v>27.325780981805696</v>
      </c>
      <c r="E6" s="3">
        <f t="shared" si="7"/>
        <v>26.058842547688329</v>
      </c>
      <c r="F6" s="3">
        <f t="shared" si="7"/>
        <v>25.69156293222683</v>
      </c>
      <c r="G6" s="3">
        <f t="shared" si="7"/>
        <v>27.30880230880231</v>
      </c>
      <c r="H6" s="3">
        <f t="shared" si="7"/>
        <v>29.724485836243691</v>
      </c>
      <c r="I6" s="3">
        <f t="shared" si="7"/>
        <v>27.917121046892035</v>
      </c>
      <c r="J6" s="3">
        <f t="shared" si="7"/>
        <v>25.318197454420361</v>
      </c>
      <c r="K6" s="3">
        <f t="shared" si="7"/>
        <v>24.982529699510835</v>
      </c>
      <c r="L6" s="3">
        <f t="shared" si="7"/>
        <v>24.444444444444446</v>
      </c>
      <c r="M6" s="3">
        <f t="shared" si="7"/>
        <v>23.008285532186108</v>
      </c>
      <c r="N6" s="3">
        <f>J6*0.85</f>
        <v>21.520467836257307</v>
      </c>
      <c r="O6" s="3">
        <f>K6*0.85</f>
        <v>21.235150244584208</v>
      </c>
      <c r="P6" s="3">
        <f>L6*0.87</f>
        <v>21.266666666666669</v>
      </c>
      <c r="Q6" s="3">
        <f>M6*0.9</f>
        <v>20.707456978967496</v>
      </c>
      <c r="R6" s="3">
        <f>N6*0.92</f>
        <v>19.798830409356722</v>
      </c>
      <c r="V6" s="3">
        <f t="shared" si="2"/>
        <v>324.45789208270298</v>
      </c>
      <c r="W6" s="3">
        <f t="shared" si="2"/>
        <v>330.00817661488151</v>
      </c>
      <c r="X6" s="3">
        <f t="shared" si="2"/>
        <v>281.06820293807021</v>
      </c>
      <c r="Y6" s="3">
        <f t="shared" si="2"/>
        <v>248.83506156138066</v>
      </c>
      <c r="Z6" s="3">
        <f>Y6*0.95</f>
        <v>236.39330848331161</v>
      </c>
      <c r="AA6" s="3">
        <f t="shared" ref="AA6:AH6" si="8">Z6*0.95</f>
        <v>224.57364305914604</v>
      </c>
      <c r="AB6" s="3">
        <f t="shared" si="8"/>
        <v>213.34496090618873</v>
      </c>
      <c r="AC6" s="3">
        <f t="shared" si="8"/>
        <v>202.6777128608793</v>
      </c>
      <c r="AD6" s="3">
        <f t="shared" si="8"/>
        <v>192.54382721783531</v>
      </c>
      <c r="AE6" s="3">
        <f t="shared" si="8"/>
        <v>182.91663585694354</v>
      </c>
      <c r="AF6" s="3">
        <f t="shared" si="8"/>
        <v>173.77080406409635</v>
      </c>
      <c r="AG6" s="3">
        <f t="shared" si="8"/>
        <v>165.08226386089152</v>
      </c>
      <c r="AH6" s="3">
        <f t="shared" si="8"/>
        <v>156.82815066784693</v>
      </c>
    </row>
    <row r="7" spans="1:34" x14ac:dyDescent="0.3">
      <c r="B7" s="1" t="s">
        <v>26</v>
      </c>
      <c r="C7" s="3">
        <f>(C19/C13)/3</f>
        <v>17.147738512723674</v>
      </c>
      <c r="D7" s="3">
        <f t="shared" ref="D7:M7" si="9">(D19/D13)/3</f>
        <v>17.198581560283689</v>
      </c>
      <c r="E7" s="3">
        <f t="shared" si="9"/>
        <v>17.56440281030445</v>
      </c>
      <c r="F7" s="3">
        <f t="shared" si="9"/>
        <v>17.98974358974359</v>
      </c>
      <c r="G7" s="3">
        <f t="shared" si="9"/>
        <v>18.150684931506849</v>
      </c>
      <c r="H7" s="3">
        <f t="shared" si="9"/>
        <v>18.709124048461458</v>
      </c>
      <c r="I7" s="3">
        <f t="shared" si="9"/>
        <v>19.000872600349037</v>
      </c>
      <c r="J7" s="3">
        <f t="shared" si="9"/>
        <v>19.37420621175384</v>
      </c>
      <c r="K7" s="3">
        <f t="shared" si="9"/>
        <v>19.795702712222614</v>
      </c>
      <c r="L7" s="3">
        <f t="shared" si="9"/>
        <v>19.73264655383861</v>
      </c>
      <c r="M7" s="3">
        <f t="shared" si="9"/>
        <v>20.144982830980542</v>
      </c>
      <c r="N7" s="3">
        <f>J7*1.05</f>
        <v>20.342916522341532</v>
      </c>
      <c r="O7" s="3">
        <f>K7*1.05</f>
        <v>20.785487847833746</v>
      </c>
      <c r="P7" s="3">
        <f t="shared" ref="P7:R7" si="10">L7*1.05</f>
        <v>20.719278881530542</v>
      </c>
      <c r="Q7" s="3">
        <f t="shared" si="10"/>
        <v>21.15223197252957</v>
      </c>
      <c r="R7" s="3">
        <f t="shared" si="10"/>
        <v>21.360062348458609</v>
      </c>
      <c r="V7" s="3">
        <f t="shared" si="2"/>
        <v>209.50878451057724</v>
      </c>
      <c r="W7" s="3">
        <f t="shared" si="2"/>
        <v>225.50554468362685</v>
      </c>
      <c r="X7" s="3">
        <f t="shared" si="2"/>
        <v>239.93790210625309</v>
      </c>
      <c r="Y7" s="3">
        <f t="shared" si="2"/>
        <v>251.93479721156578</v>
      </c>
      <c r="Z7" s="3">
        <f>Y7*1.03</f>
        <v>259.49284112791275</v>
      </c>
      <c r="AA7" s="3">
        <f t="shared" ref="AA7:AH7" si="11">Z7*1.03</f>
        <v>267.27762636175015</v>
      </c>
      <c r="AB7" s="3">
        <f t="shared" si="11"/>
        <v>275.29595515260269</v>
      </c>
      <c r="AC7" s="3">
        <f t="shared" si="11"/>
        <v>283.55483380718078</v>
      </c>
      <c r="AD7" s="3">
        <f t="shared" si="11"/>
        <v>292.06147882139624</v>
      </c>
      <c r="AE7" s="3">
        <f t="shared" si="11"/>
        <v>300.82332318603812</v>
      </c>
      <c r="AF7" s="3">
        <f t="shared" si="11"/>
        <v>309.84802288161927</v>
      </c>
      <c r="AG7" s="3">
        <f t="shared" si="11"/>
        <v>319.14346356806789</v>
      </c>
      <c r="AH7" s="3">
        <f t="shared" si="11"/>
        <v>328.71776747510995</v>
      </c>
    </row>
    <row r="8" spans="1:34" x14ac:dyDescent="0.3">
      <c r="B8" s="1" t="s">
        <v>27</v>
      </c>
      <c r="C8" s="3">
        <f>(C20/C14)/3</f>
        <v>15.99730623239868</v>
      </c>
      <c r="D8" s="3">
        <f t="shared" ref="D8:M8" si="12">(D20/D14)/3</f>
        <v>15.860526583307923</v>
      </c>
      <c r="E8" s="3">
        <f t="shared" si="12"/>
        <v>16.018048505358152</v>
      </c>
      <c r="F8" s="3">
        <f t="shared" si="12"/>
        <v>15.999585019192862</v>
      </c>
      <c r="G8" s="3">
        <f t="shared" si="12"/>
        <v>16.263491663516863</v>
      </c>
      <c r="H8" s="3">
        <f t="shared" si="12"/>
        <v>17.404563872894009</v>
      </c>
      <c r="I8" s="3">
        <f t="shared" si="12"/>
        <v>18.389341479972845</v>
      </c>
      <c r="J8" s="3">
        <f t="shared" si="12"/>
        <v>18.672900478510911</v>
      </c>
      <c r="K8" s="3">
        <f t="shared" si="12"/>
        <v>18.87474882786336</v>
      </c>
      <c r="L8" s="3">
        <f t="shared" si="12"/>
        <v>19.048581631965501</v>
      </c>
      <c r="M8" s="3">
        <f t="shared" si="12"/>
        <v>19.262959554796023</v>
      </c>
      <c r="N8" s="3">
        <f>(N20/N14)/3</f>
        <v>19.536566419678696</v>
      </c>
      <c r="O8" s="3">
        <f t="shared" ref="O8:R8" si="13">(O20/O14)/3</f>
        <v>20.291045640616954</v>
      </c>
      <c r="P8" s="3">
        <f t="shared" si="13"/>
        <v>20.795950613414814</v>
      </c>
      <c r="Q8" s="3">
        <f t="shared" si="13"/>
        <v>21.650932404912179</v>
      </c>
      <c r="R8" s="3">
        <f t="shared" si="13"/>
        <v>21.240375068259251</v>
      </c>
      <c r="V8" s="3">
        <f t="shared" si="2"/>
        <v>191.62560068562331</v>
      </c>
      <c r="W8" s="3">
        <f t="shared" si="2"/>
        <v>212.05089580462166</v>
      </c>
      <c r="X8" s="3">
        <f t="shared" si="2"/>
        <v>230.15712472234762</v>
      </c>
      <c r="Y8" s="3">
        <f t="shared" si="2"/>
        <v>251.96826890786295</v>
      </c>
      <c r="Z8" s="3">
        <f t="shared" ref="Z8:AH8" si="14">Z20/Z14</f>
        <v>273.15863255368862</v>
      </c>
      <c r="AA8" s="3">
        <f t="shared" si="14"/>
        <v>292.48309092674265</v>
      </c>
      <c r="AB8" s="3">
        <f t="shared" si="14"/>
        <v>303.69446659150321</v>
      </c>
      <c r="AC8" s="3">
        <f t="shared" si="14"/>
        <v>309.88896473123685</v>
      </c>
      <c r="AD8" s="3">
        <f t="shared" si="14"/>
        <v>315.06899530516176</v>
      </c>
      <c r="AE8" s="3">
        <f t="shared" si="14"/>
        <v>318.8172201756953</v>
      </c>
      <c r="AF8" s="3">
        <f t="shared" si="14"/>
        <v>320.11925134374172</v>
      </c>
      <c r="AG8" s="3">
        <f t="shared" si="14"/>
        <v>319.69643171636039</v>
      </c>
      <c r="AH8" s="3">
        <f t="shared" si="14"/>
        <v>317.03799001029807</v>
      </c>
    </row>
    <row r="10" spans="1:34" x14ac:dyDescent="0.3">
      <c r="B10" s="1" t="s">
        <v>28</v>
      </c>
      <c r="C10" s="2">
        <v>10.686</v>
      </c>
      <c r="D10" s="2">
        <v>10.89</v>
      </c>
      <c r="E10" s="2">
        <v>11.103</v>
      </c>
      <c r="F10" s="2">
        <v>10.83</v>
      </c>
      <c r="G10" s="2">
        <v>10.653</v>
      </c>
      <c r="H10" s="2">
        <v>10.468999999999999</v>
      </c>
      <c r="I10" s="2">
        <v>10.412000000000001</v>
      </c>
      <c r="J10" s="2">
        <v>9.968</v>
      </c>
      <c r="K10" s="2">
        <v>9.7129999999999992</v>
      </c>
      <c r="L10" s="2">
        <v>9.6340000000000003</v>
      </c>
      <c r="M10" s="2">
        <v>9.9450000000000003</v>
      </c>
      <c r="N10" s="2">
        <f>J10*0.95</f>
        <v>9.4695999999999998</v>
      </c>
      <c r="O10" s="2">
        <f>K10*0.94</f>
        <v>9.1302199999999996</v>
      </c>
      <c r="P10" s="2">
        <f t="shared" ref="P10:R10" si="15">L10*0.94</f>
        <v>9.0559600000000007</v>
      </c>
      <c r="Q10" s="2">
        <f t="shared" si="15"/>
        <v>9.3483000000000001</v>
      </c>
      <c r="R10" s="2">
        <f t="shared" si="15"/>
        <v>8.9014239999999987</v>
      </c>
      <c r="V10" s="2">
        <f>AVERAGE(C10:F10)</f>
        <v>10.87725</v>
      </c>
      <c r="W10" s="2">
        <f>AVERAGE(G10:J10)</f>
        <v>10.375499999999999</v>
      </c>
      <c r="X10" s="2">
        <f>AVERAGE(K10:N10)</f>
        <v>9.6904000000000003</v>
      </c>
      <c r="Y10" s="2">
        <f>AVERAGE(O10:R10)</f>
        <v>9.1089760000000002</v>
      </c>
      <c r="Z10" s="2">
        <f>Y10*0.9</f>
        <v>8.1980784</v>
      </c>
      <c r="AA10" s="2">
        <f>Z10*0.9</f>
        <v>7.3782705599999998</v>
      </c>
      <c r="AB10" s="2">
        <f>AA10*0.9</f>
        <v>6.6404435040000003</v>
      </c>
      <c r="AC10" s="2">
        <f t="shared" ref="AC10:AH10" si="16">AB10*0.9</f>
        <v>5.9763991536000001</v>
      </c>
      <c r="AD10" s="2">
        <f t="shared" si="16"/>
        <v>5.3787592382399998</v>
      </c>
      <c r="AE10" s="2">
        <f t="shared" si="16"/>
        <v>4.8408833144159997</v>
      </c>
      <c r="AF10" s="2">
        <f t="shared" si="16"/>
        <v>4.3567949829743995</v>
      </c>
      <c r="AG10" s="2">
        <f t="shared" si="16"/>
        <v>3.9211154846769598</v>
      </c>
      <c r="AH10" s="2">
        <f t="shared" si="16"/>
        <v>3.5290039362092638</v>
      </c>
    </row>
    <row r="11" spans="1:34" x14ac:dyDescent="0.3">
      <c r="B11" s="1" t="s">
        <v>29</v>
      </c>
      <c r="C11" s="2">
        <v>0.94099999999999995</v>
      </c>
      <c r="D11" s="2">
        <v>0.96199999999999997</v>
      </c>
      <c r="E11" s="2">
        <v>0.998</v>
      </c>
      <c r="F11" s="2">
        <v>1.0209999999999999</v>
      </c>
      <c r="G11" s="2">
        <v>1.085</v>
      </c>
      <c r="H11" s="2">
        <v>1.1930000000000001</v>
      </c>
      <c r="I11" s="2">
        <v>1.327</v>
      </c>
      <c r="J11" s="2">
        <v>1.3620000000000001</v>
      </c>
      <c r="K11" s="2">
        <v>1.4239999999999999</v>
      </c>
      <c r="L11" s="2">
        <v>1.484</v>
      </c>
      <c r="M11" s="2">
        <v>1.6020000000000001</v>
      </c>
      <c r="N11" s="2">
        <f>J11*1.15</f>
        <v>1.5663</v>
      </c>
      <c r="O11" s="2">
        <f>K11*1.16</f>
        <v>1.6518399999999998</v>
      </c>
      <c r="P11" s="2">
        <f t="shared" ref="P11:R11" si="17">L11*1.16</f>
        <v>1.7214399999999999</v>
      </c>
      <c r="Q11" s="2">
        <f t="shared" si="17"/>
        <v>1.85832</v>
      </c>
      <c r="R11" s="2">
        <f t="shared" si="17"/>
        <v>1.816908</v>
      </c>
      <c r="V11" s="2">
        <f>AVERAGE(C11:F11)</f>
        <v>0.98049999999999993</v>
      </c>
      <c r="W11" s="2">
        <f>AVERAGE(G11:J11)</f>
        <v>1.2417500000000001</v>
      </c>
      <c r="X11" s="2">
        <f>AVERAGE(K11:N11)</f>
        <v>1.519075</v>
      </c>
      <c r="Y11" s="2">
        <f>AVERAGE(O11:R11)</f>
        <v>1.7621269999999998</v>
      </c>
      <c r="Z11" s="2">
        <f>Y11*1.13</f>
        <v>1.9912035099999996</v>
      </c>
      <c r="AA11" s="2">
        <f>Z11*1.1</f>
        <v>2.1903238609999995</v>
      </c>
      <c r="AB11" s="2">
        <f>AA11*1.08</f>
        <v>2.3655497698799999</v>
      </c>
      <c r="AC11" s="2">
        <f>AB11*1.06</f>
        <v>2.5074827560727999</v>
      </c>
      <c r="AD11" s="2">
        <f>AC11*1.05</f>
        <v>2.6328568938764398</v>
      </c>
      <c r="AE11" s="2">
        <f>AD11*1.03</f>
        <v>2.7118426006927332</v>
      </c>
      <c r="AF11" s="2">
        <f>AE11*0.98</f>
        <v>2.6576057486788787</v>
      </c>
      <c r="AG11" s="2">
        <f>AF11*0.95</f>
        <v>2.5247254612449348</v>
      </c>
      <c r="AH11" s="2">
        <f>AG11*0.9</f>
        <v>2.2722529151204416</v>
      </c>
    </row>
    <row r="12" spans="1:34" x14ac:dyDescent="0.3">
      <c r="B12" s="1" t="s">
        <v>30</v>
      </c>
      <c r="C12" s="2">
        <v>1</v>
      </c>
      <c r="D12" s="2">
        <v>0.97099999999999997</v>
      </c>
      <c r="E12" s="2">
        <v>1.0309999999999999</v>
      </c>
      <c r="F12" s="2">
        <v>0.96399999999999997</v>
      </c>
      <c r="G12" s="2">
        <v>0.92400000000000004</v>
      </c>
      <c r="H12" s="2">
        <v>0.85899999999999999</v>
      </c>
      <c r="I12" s="2">
        <v>0.91700000000000004</v>
      </c>
      <c r="J12" s="2">
        <v>0.96899999999999997</v>
      </c>
      <c r="K12" s="2">
        <v>0.95399999999999996</v>
      </c>
      <c r="L12" s="2">
        <v>1.0049999999999999</v>
      </c>
      <c r="M12" s="2">
        <v>1.046</v>
      </c>
      <c r="N12" s="2">
        <f>J12*1.13</f>
        <v>1.0949699999999998</v>
      </c>
      <c r="O12" s="2">
        <f>K12*1.1</f>
        <v>1.0494000000000001</v>
      </c>
      <c r="P12" s="2">
        <f>L12*1.12</f>
        <v>1.1255999999999999</v>
      </c>
      <c r="Q12" s="2">
        <f>M12*1.08</f>
        <v>1.12968</v>
      </c>
      <c r="R12" s="2">
        <f>N12*1.06</f>
        <v>1.1606681999999999</v>
      </c>
      <c r="V12" s="2">
        <f>AVERAGE(C12:F12)</f>
        <v>0.99149999999999994</v>
      </c>
      <c r="W12" s="2">
        <f>AVERAGE(G12:J12)</f>
        <v>0.91725000000000001</v>
      </c>
      <c r="X12" s="2">
        <f>AVERAGE(K12:N12)</f>
        <v>1.0249925</v>
      </c>
      <c r="Y12" s="2">
        <f>AVERAGE(O12:R12)</f>
        <v>1.1163370499999998</v>
      </c>
      <c r="Z12" s="2">
        <f>Y12*1.08</f>
        <v>1.205644014</v>
      </c>
      <c r="AA12" s="2">
        <f>Z12*1.05</f>
        <v>1.2659262147000001</v>
      </c>
      <c r="AB12" s="2">
        <f>AA12*1.06</f>
        <v>1.3418817875820002</v>
      </c>
      <c r="AC12" s="2">
        <f>AB12*1.03</f>
        <v>1.3821382412094603</v>
      </c>
      <c r="AD12" s="2">
        <f t="shared" ref="AD12:AH12" si="18">AC12*1.03</f>
        <v>1.423602388445744</v>
      </c>
      <c r="AE12" s="2">
        <f t="shared" si="18"/>
        <v>1.4663104600991164</v>
      </c>
      <c r="AF12" s="2">
        <f t="shared" si="18"/>
        <v>1.5102997739020898</v>
      </c>
      <c r="AG12" s="2">
        <f t="shared" si="18"/>
        <v>1.5556087671191525</v>
      </c>
      <c r="AH12" s="2">
        <f t="shared" si="18"/>
        <v>1.6022770301327272</v>
      </c>
    </row>
    <row r="13" spans="1:34" x14ac:dyDescent="0.3">
      <c r="B13" s="1" t="s">
        <v>31</v>
      </c>
      <c r="C13" s="2">
        <v>3.7069999999999999</v>
      </c>
      <c r="D13" s="2">
        <v>3.5720000000000001</v>
      </c>
      <c r="E13" s="2">
        <v>3.4159999999999999</v>
      </c>
      <c r="F13" s="2">
        <v>3.25</v>
      </c>
      <c r="G13" s="2">
        <v>3.2120000000000002</v>
      </c>
      <c r="H13" s="2">
        <v>3.109</v>
      </c>
      <c r="I13" s="2">
        <v>3.056</v>
      </c>
      <c r="J13" s="2">
        <v>2.887</v>
      </c>
      <c r="K13" s="2">
        <v>2.839</v>
      </c>
      <c r="L13" s="2">
        <v>2.718</v>
      </c>
      <c r="M13" s="2">
        <v>2.621</v>
      </c>
      <c r="N13" s="2">
        <f>J13*0.88</f>
        <v>2.5405600000000002</v>
      </c>
      <c r="O13" s="2">
        <f>K13*0.88</f>
        <v>2.4983200000000001</v>
      </c>
      <c r="P13" s="2">
        <f t="shared" ref="P13:R13" si="19">L13*0.88</f>
        <v>2.3918400000000002</v>
      </c>
      <c r="Q13" s="2">
        <f t="shared" si="19"/>
        <v>2.3064800000000001</v>
      </c>
      <c r="R13" s="2">
        <f t="shared" si="19"/>
        <v>2.2356928000000003</v>
      </c>
      <c r="V13" s="2">
        <f>AVERAGE(C13:F13)</f>
        <v>3.4862500000000001</v>
      </c>
      <c r="W13" s="2">
        <f>AVERAGE(G13:J13)</f>
        <v>3.0659999999999998</v>
      </c>
      <c r="X13" s="2">
        <f>AVERAGE(K13:N13)</f>
        <v>2.67964</v>
      </c>
      <c r="Y13" s="2">
        <f>AVERAGE(O13:R13)</f>
        <v>2.3580832000000003</v>
      </c>
      <c r="Z13" s="2">
        <f>Y13*0.9</f>
        <v>2.1222748800000004</v>
      </c>
      <c r="AA13" s="2">
        <f t="shared" ref="AA13:AH13" si="20">Z13*0.9</f>
        <v>1.9100473920000005</v>
      </c>
      <c r="AB13" s="2">
        <f t="shared" si="20"/>
        <v>1.7190426528000005</v>
      </c>
      <c r="AC13" s="2">
        <f t="shared" si="20"/>
        <v>1.5471383875200004</v>
      </c>
      <c r="AD13" s="2">
        <f t="shared" si="20"/>
        <v>1.3924245487680005</v>
      </c>
      <c r="AE13" s="2">
        <f t="shared" si="20"/>
        <v>1.2531820938912004</v>
      </c>
      <c r="AF13" s="2">
        <f t="shared" si="20"/>
        <v>1.1278638845020803</v>
      </c>
      <c r="AG13" s="2">
        <f t="shared" si="20"/>
        <v>1.0150774960518723</v>
      </c>
      <c r="AH13" s="2">
        <f t="shared" si="20"/>
        <v>0.91356974644668509</v>
      </c>
    </row>
    <row r="14" spans="1:34" x14ac:dyDescent="0.3">
      <c r="B14" s="1" t="s">
        <v>32</v>
      </c>
      <c r="C14" s="2">
        <f t="shared" ref="C14:N14" si="21">SUM(C10:C13)</f>
        <v>16.334</v>
      </c>
      <c r="D14" s="2">
        <f t="shared" si="21"/>
        <v>16.395</v>
      </c>
      <c r="E14" s="2">
        <f t="shared" si="21"/>
        <v>16.547999999999998</v>
      </c>
      <c r="F14" s="2">
        <f t="shared" si="21"/>
        <v>16.064999999999998</v>
      </c>
      <c r="G14" s="2">
        <f t="shared" si="21"/>
        <v>15.873999999999999</v>
      </c>
      <c r="H14" s="2">
        <f t="shared" si="21"/>
        <v>15.629999999999999</v>
      </c>
      <c r="I14" s="2">
        <f t="shared" si="21"/>
        <v>15.712</v>
      </c>
      <c r="J14" s="2">
        <f t="shared" si="21"/>
        <v>15.186</v>
      </c>
      <c r="K14" s="2">
        <f t="shared" si="21"/>
        <v>14.93</v>
      </c>
      <c r="L14" s="2">
        <f t="shared" si="21"/>
        <v>14.841000000000001</v>
      </c>
      <c r="M14" s="2">
        <f t="shared" si="21"/>
        <v>15.214</v>
      </c>
      <c r="N14" s="2">
        <f t="shared" si="21"/>
        <v>14.671430000000001</v>
      </c>
      <c r="O14" s="2">
        <f t="shared" ref="O14:R14" si="22">SUM(O10:O13)</f>
        <v>14.32978</v>
      </c>
      <c r="P14" s="2">
        <f t="shared" si="22"/>
        <v>14.294840000000001</v>
      </c>
      <c r="Q14" s="2">
        <f t="shared" si="22"/>
        <v>14.642780000000002</v>
      </c>
      <c r="R14" s="2">
        <f t="shared" si="22"/>
        <v>14.114692999999999</v>
      </c>
      <c r="V14" s="2">
        <f>SUM(V10:V13)</f>
        <v>16.3355</v>
      </c>
      <c r="W14" s="2">
        <f>SUM(W10:W13)</f>
        <v>15.600499999999997</v>
      </c>
      <c r="X14" s="2">
        <f>SUM(X10:X13)</f>
        <v>14.9141075</v>
      </c>
      <c r="Y14" s="2">
        <f>SUM(Y10:Y13)</f>
        <v>14.345523249999999</v>
      </c>
      <c r="Z14" s="2">
        <f>SUM(Z10:Z13)</f>
        <v>13.517200804000002</v>
      </c>
      <c r="AA14" s="2">
        <f t="shared" ref="AA14:AH14" si="23">SUM(AA10:AA13)</f>
        <v>12.744568027700002</v>
      </c>
      <c r="AB14" s="2">
        <f t="shared" si="23"/>
        <v>12.066917714262001</v>
      </c>
      <c r="AC14" s="2">
        <f t="shared" si="23"/>
        <v>11.413158538402261</v>
      </c>
      <c r="AD14" s="2">
        <f t="shared" si="23"/>
        <v>10.827643069330184</v>
      </c>
      <c r="AE14" s="2">
        <f t="shared" si="23"/>
        <v>10.272218469099048</v>
      </c>
      <c r="AF14" s="2">
        <f t="shared" si="23"/>
        <v>9.6525643900574494</v>
      </c>
      <c r="AG14" s="2">
        <f t="shared" si="23"/>
        <v>9.0165272090929207</v>
      </c>
      <c r="AH14" s="2">
        <f t="shared" si="23"/>
        <v>8.3171036279091179</v>
      </c>
    </row>
    <row r="16" spans="1:34" x14ac:dyDescent="0.3">
      <c r="B16" s="1" t="s">
        <v>33</v>
      </c>
      <c r="C16" s="2">
        <v>441</v>
      </c>
      <c r="D16" s="2">
        <v>449.1</v>
      </c>
      <c r="E16" s="2">
        <v>460.2</v>
      </c>
      <c r="F16" s="2">
        <v>444.2</v>
      </c>
      <c r="G16" s="2">
        <v>441.1</v>
      </c>
      <c r="H16" s="2">
        <v>474.7</v>
      </c>
      <c r="I16" s="2">
        <v>508.5</v>
      </c>
      <c r="J16" s="2">
        <v>493.2</v>
      </c>
      <c r="K16" s="2">
        <v>481.5</v>
      </c>
      <c r="L16" s="2">
        <v>479.9</v>
      </c>
      <c r="M16" s="2">
        <v>503.2</v>
      </c>
      <c r="N16" s="2">
        <f t="shared" ref="N16:O19" si="24">(N10*N4)*3</f>
        <v>487.28160000000003</v>
      </c>
      <c r="O16" s="2">
        <f t="shared" si="24"/>
        <v>488.81880000000001</v>
      </c>
      <c r="P16" s="2">
        <f t="shared" ref="P16:R16" si="25">(P10*P4)*3</f>
        <v>496.21659999999997</v>
      </c>
      <c r="Q16" s="2">
        <f t="shared" si="25"/>
        <v>543.9591999999999</v>
      </c>
      <c r="R16" s="2">
        <f t="shared" si="25"/>
        <v>494.68828031999999</v>
      </c>
      <c r="U16" s="2">
        <v>1649.7570000000001</v>
      </c>
      <c r="V16" s="2">
        <f>SUM(C16:F16)</f>
        <v>1794.5</v>
      </c>
      <c r="W16" s="2">
        <f>SUM(G16:J16)</f>
        <v>1917.5</v>
      </c>
      <c r="X16" s="2">
        <f>SUM(K16:N16)</f>
        <v>1951.8815999999999</v>
      </c>
      <c r="Y16" s="2">
        <f>SUM(O16:R16)</f>
        <v>2023.6828803200001</v>
      </c>
      <c r="Z16" s="2">
        <f>Z10*Z4</f>
        <v>2003.4460515168003</v>
      </c>
      <c r="AA16" s="2">
        <f>AA10*AA4</f>
        <v>1947.3495620743302</v>
      </c>
      <c r="AB16" s="2">
        <f>AB10*AB4</f>
        <v>1787.6668979842352</v>
      </c>
      <c r="AC16" s="2">
        <f>AC10*AC4</f>
        <v>1657.1672144313861</v>
      </c>
      <c r="AD16" s="2">
        <f>AD10*AD4</f>
        <v>1536.1940077778947</v>
      </c>
      <c r="AE16" s="2">
        <f t="shared" ref="AE16:AH16" si="26">AE10*AE4</f>
        <v>1424.0518452101085</v>
      </c>
      <c r="AF16" s="2">
        <f t="shared" si="26"/>
        <v>1320.0960605097705</v>
      </c>
      <c r="AG16" s="2">
        <f t="shared" si="26"/>
        <v>1223.7290480925574</v>
      </c>
      <c r="AH16" s="2">
        <f t="shared" si="26"/>
        <v>1134.3968275818006</v>
      </c>
    </row>
    <row r="17" spans="2:34" x14ac:dyDescent="0.3">
      <c r="B17" s="1" t="s">
        <v>34</v>
      </c>
      <c r="C17" s="2">
        <v>65</v>
      </c>
      <c r="D17" s="2">
        <v>67.099999999999994</v>
      </c>
      <c r="E17" s="2">
        <v>74.400000000000006</v>
      </c>
      <c r="F17" s="2">
        <v>77.2</v>
      </c>
      <c r="G17" s="2">
        <v>82.8</v>
      </c>
      <c r="H17" s="2">
        <v>90.3</v>
      </c>
      <c r="I17" s="2">
        <v>107.3</v>
      </c>
      <c r="J17" s="2">
        <v>116.1</v>
      </c>
      <c r="K17" s="2">
        <v>123.8</v>
      </c>
      <c r="L17" s="2">
        <v>133.6</v>
      </c>
      <c r="M17" s="2">
        <v>145.4</v>
      </c>
      <c r="N17" s="2">
        <f t="shared" si="24"/>
        <v>146.8665</v>
      </c>
      <c r="O17" s="2">
        <f t="shared" si="24"/>
        <v>160.84096</v>
      </c>
      <c r="P17" s="2">
        <f t="shared" ref="P17:R17" si="27">(P11*P5)*3</f>
        <v>175.12287999999998</v>
      </c>
      <c r="Q17" s="2">
        <f t="shared" si="27"/>
        <v>190.59032000000002</v>
      </c>
      <c r="R17" s="2">
        <f t="shared" si="27"/>
        <v>192.51260819999999</v>
      </c>
      <c r="U17" s="2">
        <v>196.53800000000001</v>
      </c>
      <c r="V17" s="2">
        <f>SUM(C17:F17)</f>
        <v>283.7</v>
      </c>
      <c r="W17" s="2">
        <f>SUM(G17:J17)</f>
        <v>396.5</v>
      </c>
      <c r="X17" s="2">
        <f>SUM(K17:N17)</f>
        <v>549.66649999999993</v>
      </c>
      <c r="Y17" s="2">
        <f>SUM(O17:R17)</f>
        <v>719.06676820000007</v>
      </c>
      <c r="Z17" s="2">
        <f>Z11*Z5</f>
        <v>853.17272046930009</v>
      </c>
      <c r="AA17" s="2">
        <f t="shared" ref="AA17:AH17" si="28">AA11*AA5</f>
        <v>985.41449214204169</v>
      </c>
      <c r="AB17" s="2">
        <f t="shared" si="28"/>
        <v>1117.4600340890754</v>
      </c>
      <c r="AC17" s="2">
        <f t="shared" si="28"/>
        <v>1160.8174834117315</v>
      </c>
      <c r="AD17" s="2">
        <f t="shared" si="28"/>
        <v>1194.4811904306719</v>
      </c>
      <c r="AE17" s="2">
        <f t="shared" si="28"/>
        <v>1205.7093136207202</v>
      </c>
      <c r="AF17" s="2">
        <f t="shared" si="28"/>
        <v>1157.9632248013395</v>
      </c>
      <c r="AG17" s="2">
        <f t="shared" si="28"/>
        <v>1078.0637622900472</v>
      </c>
      <c r="AH17" s="2">
        <f t="shared" si="28"/>
        <v>950.85223833982172</v>
      </c>
    </row>
    <row r="18" spans="2:34" x14ac:dyDescent="0.3">
      <c r="B18" s="1" t="s">
        <v>35</v>
      </c>
      <c r="C18" s="2">
        <v>87.2</v>
      </c>
      <c r="D18" s="2">
        <v>79.599999999999994</v>
      </c>
      <c r="E18" s="2">
        <v>80.599999999999994</v>
      </c>
      <c r="F18" s="2">
        <v>74.3</v>
      </c>
      <c r="G18" s="2">
        <v>75.7</v>
      </c>
      <c r="H18" s="2">
        <v>76.599999999999994</v>
      </c>
      <c r="I18" s="2">
        <v>76.8</v>
      </c>
      <c r="J18" s="2">
        <v>73.599999999999994</v>
      </c>
      <c r="K18" s="2">
        <v>71.5</v>
      </c>
      <c r="L18" s="2">
        <v>73.7</v>
      </c>
      <c r="M18" s="2">
        <v>72.2</v>
      </c>
      <c r="N18" s="2">
        <f t="shared" si="24"/>
        <v>70.692799999999977</v>
      </c>
      <c r="O18" s="2">
        <f t="shared" si="24"/>
        <v>66.85250000000002</v>
      </c>
      <c r="P18" s="2">
        <f t="shared" ref="P18:R18" si="29">(P12*P6)*3</f>
        <v>71.813280000000006</v>
      </c>
      <c r="Q18" s="2">
        <f t="shared" si="29"/>
        <v>70.178400000000011</v>
      </c>
      <c r="R18" s="2">
        <f t="shared" si="29"/>
        <v>68.939618559999985</v>
      </c>
      <c r="U18" s="2">
        <v>268.642</v>
      </c>
      <c r="V18" s="2">
        <f>SUM(C18:F18)</f>
        <v>321.7</v>
      </c>
      <c r="W18" s="2">
        <f>SUM(G18:J18)</f>
        <v>302.70000000000005</v>
      </c>
      <c r="X18" s="2">
        <f>SUM(K18:N18)</f>
        <v>288.09279999999995</v>
      </c>
      <c r="Y18" s="2">
        <f>SUM(O18:R18)</f>
        <v>277.78379856000004</v>
      </c>
      <c r="Z18" s="2">
        <f>Z12*Z6</f>
        <v>285.00617732256006</v>
      </c>
      <c r="AA18" s="2">
        <f t="shared" ref="AA18:AH18" si="30">AA12*AA6</f>
        <v>284.2936618792537</v>
      </c>
      <c r="AB18" s="2">
        <f t="shared" si="30"/>
        <v>286.28371751240849</v>
      </c>
      <c r="AC18" s="2">
        <f t="shared" si="30"/>
        <v>280.12861758589173</v>
      </c>
      <c r="AD18" s="2">
        <f t="shared" si="30"/>
        <v>274.10585230779503</v>
      </c>
      <c r="AE18" s="2">
        <f t="shared" si="30"/>
        <v>268.21257648317743</v>
      </c>
      <c r="AF18" s="2">
        <f t="shared" si="30"/>
        <v>262.44600608878909</v>
      </c>
      <c r="AG18" s="2">
        <f t="shared" si="30"/>
        <v>256.80341695788007</v>
      </c>
      <c r="AH18" s="2">
        <f t="shared" si="30"/>
        <v>251.28214349328564</v>
      </c>
    </row>
    <row r="19" spans="2:34" x14ac:dyDescent="0.3">
      <c r="B19" s="1" t="s">
        <v>36</v>
      </c>
      <c r="C19" s="2">
        <v>190.7</v>
      </c>
      <c r="D19" s="2">
        <v>184.3</v>
      </c>
      <c r="E19" s="2">
        <v>180</v>
      </c>
      <c r="F19" s="2">
        <v>175.4</v>
      </c>
      <c r="G19" s="2">
        <v>174.9</v>
      </c>
      <c r="H19" s="2">
        <v>174.5</v>
      </c>
      <c r="I19" s="2">
        <v>174.2</v>
      </c>
      <c r="J19" s="2">
        <v>167.8</v>
      </c>
      <c r="K19" s="2">
        <v>168.6</v>
      </c>
      <c r="L19" s="2">
        <v>160.9</v>
      </c>
      <c r="M19" s="2">
        <v>158.4</v>
      </c>
      <c r="N19" s="2">
        <f t="shared" si="24"/>
        <v>155.04720000000003</v>
      </c>
      <c r="O19" s="2">
        <f t="shared" si="24"/>
        <v>155.78640000000001</v>
      </c>
      <c r="P19" s="2">
        <f t="shared" ref="P19:R19" si="31">(P13*P7)*3</f>
        <v>148.67160000000004</v>
      </c>
      <c r="Q19" s="2">
        <f t="shared" si="31"/>
        <v>146.36160000000001</v>
      </c>
      <c r="R19" s="2">
        <f t="shared" si="31"/>
        <v>143.26361280000003</v>
      </c>
      <c r="U19" s="2">
        <v>807.93399999999997</v>
      </c>
      <c r="V19" s="2">
        <f>SUM(C19:F19)</f>
        <v>730.4</v>
      </c>
      <c r="W19" s="2">
        <f>SUM(G19:J19)</f>
        <v>691.39999999999986</v>
      </c>
      <c r="X19" s="2">
        <f>SUM(K19:N19)</f>
        <v>642.94720000000007</v>
      </c>
      <c r="Y19" s="2">
        <f>SUM(O19:R19)</f>
        <v>594.08321280000018</v>
      </c>
      <c r="Z19" s="2">
        <f>Z13*Z7</f>
        <v>550.71513826560022</v>
      </c>
      <c r="AA19" s="2">
        <f t="shared" ref="AA19:AH19" si="32">AA13*AA7</f>
        <v>510.51293317221149</v>
      </c>
      <c r="AB19" s="2">
        <f t="shared" si="32"/>
        <v>473.24548905064006</v>
      </c>
      <c r="AC19" s="2">
        <f t="shared" si="32"/>
        <v>438.6985683499434</v>
      </c>
      <c r="AD19" s="2">
        <f t="shared" si="32"/>
        <v>406.6735728603976</v>
      </c>
      <c r="AE19" s="2">
        <f t="shared" si="32"/>
        <v>376.98640204158852</v>
      </c>
      <c r="AF19" s="2">
        <f t="shared" si="32"/>
        <v>349.46639469255257</v>
      </c>
      <c r="AG19" s="2">
        <f t="shared" si="32"/>
        <v>323.95534787999628</v>
      </c>
      <c r="AH19" s="2">
        <f t="shared" si="32"/>
        <v>300.30660748475657</v>
      </c>
    </row>
    <row r="20" spans="2:34" x14ac:dyDescent="0.3">
      <c r="B20" s="1" t="s">
        <v>37</v>
      </c>
      <c r="C20" s="2">
        <f t="shared" ref="C20:N20" si="33">SUM(C16:C19)</f>
        <v>783.90000000000009</v>
      </c>
      <c r="D20" s="2">
        <f t="shared" si="33"/>
        <v>780.10000000000014</v>
      </c>
      <c r="E20" s="2">
        <f t="shared" si="33"/>
        <v>795.2</v>
      </c>
      <c r="F20" s="2">
        <f t="shared" si="33"/>
        <v>771.09999999999991</v>
      </c>
      <c r="G20" s="2">
        <f t="shared" si="33"/>
        <v>774.5</v>
      </c>
      <c r="H20" s="2">
        <f t="shared" si="33"/>
        <v>816.1</v>
      </c>
      <c r="I20" s="2">
        <f t="shared" si="33"/>
        <v>866.8</v>
      </c>
      <c r="J20" s="2">
        <f t="shared" si="33"/>
        <v>850.7</v>
      </c>
      <c r="K20" s="2">
        <f t="shared" si="33"/>
        <v>845.4</v>
      </c>
      <c r="L20" s="2">
        <f t="shared" si="33"/>
        <v>848.1</v>
      </c>
      <c r="M20" s="2">
        <f t="shared" si="33"/>
        <v>879.2</v>
      </c>
      <c r="N20" s="2">
        <f t="shared" si="33"/>
        <v>859.88809999999989</v>
      </c>
      <c r="O20" s="2">
        <f t="shared" ref="O20:R20" si="34">SUM(O16:O19)</f>
        <v>872.29865999999993</v>
      </c>
      <c r="P20" s="2">
        <f t="shared" si="34"/>
        <v>891.82435999999996</v>
      </c>
      <c r="Q20" s="2">
        <f t="shared" si="34"/>
        <v>951.08951999999999</v>
      </c>
      <c r="R20" s="2">
        <f t="shared" si="34"/>
        <v>899.40411988000005</v>
      </c>
      <c r="U20" s="2">
        <f t="shared" ref="U20:Z20" si="35">SUM(U16:U19)</f>
        <v>2922.8710000000001</v>
      </c>
      <c r="V20" s="2">
        <f t="shared" si="35"/>
        <v>3130.2999999999997</v>
      </c>
      <c r="W20" s="2">
        <f t="shared" si="35"/>
        <v>3308.0999999999995</v>
      </c>
      <c r="X20" s="2">
        <f t="shared" si="35"/>
        <v>3432.5880999999999</v>
      </c>
      <c r="Y20" s="2">
        <f t="shared" si="35"/>
        <v>3614.61665988</v>
      </c>
      <c r="Z20" s="2">
        <f t="shared" si="35"/>
        <v>3692.3400875742609</v>
      </c>
      <c r="AA20" s="2">
        <f t="shared" ref="AA20:AH20" si="36">SUM(AA16:AA19)</f>
        <v>3727.5706492678369</v>
      </c>
      <c r="AB20" s="2">
        <f t="shared" si="36"/>
        <v>3664.6561386363596</v>
      </c>
      <c r="AC20" s="2">
        <f t="shared" si="36"/>
        <v>3536.811883778953</v>
      </c>
      <c r="AD20" s="2">
        <f t="shared" si="36"/>
        <v>3411.4546233767592</v>
      </c>
      <c r="AE20" s="2">
        <f t="shared" si="36"/>
        <v>3274.9601373555947</v>
      </c>
      <c r="AF20" s="2">
        <f t="shared" si="36"/>
        <v>3089.9716860924518</v>
      </c>
      <c r="AG20" s="2">
        <f t="shared" si="36"/>
        <v>2882.5515752204806</v>
      </c>
      <c r="AH20" s="2">
        <f t="shared" si="36"/>
        <v>2636.8378168996646</v>
      </c>
    </row>
    <row r="21" spans="2:34" x14ac:dyDescent="0.3">
      <c r="B21" s="1" t="s">
        <v>38</v>
      </c>
      <c r="C21" s="2">
        <v>14.8</v>
      </c>
      <c r="D21" s="2">
        <v>14.4</v>
      </c>
      <c r="E21" s="2">
        <v>14.4</v>
      </c>
      <c r="F21" s="2">
        <v>15.1</v>
      </c>
      <c r="G21" s="2">
        <v>12.7</v>
      </c>
      <c r="H21" s="2">
        <v>13.4</v>
      </c>
      <c r="I21" s="2">
        <v>14.8</v>
      </c>
      <c r="J21" s="2">
        <v>15.5</v>
      </c>
      <c r="K21" s="2">
        <v>14.3</v>
      </c>
      <c r="L21" s="2">
        <v>15.9</v>
      </c>
      <c r="M21" s="2">
        <v>16.3</v>
      </c>
      <c r="N21" s="2">
        <v>15</v>
      </c>
      <c r="O21" s="2">
        <v>15</v>
      </c>
      <c r="P21" s="2">
        <v>15</v>
      </c>
      <c r="Q21" s="2">
        <v>15</v>
      </c>
      <c r="R21" s="2">
        <v>15</v>
      </c>
      <c r="U21" s="2">
        <v>60.405999999999999</v>
      </c>
      <c r="V21" s="2">
        <f>SUM(C21:F21)</f>
        <v>58.7</v>
      </c>
      <c r="W21" s="2">
        <f>SUM(G21:J21)</f>
        <v>56.400000000000006</v>
      </c>
      <c r="X21" s="2">
        <f>SUM(K21:N21)</f>
        <v>61.5</v>
      </c>
      <c r="Y21" s="2">
        <f>SUM(O21:R21)</f>
        <v>60</v>
      </c>
      <c r="Z21" s="7">
        <f>Z20*0.02</f>
        <v>73.846801751485216</v>
      </c>
      <c r="AA21" s="7">
        <f t="shared" ref="AA21:AH21" si="37">AA20*0.02</f>
        <v>74.551412985356734</v>
      </c>
      <c r="AB21" s="7">
        <f t="shared" si="37"/>
        <v>73.293122772727187</v>
      </c>
      <c r="AC21" s="7">
        <f t="shared" si="37"/>
        <v>70.736237675579062</v>
      </c>
      <c r="AD21" s="7">
        <f t="shared" si="37"/>
        <v>68.229092467535182</v>
      </c>
      <c r="AE21" s="7">
        <f t="shared" si="37"/>
        <v>65.499202747111894</v>
      </c>
      <c r="AF21" s="7">
        <f t="shared" si="37"/>
        <v>61.799433721849034</v>
      </c>
      <c r="AG21" s="7">
        <f t="shared" si="37"/>
        <v>57.651031504409616</v>
      </c>
      <c r="AH21" s="7">
        <f t="shared" si="37"/>
        <v>52.736756337993292</v>
      </c>
    </row>
    <row r="22" spans="2:34" x14ac:dyDescent="0.3">
      <c r="B22" s="1" t="s">
        <v>39</v>
      </c>
      <c r="C22" s="2">
        <f t="shared" ref="C22:N22" si="38">SUM(C20:C21)</f>
        <v>798.7</v>
      </c>
      <c r="D22" s="2">
        <f t="shared" si="38"/>
        <v>794.50000000000011</v>
      </c>
      <c r="E22" s="2">
        <f t="shared" si="38"/>
        <v>809.6</v>
      </c>
      <c r="F22" s="2">
        <f t="shared" si="38"/>
        <v>786.19999999999993</v>
      </c>
      <c r="G22" s="2">
        <f t="shared" si="38"/>
        <v>787.2</v>
      </c>
      <c r="H22" s="2">
        <f t="shared" si="38"/>
        <v>829.5</v>
      </c>
      <c r="I22" s="2">
        <f t="shared" si="38"/>
        <v>881.59999999999991</v>
      </c>
      <c r="J22" s="2">
        <f t="shared" si="38"/>
        <v>866.2</v>
      </c>
      <c r="K22" s="2">
        <f t="shared" si="38"/>
        <v>859.69999999999993</v>
      </c>
      <c r="L22" s="2">
        <f t="shared" si="38"/>
        <v>864</v>
      </c>
      <c r="M22" s="2">
        <f t="shared" si="38"/>
        <v>895.5</v>
      </c>
      <c r="N22" s="2">
        <f t="shared" si="38"/>
        <v>874.88809999999989</v>
      </c>
      <c r="O22" s="2">
        <f t="shared" ref="O22:R22" si="39">SUM(O20:O21)</f>
        <v>887.29865999999993</v>
      </c>
      <c r="P22" s="2">
        <f t="shared" si="39"/>
        <v>906.82435999999996</v>
      </c>
      <c r="Q22" s="2">
        <f t="shared" si="39"/>
        <v>966.08951999999999</v>
      </c>
      <c r="R22" s="2">
        <f t="shared" si="39"/>
        <v>914.40411988000005</v>
      </c>
      <c r="T22" s="2">
        <v>2391.2689999999998</v>
      </c>
      <c r="U22" s="2">
        <f>SUM(U20:U21)</f>
        <v>2983.277</v>
      </c>
      <c r="V22" s="2">
        <f>SUM(V20:V21)</f>
        <v>3188.9999999999995</v>
      </c>
      <c r="W22" s="2">
        <f>SUM(W20:W21)</f>
        <v>3364.4999999999995</v>
      </c>
      <c r="X22" s="2">
        <f>SUM(X20:X21)</f>
        <v>3494.0880999999999</v>
      </c>
      <c r="Y22" s="2">
        <f>SUM(Y20:Y21)</f>
        <v>3674.61665988</v>
      </c>
      <c r="Z22" s="2">
        <f t="shared" ref="Z22:AH22" si="40">SUM(Z20:Z21)</f>
        <v>3766.1868893257461</v>
      </c>
      <c r="AA22" s="2">
        <f t="shared" si="40"/>
        <v>3802.1220622531937</v>
      </c>
      <c r="AB22" s="2">
        <f t="shared" si="40"/>
        <v>3737.9492614090868</v>
      </c>
      <c r="AC22" s="2">
        <f t="shared" si="40"/>
        <v>3607.5481214545321</v>
      </c>
      <c r="AD22" s="2">
        <f t="shared" si="40"/>
        <v>3479.6837158442945</v>
      </c>
      <c r="AE22" s="2">
        <f t="shared" si="40"/>
        <v>3340.4593401027068</v>
      </c>
      <c r="AF22" s="2">
        <f t="shared" si="40"/>
        <v>3151.7711198143011</v>
      </c>
      <c r="AG22" s="2">
        <f t="shared" si="40"/>
        <v>2940.2026067248903</v>
      </c>
      <c r="AH22" s="2">
        <f t="shared" si="40"/>
        <v>2689.5745732376581</v>
      </c>
    </row>
    <row r="23" spans="2:34" x14ac:dyDescent="0.3">
      <c r="B23" s="1" t="s">
        <v>40</v>
      </c>
      <c r="C23" s="2">
        <v>236.23599999999999</v>
      </c>
      <c r="D23" s="2">
        <v>240.84</v>
      </c>
      <c r="E23" s="2">
        <v>246.96199999999999</v>
      </c>
      <c r="F23" s="2">
        <v>235.92500000000001</v>
      </c>
      <c r="G23" s="2">
        <v>240.01</v>
      </c>
      <c r="H23" s="2">
        <v>250.29400000000001</v>
      </c>
      <c r="I23" s="2">
        <v>255.59800000000001</v>
      </c>
      <c r="J23" s="2">
        <v>208.11199999999999</v>
      </c>
      <c r="K23" s="2">
        <v>256.74200000000002</v>
      </c>
      <c r="L23" s="2">
        <v>244.988</v>
      </c>
      <c r="M23" s="2">
        <v>253.12899999999999</v>
      </c>
      <c r="N23" s="2">
        <f>N22*0.28</f>
        <v>244.96866799999998</v>
      </c>
      <c r="O23" s="2">
        <f>O22*0.28</f>
        <v>248.44362480000001</v>
      </c>
      <c r="P23" s="2">
        <f t="shared" ref="P23:R23" si="41">P22*0.28</f>
        <v>253.91082080000001</v>
      </c>
      <c r="Q23" s="2">
        <f t="shared" si="41"/>
        <v>270.50506560000002</v>
      </c>
      <c r="R23" s="2">
        <f t="shared" si="41"/>
        <v>256.03315356640002</v>
      </c>
      <c r="T23" s="2">
        <v>635.83299999999997</v>
      </c>
      <c r="U23" s="2">
        <v>839.30799999999999</v>
      </c>
      <c r="V23" s="2">
        <f>SUM(C23:F23)</f>
        <v>959.96299999999997</v>
      </c>
      <c r="W23" s="2">
        <f>SUM(G23:J23)</f>
        <v>954.01400000000001</v>
      </c>
      <c r="X23" s="2">
        <f>SUM(K23:N23)</f>
        <v>999.82766800000002</v>
      </c>
      <c r="Y23" s="2">
        <f>SUM(O23:R23)</f>
        <v>1028.8926647664</v>
      </c>
      <c r="Z23" s="2">
        <f>Z22*0.28</f>
        <v>1054.532329011209</v>
      </c>
      <c r="AA23" s="2">
        <f t="shared" ref="AA23:AH23" si="42">AA22*0.28</f>
        <v>1064.5941774308944</v>
      </c>
      <c r="AB23" s="2">
        <f t="shared" si="42"/>
        <v>1046.6257931945445</v>
      </c>
      <c r="AC23" s="2">
        <f t="shared" si="42"/>
        <v>1010.113474007269</v>
      </c>
      <c r="AD23" s="2">
        <f t="shared" si="42"/>
        <v>974.31144043640256</v>
      </c>
      <c r="AE23" s="2">
        <f t="shared" si="42"/>
        <v>935.32861522875805</v>
      </c>
      <c r="AF23" s="2">
        <f t="shared" si="42"/>
        <v>882.49591354800441</v>
      </c>
      <c r="AG23" s="2">
        <f t="shared" si="42"/>
        <v>823.25672988296935</v>
      </c>
      <c r="AH23" s="2">
        <f t="shared" si="42"/>
        <v>753.0808805065443</v>
      </c>
    </row>
    <row r="24" spans="2:34" x14ac:dyDescent="0.3">
      <c r="B24" s="1" t="s">
        <v>41</v>
      </c>
      <c r="C24" s="2">
        <f t="shared" ref="C24:N24" si="43">C22-C23</f>
        <v>562.46400000000006</v>
      </c>
      <c r="D24" s="2">
        <f t="shared" si="43"/>
        <v>553.66000000000008</v>
      </c>
      <c r="E24" s="2">
        <f t="shared" si="43"/>
        <v>562.63800000000003</v>
      </c>
      <c r="F24" s="2">
        <f t="shared" si="43"/>
        <v>550.27499999999986</v>
      </c>
      <c r="G24" s="2">
        <f t="shared" si="43"/>
        <v>547.19000000000005</v>
      </c>
      <c r="H24" s="2">
        <f t="shared" si="43"/>
        <v>579.20600000000002</v>
      </c>
      <c r="I24" s="2">
        <f t="shared" si="43"/>
        <v>626.00199999999995</v>
      </c>
      <c r="J24" s="2">
        <f t="shared" si="43"/>
        <v>658.08800000000008</v>
      </c>
      <c r="K24" s="2">
        <f t="shared" si="43"/>
        <v>602.95799999999986</v>
      </c>
      <c r="L24" s="2">
        <f t="shared" si="43"/>
        <v>619.01199999999994</v>
      </c>
      <c r="M24" s="2">
        <f t="shared" si="43"/>
        <v>642.37099999999998</v>
      </c>
      <c r="N24" s="2">
        <f t="shared" si="43"/>
        <v>629.91943199999992</v>
      </c>
      <c r="O24" s="2">
        <f t="shared" ref="O24:R24" si="44">O22-O23</f>
        <v>638.85503519999997</v>
      </c>
      <c r="P24" s="2">
        <f t="shared" si="44"/>
        <v>652.91353919999995</v>
      </c>
      <c r="Q24" s="2">
        <f t="shared" si="44"/>
        <v>695.58445439999991</v>
      </c>
      <c r="R24" s="2">
        <f t="shared" si="44"/>
        <v>658.37096631360009</v>
      </c>
      <c r="T24" s="2">
        <f t="shared" ref="T24:Y24" si="45">T22-T23</f>
        <v>1755.4359999999997</v>
      </c>
      <c r="U24" s="2">
        <f t="shared" si="45"/>
        <v>2143.9690000000001</v>
      </c>
      <c r="V24" s="2">
        <f t="shared" si="45"/>
        <v>2229.0369999999994</v>
      </c>
      <c r="W24" s="2">
        <f t="shared" si="45"/>
        <v>2410.4859999999994</v>
      </c>
      <c r="X24" s="2">
        <f t="shared" si="45"/>
        <v>2494.260432</v>
      </c>
      <c r="Y24" s="2">
        <f t="shared" si="45"/>
        <v>2645.7239951135998</v>
      </c>
      <c r="Z24" s="2">
        <f t="shared" ref="Z24:AH24" si="46">Z22-Z23</f>
        <v>2711.6545603145369</v>
      </c>
      <c r="AA24" s="2">
        <f t="shared" si="46"/>
        <v>2737.5278848222993</v>
      </c>
      <c r="AB24" s="2">
        <f t="shared" si="46"/>
        <v>2691.3234682145421</v>
      </c>
      <c r="AC24" s="2">
        <f t="shared" si="46"/>
        <v>2597.4346474472632</v>
      </c>
      <c r="AD24" s="2">
        <f t="shared" si="46"/>
        <v>2505.3722754078917</v>
      </c>
      <c r="AE24" s="2">
        <f t="shared" si="46"/>
        <v>2405.1307248739486</v>
      </c>
      <c r="AF24" s="2">
        <f t="shared" si="46"/>
        <v>2269.2752062662967</v>
      </c>
      <c r="AG24" s="2">
        <f t="shared" si="46"/>
        <v>2116.9458768419208</v>
      </c>
      <c r="AH24" s="2">
        <f t="shared" si="46"/>
        <v>1936.4936927311137</v>
      </c>
    </row>
    <row r="25" spans="2:34" x14ac:dyDescent="0.3">
      <c r="B25" s="1" t="s">
        <v>42</v>
      </c>
      <c r="C25" s="2">
        <v>151.88800000000001</v>
      </c>
      <c r="D25" s="2">
        <v>125.679</v>
      </c>
      <c r="E25" s="2">
        <v>129.61500000000001</v>
      </c>
      <c r="F25" s="2">
        <v>127.33499999999999</v>
      </c>
      <c r="G25" s="2">
        <v>137.35900000000001</v>
      </c>
      <c r="H25" s="2">
        <v>136.59700000000001</v>
      </c>
      <c r="I25" s="2">
        <v>153.40799999999999</v>
      </c>
      <c r="J25" s="2">
        <v>158.898</v>
      </c>
      <c r="K25" s="2">
        <v>165.30099999999999</v>
      </c>
      <c r="L25" s="2">
        <v>154.62799999999999</v>
      </c>
      <c r="M25" s="2">
        <v>156.65600000000001</v>
      </c>
      <c r="N25" s="2">
        <f>N22*0.18</f>
        <v>157.47985799999998</v>
      </c>
      <c r="O25" s="2">
        <f>O22*0.17</f>
        <v>150.8407722</v>
      </c>
      <c r="P25" s="2">
        <f t="shared" ref="P25:R25" si="47">P22*0.17</f>
        <v>154.1601412</v>
      </c>
      <c r="Q25" s="2">
        <f t="shared" si="47"/>
        <v>164.23521840000001</v>
      </c>
      <c r="R25" s="2">
        <f t="shared" si="47"/>
        <v>155.44870037960001</v>
      </c>
      <c r="T25" s="2">
        <v>479.90699999999998</v>
      </c>
      <c r="U25" s="2">
        <v>566.45899999999995</v>
      </c>
      <c r="V25" s="2">
        <f>SUM(C25:F25)</f>
        <v>534.51700000000005</v>
      </c>
      <c r="W25" s="2">
        <f>SUM(G25:J25)</f>
        <v>586.26200000000006</v>
      </c>
      <c r="X25" s="2">
        <f>SUM(K25:N25)</f>
        <v>634.06485799999996</v>
      </c>
      <c r="Y25" s="2">
        <f>SUM(O25:R25)</f>
        <v>624.68483217959999</v>
      </c>
      <c r="Z25" s="2">
        <f>Z22*0.17</f>
        <v>640.25177118537692</v>
      </c>
      <c r="AA25" s="2">
        <f t="shared" ref="AA25:AH25" si="48">AA22*0.17</f>
        <v>646.360750583043</v>
      </c>
      <c r="AB25" s="2">
        <f t="shared" si="48"/>
        <v>635.45137443954479</v>
      </c>
      <c r="AC25" s="2">
        <f t="shared" si="48"/>
        <v>613.28318064727046</v>
      </c>
      <c r="AD25" s="2">
        <f t="shared" si="48"/>
        <v>591.5462316935301</v>
      </c>
      <c r="AE25" s="2">
        <f t="shared" si="48"/>
        <v>567.87808781746025</v>
      </c>
      <c r="AF25" s="2">
        <f t="shared" si="48"/>
        <v>535.80109036843123</v>
      </c>
      <c r="AG25" s="2">
        <f t="shared" si="48"/>
        <v>499.8344431432314</v>
      </c>
      <c r="AH25" s="2">
        <f t="shared" si="48"/>
        <v>457.22767745040193</v>
      </c>
    </row>
    <row r="26" spans="2:34" x14ac:dyDescent="0.3">
      <c r="B26" s="1" t="s">
        <v>43</v>
      </c>
      <c r="C26" s="2">
        <v>100.705</v>
      </c>
      <c r="D26" s="2">
        <v>110.63800000000001</v>
      </c>
      <c r="E26" s="2">
        <v>114.169</v>
      </c>
      <c r="F26" s="2">
        <v>110.35599999999999</v>
      </c>
      <c r="G26" s="2">
        <v>90.611000000000004</v>
      </c>
      <c r="H26" s="2">
        <v>107.69799999999999</v>
      </c>
      <c r="I26" s="2">
        <v>107.095</v>
      </c>
      <c r="J26" s="2">
        <v>108.205</v>
      </c>
      <c r="K26" s="2">
        <v>106.241</v>
      </c>
      <c r="L26" s="2">
        <v>114.304</v>
      </c>
      <c r="M26" s="2">
        <v>103.923</v>
      </c>
      <c r="N26" s="2">
        <f>N22*0.12</f>
        <v>104.98657199999998</v>
      </c>
      <c r="O26" s="2">
        <f>O22*0.12</f>
        <v>106.47583919999998</v>
      </c>
      <c r="P26" s="2">
        <f t="shared" ref="P26:R26" si="49">P22*0.12</f>
        <v>108.81892319999999</v>
      </c>
      <c r="Q26" s="2">
        <f t="shared" si="49"/>
        <v>115.9307424</v>
      </c>
      <c r="R26" s="2">
        <f t="shared" si="49"/>
        <v>109.7284943856</v>
      </c>
      <c r="T26" s="2">
        <v>311.20699999999999</v>
      </c>
      <c r="U26" s="2">
        <v>414.82100000000003</v>
      </c>
      <c r="V26" s="2">
        <f>SUM(C26:F26)</f>
        <v>435.86799999999999</v>
      </c>
      <c r="W26" s="2">
        <f>SUM(G26:J26)</f>
        <v>413.60899999999998</v>
      </c>
      <c r="X26" s="2">
        <f>SUM(K26:N26)</f>
        <v>429.45457199999998</v>
      </c>
      <c r="Y26" s="2">
        <f>SUM(O26:R26)</f>
        <v>440.95399918559997</v>
      </c>
      <c r="Z26" s="2">
        <f>Z22*0.12</f>
        <v>451.9424267190895</v>
      </c>
      <c r="AA26" s="2">
        <f t="shared" ref="AA26:AH26" si="50">AA22*0.12</f>
        <v>456.25464747038325</v>
      </c>
      <c r="AB26" s="2">
        <f t="shared" si="50"/>
        <v>448.55391136909043</v>
      </c>
      <c r="AC26" s="2">
        <f t="shared" si="50"/>
        <v>432.90577457454384</v>
      </c>
      <c r="AD26" s="2">
        <f t="shared" si="50"/>
        <v>417.56204590131534</v>
      </c>
      <c r="AE26" s="2">
        <f t="shared" si="50"/>
        <v>400.8551208123248</v>
      </c>
      <c r="AF26" s="2">
        <f t="shared" si="50"/>
        <v>378.21253437771611</v>
      </c>
      <c r="AG26" s="2">
        <f t="shared" si="50"/>
        <v>352.82431280698682</v>
      </c>
      <c r="AH26" s="2">
        <f t="shared" si="50"/>
        <v>322.74894878851899</v>
      </c>
    </row>
    <row r="27" spans="2:34" x14ac:dyDescent="0.3">
      <c r="B27" s="1" t="s">
        <v>44</v>
      </c>
      <c r="C27" s="2">
        <v>78.793999999999997</v>
      </c>
      <c r="D27" s="2">
        <v>86.41</v>
      </c>
      <c r="E27" s="2">
        <v>87.88</v>
      </c>
      <c r="F27" s="2">
        <v>80.555000000000007</v>
      </c>
      <c r="G27" s="2">
        <v>98.186000000000007</v>
      </c>
      <c r="H27" s="2">
        <v>94.287000000000006</v>
      </c>
      <c r="I27" s="2">
        <v>94.141000000000005</v>
      </c>
      <c r="J27" s="2">
        <v>97.570999999999998</v>
      </c>
      <c r="K27" s="2">
        <v>115.73699999999999</v>
      </c>
      <c r="L27" s="2">
        <v>113.57599999999999</v>
      </c>
      <c r="M27" s="2">
        <v>103.724</v>
      </c>
      <c r="N27" s="2">
        <f>N22*0.12</f>
        <v>104.98657199999998</v>
      </c>
      <c r="O27" s="2">
        <f>O22*0.11</f>
        <v>97.602852599999991</v>
      </c>
      <c r="P27" s="2">
        <f t="shared" ref="P27:R27" si="51">P22*0.11</f>
        <v>99.750679599999998</v>
      </c>
      <c r="Q27" s="2">
        <f t="shared" si="51"/>
        <v>106.2698472</v>
      </c>
      <c r="R27" s="2">
        <f t="shared" si="51"/>
        <v>100.5844531868</v>
      </c>
      <c r="T27" s="2">
        <v>169.81100000000001</v>
      </c>
      <c r="U27" s="2">
        <v>241.04900000000001</v>
      </c>
      <c r="V27" s="2">
        <f>SUM(C27:F27)</f>
        <v>333.63900000000001</v>
      </c>
      <c r="W27" s="2">
        <f>SUM(G27:J27)</f>
        <v>384.18500000000006</v>
      </c>
      <c r="X27" s="2">
        <f>SUM(K27:N27)</f>
        <v>438.02357199999994</v>
      </c>
      <c r="Y27" s="2">
        <f>SUM(O27:R27)</f>
        <v>404.20783258680001</v>
      </c>
      <c r="Z27" s="2">
        <f>Z22*0.12</f>
        <v>451.9424267190895</v>
      </c>
      <c r="AA27" s="2">
        <f t="shared" ref="AA27:AH27" si="52">AA22*0.12</f>
        <v>456.25464747038325</v>
      </c>
      <c r="AB27" s="2">
        <f t="shared" si="52"/>
        <v>448.55391136909043</v>
      </c>
      <c r="AC27" s="2">
        <f t="shared" si="52"/>
        <v>432.90577457454384</v>
      </c>
      <c r="AD27" s="2">
        <f t="shared" si="52"/>
        <v>417.56204590131534</v>
      </c>
      <c r="AE27" s="2">
        <f t="shared" si="52"/>
        <v>400.8551208123248</v>
      </c>
      <c r="AF27" s="2">
        <f t="shared" si="52"/>
        <v>378.21253437771611</v>
      </c>
      <c r="AG27" s="2">
        <f t="shared" si="52"/>
        <v>352.82431280698682</v>
      </c>
      <c r="AH27" s="2">
        <f t="shared" si="52"/>
        <v>322.74894878851899</v>
      </c>
    </row>
    <row r="28" spans="2:34" x14ac:dyDescent="0.3">
      <c r="B28" s="1" t="s">
        <v>45</v>
      </c>
      <c r="C28" s="2">
        <f t="shared" ref="C28:N28" si="53">SUM(C25:C27)</f>
        <v>331.387</v>
      </c>
      <c r="D28" s="2">
        <f t="shared" si="53"/>
        <v>322.72699999999998</v>
      </c>
      <c r="E28" s="2">
        <f t="shared" si="53"/>
        <v>331.66399999999999</v>
      </c>
      <c r="F28" s="2">
        <f t="shared" si="53"/>
        <v>318.24599999999998</v>
      </c>
      <c r="G28" s="2">
        <f t="shared" si="53"/>
        <v>326.15600000000006</v>
      </c>
      <c r="H28" s="2">
        <f t="shared" si="53"/>
        <v>338.58199999999999</v>
      </c>
      <c r="I28" s="2">
        <f t="shared" si="53"/>
        <v>354.64400000000001</v>
      </c>
      <c r="J28" s="2">
        <f t="shared" si="53"/>
        <v>364.67399999999998</v>
      </c>
      <c r="K28" s="2">
        <f t="shared" si="53"/>
        <v>387.279</v>
      </c>
      <c r="L28" s="2">
        <f t="shared" si="53"/>
        <v>382.50800000000004</v>
      </c>
      <c r="M28" s="2">
        <f t="shared" si="53"/>
        <v>364.303</v>
      </c>
      <c r="N28" s="2">
        <f t="shared" si="53"/>
        <v>367.45300199999991</v>
      </c>
      <c r="O28" s="2">
        <f t="shared" ref="O28:R28" si="54">SUM(O25:O27)</f>
        <v>354.919464</v>
      </c>
      <c r="P28" s="2">
        <f t="shared" si="54"/>
        <v>362.72974399999998</v>
      </c>
      <c r="Q28" s="2">
        <f t="shared" si="54"/>
        <v>386.43580800000001</v>
      </c>
      <c r="R28" s="2">
        <f t="shared" si="54"/>
        <v>365.76164795199998</v>
      </c>
      <c r="T28" s="2">
        <f t="shared" ref="T28:Z28" si="55">SUM(T25:T27)</f>
        <v>960.92500000000007</v>
      </c>
      <c r="U28" s="2">
        <f t="shared" si="55"/>
        <v>1222.329</v>
      </c>
      <c r="V28" s="2">
        <f t="shared" si="55"/>
        <v>1304.0239999999999</v>
      </c>
      <c r="W28" s="2">
        <f t="shared" si="55"/>
        <v>1384.056</v>
      </c>
      <c r="X28" s="2">
        <f t="shared" si="55"/>
        <v>1501.5430019999999</v>
      </c>
      <c r="Y28" s="2">
        <f t="shared" si="55"/>
        <v>1469.8466639520002</v>
      </c>
      <c r="Z28" s="2">
        <f t="shared" si="55"/>
        <v>1544.1366246235559</v>
      </c>
      <c r="AA28" s="2">
        <f t="shared" ref="AA28:AH28" si="56">SUM(AA25:AA27)</f>
        <v>1558.8700455238095</v>
      </c>
      <c r="AB28" s="2">
        <f t="shared" si="56"/>
        <v>1532.5591971777255</v>
      </c>
      <c r="AC28" s="2">
        <f t="shared" si="56"/>
        <v>1479.094729796358</v>
      </c>
      <c r="AD28" s="2">
        <f t="shared" si="56"/>
        <v>1426.6703234961608</v>
      </c>
      <c r="AE28" s="2">
        <f t="shared" si="56"/>
        <v>1369.5883294421099</v>
      </c>
      <c r="AF28" s="2">
        <f t="shared" si="56"/>
        <v>1292.2261591238635</v>
      </c>
      <c r="AG28" s="2">
        <f t="shared" si="56"/>
        <v>1205.483068757205</v>
      </c>
      <c r="AH28" s="2">
        <f t="shared" si="56"/>
        <v>1102.7255750274398</v>
      </c>
    </row>
    <row r="29" spans="2:34" x14ac:dyDescent="0.3">
      <c r="B29" s="1" t="s">
        <v>46</v>
      </c>
      <c r="C29" s="2">
        <f t="shared" ref="C29:N29" si="57">C24-C28</f>
        <v>231.07700000000006</v>
      </c>
      <c r="D29" s="2">
        <f t="shared" si="57"/>
        <v>230.93300000000011</v>
      </c>
      <c r="E29" s="2">
        <f t="shared" si="57"/>
        <v>230.97400000000005</v>
      </c>
      <c r="F29" s="2">
        <f t="shared" si="57"/>
        <v>232.02899999999988</v>
      </c>
      <c r="G29" s="2">
        <f t="shared" si="57"/>
        <v>221.03399999999999</v>
      </c>
      <c r="H29" s="2">
        <f t="shared" si="57"/>
        <v>240.62400000000002</v>
      </c>
      <c r="I29" s="2">
        <f t="shared" si="57"/>
        <v>271.35799999999995</v>
      </c>
      <c r="J29" s="2">
        <f t="shared" si="57"/>
        <v>293.4140000000001</v>
      </c>
      <c r="K29" s="2">
        <f t="shared" si="57"/>
        <v>215.67899999999986</v>
      </c>
      <c r="L29" s="2">
        <f t="shared" si="57"/>
        <v>236.50399999999991</v>
      </c>
      <c r="M29" s="2">
        <f t="shared" si="57"/>
        <v>278.06799999999998</v>
      </c>
      <c r="N29" s="2">
        <f t="shared" si="57"/>
        <v>262.46643</v>
      </c>
      <c r="O29" s="2">
        <f t="shared" ref="O29:R29" si="58">O24-O28</f>
        <v>283.93557119999997</v>
      </c>
      <c r="P29" s="2">
        <f t="shared" si="58"/>
        <v>290.18379519999996</v>
      </c>
      <c r="Q29" s="2">
        <f t="shared" si="58"/>
        <v>309.1486463999999</v>
      </c>
      <c r="R29" s="2">
        <f t="shared" si="58"/>
        <v>292.60931836160012</v>
      </c>
      <c r="T29" s="2">
        <f t="shared" ref="T29:Z29" si="59">T24-T28</f>
        <v>794.51099999999963</v>
      </c>
      <c r="U29" s="2">
        <f t="shared" si="59"/>
        <v>921.6400000000001</v>
      </c>
      <c r="V29" s="2">
        <f t="shared" si="59"/>
        <v>925.01299999999947</v>
      </c>
      <c r="W29" s="2">
        <f t="shared" si="59"/>
        <v>1026.4299999999994</v>
      </c>
      <c r="X29" s="2">
        <f t="shared" si="59"/>
        <v>992.71743000000015</v>
      </c>
      <c r="Y29" s="2">
        <f t="shared" si="59"/>
        <v>1175.8773311615996</v>
      </c>
      <c r="Z29" s="2">
        <f t="shared" si="59"/>
        <v>1167.5179356909809</v>
      </c>
      <c r="AA29" s="2">
        <f t="shared" ref="AA29:AH29" si="60">AA24-AA28</f>
        <v>1178.6578392984898</v>
      </c>
      <c r="AB29" s="2">
        <f t="shared" si="60"/>
        <v>1158.7642710368166</v>
      </c>
      <c r="AC29" s="2">
        <f t="shared" si="60"/>
        <v>1118.3399176509051</v>
      </c>
      <c r="AD29" s="2">
        <f t="shared" si="60"/>
        <v>1078.7019519117309</v>
      </c>
      <c r="AE29" s="2">
        <f t="shared" si="60"/>
        <v>1035.5423954318387</v>
      </c>
      <c r="AF29" s="2">
        <f t="shared" si="60"/>
        <v>977.04904714243321</v>
      </c>
      <c r="AG29" s="2">
        <f t="shared" si="60"/>
        <v>911.46280808471579</v>
      </c>
      <c r="AH29" s="2">
        <f t="shared" si="60"/>
        <v>833.76811770367385</v>
      </c>
    </row>
    <row r="30" spans="2:34" x14ac:dyDescent="0.3">
      <c r="B30" s="1" t="s">
        <v>47</v>
      </c>
      <c r="C30" s="2">
        <f>+-34.896+0.818</f>
        <v>-34.078000000000003</v>
      </c>
      <c r="D30" s="2">
        <f>+-35.623+5.291</f>
        <v>-30.331999999999997</v>
      </c>
      <c r="E30" s="2">
        <f>+-36.814+2.326</f>
        <v>-34.488</v>
      </c>
      <c r="F30" s="2">
        <f>-38.214+-0.402</f>
        <v>-38.616</v>
      </c>
      <c r="G30" s="2">
        <f>+-39.351+3.392</f>
        <v>-35.958999999999996</v>
      </c>
      <c r="H30" s="2">
        <f>+-39.742+3.432</f>
        <v>-36.309999999999995</v>
      </c>
      <c r="I30" s="2">
        <f>+-40.38+7.905</f>
        <v>-32.475000000000001</v>
      </c>
      <c r="J30" s="2">
        <f>+-40.414+5.043</f>
        <v>-35.371000000000002</v>
      </c>
      <c r="K30" s="2">
        <f>+-40.353+9.474</f>
        <v>-30.879000000000001</v>
      </c>
      <c r="L30" s="2">
        <f>+-40.038+10.525</f>
        <v>-29.512999999999998</v>
      </c>
      <c r="M30" s="2">
        <f>+-40.12+7.1</f>
        <v>-33.019999999999996</v>
      </c>
      <c r="N30" s="7">
        <v>-35</v>
      </c>
      <c r="O30" s="7">
        <v>-35</v>
      </c>
      <c r="P30" s="7">
        <v>-35</v>
      </c>
      <c r="Q30" s="7">
        <v>-35</v>
      </c>
      <c r="R30" s="7">
        <v>-35</v>
      </c>
      <c r="T30" s="2">
        <f>+-130.624+15.861</f>
        <v>-114.76299999999999</v>
      </c>
      <c r="U30" s="2">
        <f>+-130.493+-465.038</f>
        <v>-595.53099999999995</v>
      </c>
      <c r="V30" s="2">
        <f>SUM(C30:F30)</f>
        <v>-137.51400000000001</v>
      </c>
      <c r="W30" s="2">
        <f>SUM(G30:J30)</f>
        <v>-140.11500000000001</v>
      </c>
      <c r="X30" s="2">
        <f>SUM(K30:N30)</f>
        <v>-128.41199999999998</v>
      </c>
      <c r="Y30" s="2">
        <f>SUM(O30:R30)</f>
        <v>-140</v>
      </c>
      <c r="Z30" s="2">
        <f>Y62*$AK$40</f>
        <v>-98.787099553536024</v>
      </c>
      <c r="AA30" s="2">
        <f t="shared" ref="AA30:AH30" si="61">Z62*$AK$40</f>
        <v>-56.03786610803823</v>
      </c>
      <c r="AB30" s="2">
        <f t="shared" si="61"/>
        <v>-11.133067180420165</v>
      </c>
      <c r="AC30" s="2">
        <f t="shared" si="61"/>
        <v>34.772180973835695</v>
      </c>
      <c r="AD30" s="2">
        <f t="shared" si="61"/>
        <v>80.896664918825337</v>
      </c>
      <c r="AE30" s="2">
        <f t="shared" si="61"/>
        <v>127.2806095920476</v>
      </c>
      <c r="AF30" s="2">
        <f t="shared" si="61"/>
        <v>173.79352979300305</v>
      </c>
      <c r="AG30" s="2">
        <f t="shared" si="61"/>
        <v>219.82723287042052</v>
      </c>
      <c r="AH30" s="2">
        <f t="shared" si="61"/>
        <v>265.07883450862596</v>
      </c>
    </row>
    <row r="31" spans="2:34" x14ac:dyDescent="0.3">
      <c r="B31" s="1" t="s">
        <v>48</v>
      </c>
      <c r="C31" s="2">
        <f t="shared" ref="C31:R31" si="62">C29+C30</f>
        <v>196.99900000000005</v>
      </c>
      <c r="D31" s="2">
        <f t="shared" si="62"/>
        <v>200.60100000000011</v>
      </c>
      <c r="E31" s="2">
        <f t="shared" si="62"/>
        <v>196.48600000000005</v>
      </c>
      <c r="F31" s="2">
        <f t="shared" si="62"/>
        <v>193.4129999999999</v>
      </c>
      <c r="G31" s="2">
        <f t="shared" si="62"/>
        <v>185.07499999999999</v>
      </c>
      <c r="H31" s="2">
        <f t="shared" si="62"/>
        <v>204.31400000000002</v>
      </c>
      <c r="I31" s="2">
        <f t="shared" si="62"/>
        <v>238.88299999999995</v>
      </c>
      <c r="J31" s="2">
        <f t="shared" si="62"/>
        <v>258.04300000000012</v>
      </c>
      <c r="K31" s="2">
        <f t="shared" si="62"/>
        <v>184.79999999999987</v>
      </c>
      <c r="L31" s="2">
        <f t="shared" si="62"/>
        <v>206.9909999999999</v>
      </c>
      <c r="M31" s="2">
        <f t="shared" si="62"/>
        <v>245.048</v>
      </c>
      <c r="N31" s="2">
        <f t="shared" si="62"/>
        <v>227.46643</v>
      </c>
      <c r="O31" s="2">
        <f t="shared" si="62"/>
        <v>248.93557119999997</v>
      </c>
      <c r="P31" s="2">
        <f t="shared" si="62"/>
        <v>255.18379519999996</v>
      </c>
      <c r="Q31" s="2">
        <f t="shared" si="62"/>
        <v>274.1486463999999</v>
      </c>
      <c r="R31" s="2">
        <f t="shared" si="62"/>
        <v>257.60931836160012</v>
      </c>
      <c r="T31" s="2">
        <f t="shared" ref="T31:Y31" si="63">T29+T30</f>
        <v>679.74799999999959</v>
      </c>
      <c r="U31" s="2">
        <f t="shared" si="63"/>
        <v>326.10900000000015</v>
      </c>
      <c r="V31" s="2">
        <f t="shared" si="63"/>
        <v>787.49899999999946</v>
      </c>
      <c r="W31" s="2">
        <f t="shared" si="63"/>
        <v>886.31499999999937</v>
      </c>
      <c r="X31" s="2">
        <f t="shared" si="63"/>
        <v>864.30543000000011</v>
      </c>
      <c r="Y31" s="2">
        <f t="shared" si="63"/>
        <v>1035.8773311615996</v>
      </c>
      <c r="Z31" s="2">
        <f t="shared" ref="Z31:AH31" si="64">Z29+Z30</f>
        <v>1068.7308361374448</v>
      </c>
      <c r="AA31" s="2">
        <f t="shared" si="64"/>
        <v>1122.6199731904514</v>
      </c>
      <c r="AB31" s="2">
        <f t="shared" si="64"/>
        <v>1147.6312038563965</v>
      </c>
      <c r="AC31" s="2">
        <f t="shared" si="64"/>
        <v>1153.1120986247408</v>
      </c>
      <c r="AD31" s="2">
        <f t="shared" si="64"/>
        <v>1159.5986168305562</v>
      </c>
      <c r="AE31" s="2">
        <f t="shared" si="64"/>
        <v>1162.8230050238863</v>
      </c>
      <c r="AF31" s="2">
        <f t="shared" si="64"/>
        <v>1150.8425769354362</v>
      </c>
      <c r="AG31" s="2">
        <f t="shared" si="64"/>
        <v>1131.2900409551362</v>
      </c>
      <c r="AH31" s="2">
        <f t="shared" si="64"/>
        <v>1098.8469522122998</v>
      </c>
    </row>
    <row r="32" spans="2:34" x14ac:dyDescent="0.3">
      <c r="B32" s="1" t="s">
        <v>49</v>
      </c>
      <c r="C32" s="2">
        <v>-6.867</v>
      </c>
      <c r="D32" s="2">
        <v>-8.048</v>
      </c>
      <c r="E32" s="2">
        <v>47.881</v>
      </c>
      <c r="F32" s="2">
        <v>-17.605</v>
      </c>
      <c r="G32" s="2">
        <v>41.639000000000003</v>
      </c>
      <c r="H32" s="2">
        <v>41.140999999999998</v>
      </c>
      <c r="I32" s="2">
        <v>47.328000000000003</v>
      </c>
      <c r="J32" s="2">
        <v>-4.7990000000000004</v>
      </c>
      <c r="K32" s="2">
        <v>30.625</v>
      </c>
      <c r="L32" s="2">
        <v>41.692999999999998</v>
      </c>
      <c r="M32" s="2">
        <v>41.158999999999999</v>
      </c>
      <c r="N32" s="2">
        <f>N31*0.2</f>
        <v>45.493286000000005</v>
      </c>
      <c r="O32" s="2">
        <f>O31*0.2</f>
        <v>49.787114239999994</v>
      </c>
      <c r="P32" s="2">
        <f>P31*0.2</f>
        <v>51.036759039999993</v>
      </c>
      <c r="Q32" s="2">
        <f>Q31*0.2</f>
        <v>54.829729279999981</v>
      </c>
      <c r="R32" s="2">
        <f>R31*0.2</f>
        <v>51.521863672320023</v>
      </c>
      <c r="T32" s="2">
        <v>43.273000000000003</v>
      </c>
      <c r="U32" s="2">
        <v>-19.896999999999998</v>
      </c>
      <c r="V32" s="2">
        <f>SUM(C32:F32)</f>
        <v>15.361000000000001</v>
      </c>
      <c r="W32" s="2">
        <f>SUM(G32:J32)</f>
        <v>125.309</v>
      </c>
      <c r="X32" s="2">
        <f>SUM(K32:N32)</f>
        <v>158.97028600000002</v>
      </c>
      <c r="Y32" s="2">
        <f>SUM(O32:R32)</f>
        <v>207.17546623231999</v>
      </c>
      <c r="Z32" s="2">
        <f>Z31*0.2</f>
        <v>213.74616722748897</v>
      </c>
      <c r="AA32" s="2">
        <f t="shared" ref="AA32:AH32" si="65">AA31*0.2</f>
        <v>224.5239946380903</v>
      </c>
      <c r="AB32" s="2">
        <f t="shared" si="65"/>
        <v>229.5262407712793</v>
      </c>
      <c r="AC32" s="2">
        <f t="shared" si="65"/>
        <v>230.62241972494817</v>
      </c>
      <c r="AD32" s="2">
        <f t="shared" si="65"/>
        <v>231.91972336611127</v>
      </c>
      <c r="AE32" s="2">
        <f t="shared" si="65"/>
        <v>232.56460100477727</v>
      </c>
      <c r="AF32" s="2">
        <f t="shared" si="65"/>
        <v>230.16851538708727</v>
      </c>
      <c r="AG32" s="2">
        <f t="shared" si="65"/>
        <v>226.25800819102724</v>
      </c>
      <c r="AH32" s="2">
        <f t="shared" si="65"/>
        <v>219.76939044245998</v>
      </c>
    </row>
    <row r="33" spans="1:156" s="6" customFormat="1" x14ac:dyDescent="0.3">
      <c r="A33" s="5"/>
      <c r="B33" s="5" t="s">
        <v>50</v>
      </c>
      <c r="C33" s="6">
        <f t="shared" ref="C33:R33" si="66">C31-C32</f>
        <v>203.86600000000004</v>
      </c>
      <c r="D33" s="6">
        <f t="shared" si="66"/>
        <v>208.64900000000011</v>
      </c>
      <c r="E33" s="6">
        <f t="shared" si="66"/>
        <v>148.60500000000005</v>
      </c>
      <c r="F33" s="6">
        <f t="shared" si="66"/>
        <v>211.01799999999989</v>
      </c>
      <c r="G33" s="6">
        <f t="shared" si="66"/>
        <v>143.43599999999998</v>
      </c>
      <c r="H33" s="6">
        <f t="shared" si="66"/>
        <v>163.17300000000003</v>
      </c>
      <c r="I33" s="6">
        <f t="shared" si="66"/>
        <v>191.55499999999995</v>
      </c>
      <c r="J33" s="6">
        <f t="shared" si="66"/>
        <v>262.8420000000001</v>
      </c>
      <c r="K33" s="6">
        <f t="shared" si="66"/>
        <v>154.17499999999987</v>
      </c>
      <c r="L33" s="6">
        <f t="shared" si="66"/>
        <v>165.29799999999989</v>
      </c>
      <c r="M33" s="6">
        <f t="shared" si="66"/>
        <v>203.88900000000001</v>
      </c>
      <c r="N33" s="6">
        <f t="shared" si="66"/>
        <v>181.97314399999999</v>
      </c>
      <c r="O33" s="6">
        <f t="shared" si="66"/>
        <v>199.14845695999998</v>
      </c>
      <c r="P33" s="6">
        <f t="shared" si="66"/>
        <v>204.14703615999997</v>
      </c>
      <c r="Q33" s="6">
        <f t="shared" si="66"/>
        <v>219.31891711999992</v>
      </c>
      <c r="R33" s="6">
        <f t="shared" si="66"/>
        <v>206.08745468928009</v>
      </c>
      <c r="T33" s="6">
        <f t="shared" ref="T33:Y33" si="67">T31-T32</f>
        <v>636.47499999999957</v>
      </c>
      <c r="U33" s="6">
        <f t="shared" si="67"/>
        <v>346.00600000000014</v>
      </c>
      <c r="V33" s="6">
        <f t="shared" si="67"/>
        <v>772.13799999999947</v>
      </c>
      <c r="W33" s="6">
        <f t="shared" si="67"/>
        <v>761.0059999999994</v>
      </c>
      <c r="X33" s="6">
        <f t="shared" si="67"/>
        <v>705.33514400000013</v>
      </c>
      <c r="Y33" s="6">
        <f t="shared" si="67"/>
        <v>828.70186492927962</v>
      </c>
      <c r="Z33" s="6">
        <f t="shared" ref="Z33:AH33" si="68">Z31-Z32</f>
        <v>854.98466890995587</v>
      </c>
      <c r="AA33" s="6">
        <f t="shared" si="68"/>
        <v>898.0959785523612</v>
      </c>
      <c r="AB33" s="6">
        <f t="shared" si="68"/>
        <v>918.10496308511722</v>
      </c>
      <c r="AC33" s="6">
        <f t="shared" si="68"/>
        <v>922.48967889979269</v>
      </c>
      <c r="AD33" s="6">
        <f t="shared" si="68"/>
        <v>927.67889346444497</v>
      </c>
      <c r="AE33" s="6">
        <f t="shared" si="68"/>
        <v>930.25840401910898</v>
      </c>
      <c r="AF33" s="6">
        <f t="shared" si="68"/>
        <v>920.67406154834896</v>
      </c>
      <c r="AG33" s="6">
        <f t="shared" si="68"/>
        <v>905.03203276410898</v>
      </c>
      <c r="AH33" s="6">
        <f t="shared" si="68"/>
        <v>879.0775617698398</v>
      </c>
      <c r="AI33" s="6">
        <f>AH33*(1+$AK$38)</f>
        <v>861.49601053444303</v>
      </c>
      <c r="AJ33" s="6">
        <f t="shared" ref="AJ33:CU33" si="69">AI33*(1+$AK$38)</f>
        <v>844.26609032375416</v>
      </c>
      <c r="AK33" s="6">
        <f t="shared" si="69"/>
        <v>827.38076851727908</v>
      </c>
      <c r="AL33" s="6">
        <f t="shared" si="69"/>
        <v>810.83315314693345</v>
      </c>
      <c r="AM33" s="6">
        <f t="shared" si="69"/>
        <v>794.61649008399479</v>
      </c>
      <c r="AN33" s="6">
        <f t="shared" si="69"/>
        <v>778.72416028231487</v>
      </c>
      <c r="AO33" s="6">
        <f t="shared" si="69"/>
        <v>763.14967707666858</v>
      </c>
      <c r="AP33" s="6">
        <f t="shared" si="69"/>
        <v>747.88668353513515</v>
      </c>
      <c r="AQ33" s="6">
        <f t="shared" si="69"/>
        <v>732.92894986443241</v>
      </c>
      <c r="AR33" s="6">
        <f t="shared" si="69"/>
        <v>718.2703708671437</v>
      </c>
      <c r="AS33" s="6">
        <f t="shared" si="69"/>
        <v>703.90496344980079</v>
      </c>
      <c r="AT33" s="6">
        <f t="shared" si="69"/>
        <v>689.82686418080471</v>
      </c>
      <c r="AU33" s="6">
        <f t="shared" si="69"/>
        <v>676.03032689718862</v>
      </c>
      <c r="AV33" s="6">
        <f t="shared" si="69"/>
        <v>662.50972035924485</v>
      </c>
      <c r="AW33" s="6">
        <f t="shared" si="69"/>
        <v>649.2595259520599</v>
      </c>
      <c r="AX33" s="6">
        <f t="shared" si="69"/>
        <v>636.27433543301868</v>
      </c>
      <c r="AY33" s="6">
        <f t="shared" si="69"/>
        <v>623.54884872435832</v>
      </c>
      <c r="AZ33" s="6">
        <f t="shared" si="69"/>
        <v>611.07787174987118</v>
      </c>
      <c r="BA33" s="6">
        <f t="shared" si="69"/>
        <v>598.85631431487377</v>
      </c>
      <c r="BB33" s="6">
        <f t="shared" si="69"/>
        <v>586.87918802857632</v>
      </c>
      <c r="BC33" s="6">
        <f t="shared" si="69"/>
        <v>575.14160426800481</v>
      </c>
      <c r="BD33" s="6">
        <f t="shared" si="69"/>
        <v>563.63877218264474</v>
      </c>
      <c r="BE33" s="6">
        <f t="shared" si="69"/>
        <v>552.36599673899184</v>
      </c>
      <c r="BF33" s="6">
        <f t="shared" si="69"/>
        <v>541.31867680421203</v>
      </c>
      <c r="BG33" s="6">
        <f t="shared" si="69"/>
        <v>530.49230326812778</v>
      </c>
      <c r="BH33" s="6">
        <f t="shared" si="69"/>
        <v>519.88245720276518</v>
      </c>
      <c r="BI33" s="6">
        <f t="shared" si="69"/>
        <v>509.48480805870986</v>
      </c>
      <c r="BJ33" s="6">
        <f t="shared" si="69"/>
        <v>499.29511189753566</v>
      </c>
      <c r="BK33" s="6">
        <f t="shared" si="69"/>
        <v>489.30920965958495</v>
      </c>
      <c r="BL33" s="6">
        <f t="shared" si="69"/>
        <v>479.52302546639322</v>
      </c>
      <c r="BM33" s="6">
        <f t="shared" si="69"/>
        <v>469.93256495706532</v>
      </c>
      <c r="BN33" s="6">
        <f t="shared" si="69"/>
        <v>460.53391365792402</v>
      </c>
      <c r="BO33" s="6">
        <f t="shared" si="69"/>
        <v>451.32323538476555</v>
      </c>
      <c r="BP33" s="6">
        <f t="shared" si="69"/>
        <v>442.29677067707024</v>
      </c>
      <c r="BQ33" s="6">
        <f t="shared" si="69"/>
        <v>433.4508352635288</v>
      </c>
      <c r="BR33" s="6">
        <f t="shared" si="69"/>
        <v>424.78181855825824</v>
      </c>
      <c r="BS33" s="6">
        <f t="shared" si="69"/>
        <v>416.28618218709306</v>
      </c>
      <c r="BT33" s="6">
        <f t="shared" si="69"/>
        <v>407.96045854335119</v>
      </c>
      <c r="BU33" s="6">
        <f t="shared" si="69"/>
        <v>399.80124937248416</v>
      </c>
      <c r="BV33" s="6">
        <f t="shared" si="69"/>
        <v>391.80522438503448</v>
      </c>
      <c r="BW33" s="6">
        <f t="shared" si="69"/>
        <v>383.96911989733377</v>
      </c>
      <c r="BX33" s="6">
        <f t="shared" si="69"/>
        <v>376.28973749938712</v>
      </c>
      <c r="BY33" s="6">
        <f t="shared" si="69"/>
        <v>368.76394274939935</v>
      </c>
      <c r="BZ33" s="6">
        <f t="shared" si="69"/>
        <v>361.38866389441137</v>
      </c>
      <c r="CA33" s="6">
        <f t="shared" si="69"/>
        <v>354.16089061652315</v>
      </c>
      <c r="CB33" s="6">
        <f t="shared" si="69"/>
        <v>347.07767280419267</v>
      </c>
      <c r="CC33" s="6">
        <f t="shared" si="69"/>
        <v>340.13611934810882</v>
      </c>
      <c r="CD33" s="6">
        <f t="shared" si="69"/>
        <v>333.33339696114666</v>
      </c>
      <c r="CE33" s="6">
        <f t="shared" si="69"/>
        <v>326.66672902192374</v>
      </c>
      <c r="CF33" s="6">
        <f t="shared" si="69"/>
        <v>320.13339444148528</v>
      </c>
      <c r="CG33" s="6">
        <f t="shared" si="69"/>
        <v>313.7307265526556</v>
      </c>
      <c r="CH33" s="6">
        <f t="shared" si="69"/>
        <v>307.45611202160251</v>
      </c>
      <c r="CI33" s="6">
        <f t="shared" si="69"/>
        <v>301.30698978117044</v>
      </c>
      <c r="CJ33" s="6">
        <f t="shared" si="69"/>
        <v>295.28084998554704</v>
      </c>
      <c r="CK33" s="6">
        <f t="shared" si="69"/>
        <v>289.37523298583608</v>
      </c>
      <c r="CL33" s="6">
        <f t="shared" si="69"/>
        <v>283.58772832611936</v>
      </c>
      <c r="CM33" s="6">
        <f t="shared" si="69"/>
        <v>277.91597375959697</v>
      </c>
      <c r="CN33" s="6">
        <f t="shared" si="69"/>
        <v>272.35765428440504</v>
      </c>
      <c r="CO33" s="6">
        <f t="shared" si="69"/>
        <v>266.91050119871693</v>
      </c>
      <c r="CP33" s="6">
        <f t="shared" si="69"/>
        <v>261.57229117474259</v>
      </c>
      <c r="CQ33" s="6">
        <f t="shared" si="69"/>
        <v>256.34084535124771</v>
      </c>
      <c r="CR33" s="6">
        <f t="shared" si="69"/>
        <v>251.21402844422275</v>
      </c>
      <c r="CS33" s="6">
        <f t="shared" si="69"/>
        <v>246.1897478753383</v>
      </c>
      <c r="CT33" s="6">
        <f t="shared" si="69"/>
        <v>241.26595291783153</v>
      </c>
      <c r="CU33" s="6">
        <f t="shared" si="69"/>
        <v>236.4406338594749</v>
      </c>
      <c r="CV33" s="6">
        <f t="shared" ref="CV33:EZ33" si="70">CU33*(1+$AK$38)</f>
        <v>231.71182118228541</v>
      </c>
      <c r="CW33" s="6">
        <f t="shared" si="70"/>
        <v>227.07758475863969</v>
      </c>
      <c r="CX33" s="6">
        <f t="shared" si="70"/>
        <v>222.5360330634669</v>
      </c>
      <c r="CY33" s="6">
        <f t="shared" si="70"/>
        <v>218.08531240219756</v>
      </c>
      <c r="CZ33" s="6">
        <f t="shared" si="70"/>
        <v>213.7236061541536</v>
      </c>
      <c r="DA33" s="6">
        <f t="shared" si="70"/>
        <v>209.44913403107051</v>
      </c>
      <c r="DB33" s="6">
        <f t="shared" si="70"/>
        <v>205.26015135044909</v>
      </c>
      <c r="DC33" s="6">
        <f t="shared" si="70"/>
        <v>201.1549483234401</v>
      </c>
      <c r="DD33" s="6">
        <f t="shared" si="70"/>
        <v>197.13184935697129</v>
      </c>
      <c r="DE33" s="6">
        <f t="shared" si="70"/>
        <v>193.18921236983186</v>
      </c>
      <c r="DF33" s="6">
        <f t="shared" si="70"/>
        <v>189.32542812243523</v>
      </c>
      <c r="DG33" s="6">
        <f t="shared" si="70"/>
        <v>185.53891955998651</v>
      </c>
      <c r="DH33" s="6">
        <f t="shared" si="70"/>
        <v>181.82814116878677</v>
      </c>
      <c r="DI33" s="6">
        <f t="shared" si="70"/>
        <v>178.19157834541105</v>
      </c>
      <c r="DJ33" s="6">
        <f t="shared" si="70"/>
        <v>174.62774677850283</v>
      </c>
      <c r="DK33" s="6">
        <f t="shared" si="70"/>
        <v>171.13519184293276</v>
      </c>
      <c r="DL33" s="6">
        <f t="shared" si="70"/>
        <v>167.7124880060741</v>
      </c>
      <c r="DM33" s="6">
        <f t="shared" si="70"/>
        <v>164.35823824595261</v>
      </c>
      <c r="DN33" s="6">
        <f t="shared" si="70"/>
        <v>161.07107348103355</v>
      </c>
      <c r="DO33" s="6">
        <f t="shared" si="70"/>
        <v>157.84965201141287</v>
      </c>
      <c r="DP33" s="6">
        <f t="shared" si="70"/>
        <v>154.69265897118461</v>
      </c>
      <c r="DQ33" s="6">
        <f t="shared" si="70"/>
        <v>151.59880579176092</v>
      </c>
      <c r="DR33" s="6">
        <f t="shared" si="70"/>
        <v>148.5668296759257</v>
      </c>
      <c r="DS33" s="6">
        <f t="shared" si="70"/>
        <v>145.59549308240719</v>
      </c>
      <c r="DT33" s="6">
        <f t="shared" si="70"/>
        <v>142.68358322075903</v>
      </c>
      <c r="DU33" s="6">
        <f t="shared" si="70"/>
        <v>139.82991155634386</v>
      </c>
      <c r="DV33" s="6">
        <f t="shared" si="70"/>
        <v>137.03331332521697</v>
      </c>
      <c r="DW33" s="6">
        <f t="shared" si="70"/>
        <v>134.29264705871262</v>
      </c>
      <c r="DX33" s="6">
        <f t="shared" si="70"/>
        <v>131.60679411753836</v>
      </c>
      <c r="DY33" s="6">
        <f t="shared" si="70"/>
        <v>128.97465823518758</v>
      </c>
      <c r="DZ33" s="6">
        <f t="shared" si="70"/>
        <v>126.39516507048383</v>
      </c>
      <c r="EA33" s="6">
        <f t="shared" si="70"/>
        <v>123.86726176907415</v>
      </c>
      <c r="EB33" s="6">
        <f t="shared" si="70"/>
        <v>121.38991653369266</v>
      </c>
      <c r="EC33" s="6">
        <f t="shared" si="70"/>
        <v>118.9621182030188</v>
      </c>
      <c r="ED33" s="6">
        <f t="shared" si="70"/>
        <v>116.58287583895843</v>
      </c>
      <c r="EE33" s="6">
        <f t="shared" si="70"/>
        <v>114.25121832217926</v>
      </c>
      <c r="EF33" s="6">
        <f t="shared" si="70"/>
        <v>111.96619395573566</v>
      </c>
      <c r="EG33" s="6">
        <f t="shared" si="70"/>
        <v>109.72687007662094</v>
      </c>
      <c r="EH33" s="6">
        <f t="shared" si="70"/>
        <v>107.53233267508853</v>
      </c>
      <c r="EI33" s="6">
        <f t="shared" si="70"/>
        <v>105.38168602158676</v>
      </c>
      <c r="EJ33" s="6">
        <f t="shared" si="70"/>
        <v>103.27405230115502</v>
      </c>
      <c r="EK33" s="6">
        <f t="shared" si="70"/>
        <v>101.20857125513191</v>
      </c>
      <c r="EL33" s="6">
        <f t="shared" si="70"/>
        <v>99.184399830029278</v>
      </c>
      <c r="EM33" s="6">
        <f t="shared" si="70"/>
        <v>97.200711833428684</v>
      </c>
      <c r="EN33" s="6">
        <f t="shared" si="70"/>
        <v>95.256697596760105</v>
      </c>
      <c r="EO33" s="6">
        <f t="shared" si="70"/>
        <v>93.351563644824907</v>
      </c>
      <c r="EP33" s="6">
        <f t="shared" si="70"/>
        <v>91.48453237192841</v>
      </c>
      <c r="EQ33" s="6">
        <f t="shared" si="70"/>
        <v>89.654841724489842</v>
      </c>
      <c r="ER33" s="6">
        <f t="shared" si="70"/>
        <v>87.86174489000004</v>
      </c>
      <c r="ES33" s="6">
        <f t="shared" si="70"/>
        <v>86.104509992200036</v>
      </c>
      <c r="ET33" s="6">
        <f t="shared" si="70"/>
        <v>84.382419792356032</v>
      </c>
      <c r="EU33" s="6">
        <f t="shared" si="70"/>
        <v>82.694771396508912</v>
      </c>
      <c r="EV33" s="6">
        <f t="shared" si="70"/>
        <v>81.040875968578732</v>
      </c>
      <c r="EW33" s="6">
        <f t="shared" si="70"/>
        <v>79.420058449207161</v>
      </c>
      <c r="EX33" s="6">
        <f t="shared" si="70"/>
        <v>77.831657280223013</v>
      </c>
      <c r="EY33" s="6">
        <f t="shared" si="70"/>
        <v>76.275024134618548</v>
      </c>
      <c r="EZ33" s="6">
        <f t="shared" si="70"/>
        <v>74.749523651926182</v>
      </c>
    </row>
    <row r="34" spans="1:156" x14ac:dyDescent="0.3">
      <c r="B34" s="1" t="s">
        <v>51</v>
      </c>
      <c r="I34" s="3"/>
      <c r="J34" s="3">
        <f>J33/J35</f>
        <v>0.98071071912763985</v>
      </c>
      <c r="K34" s="3">
        <f>K33/K35</f>
        <v>0.58032933308537937</v>
      </c>
      <c r="L34" s="3">
        <f>L33/L35</f>
        <v>0.64095074471622537</v>
      </c>
      <c r="M34" s="3">
        <f>M33/M35</f>
        <v>0.81201238768429451</v>
      </c>
      <c r="U34" s="3"/>
      <c r="V34" s="3">
        <f>V33/V35</f>
        <v>2.764310635943096</v>
      </c>
      <c r="W34" s="3">
        <f>W33/W35</f>
        <v>2.8394500936701434</v>
      </c>
      <c r="X34" s="3">
        <f>X33/X35</f>
        <v>2.8090817768348746</v>
      </c>
    </row>
    <row r="35" spans="1:156" x14ac:dyDescent="0.3">
      <c r="B35" s="1" t="s">
        <v>52</v>
      </c>
      <c r="J35" s="2">
        <v>268.011754</v>
      </c>
      <c r="K35" s="2">
        <v>265.668115</v>
      </c>
      <c r="L35" s="2">
        <v>257.89501200000001</v>
      </c>
      <c r="M35" s="2">
        <v>251.09099699999999</v>
      </c>
      <c r="V35" s="2">
        <v>279.32389000000001</v>
      </c>
      <c r="W35" s="2">
        <f>J35</f>
        <v>268.011754</v>
      </c>
      <c r="X35" s="2">
        <f>M35</f>
        <v>251.09099699999999</v>
      </c>
    </row>
    <row r="38" spans="1:156" x14ac:dyDescent="0.3">
      <c r="B38" s="1" t="s">
        <v>53</v>
      </c>
      <c r="C38" s="4">
        <f t="shared" ref="C38:L38" si="71">C24/C22</f>
        <v>0.70422436459246274</v>
      </c>
      <c r="D38" s="4">
        <f t="shared" si="71"/>
        <v>0.69686595342983004</v>
      </c>
      <c r="E38" s="4">
        <f t="shared" si="71"/>
        <v>0.69495800395256924</v>
      </c>
      <c r="F38" s="4">
        <f t="shared" si="71"/>
        <v>0.69991732383617389</v>
      </c>
      <c r="G38" s="4">
        <f t="shared" si="71"/>
        <v>0.69510924796747975</v>
      </c>
      <c r="H38" s="4">
        <f t="shared" si="71"/>
        <v>0.69825919228450872</v>
      </c>
      <c r="I38" s="4">
        <f t="shared" si="71"/>
        <v>0.71007486388384755</v>
      </c>
      <c r="J38" s="4">
        <f t="shared" si="71"/>
        <v>0.75974139921496198</v>
      </c>
      <c r="K38" s="4">
        <f t="shared" si="71"/>
        <v>0.70135861346981498</v>
      </c>
      <c r="L38" s="4">
        <f t="shared" si="71"/>
        <v>0.71644907407407399</v>
      </c>
      <c r="M38" s="4">
        <f>M24/M22</f>
        <v>0.71733221663874924</v>
      </c>
      <c r="N38" s="4">
        <f>N24/N22</f>
        <v>0.72</v>
      </c>
      <c r="O38" s="4">
        <f t="shared" ref="O38:R38" si="72">O24/O22</f>
        <v>0.72000000000000008</v>
      </c>
      <c r="P38" s="4">
        <f t="shared" si="72"/>
        <v>0.72</v>
      </c>
      <c r="Q38" s="4">
        <f t="shared" si="72"/>
        <v>0.71999999999999986</v>
      </c>
      <c r="R38" s="4">
        <f t="shared" si="72"/>
        <v>0.72000000000000008</v>
      </c>
      <c r="T38" s="4">
        <f t="shared" ref="T38:W38" si="73">T24/T22</f>
        <v>0.73410226954809343</v>
      </c>
      <c r="U38" s="4">
        <f t="shared" si="73"/>
        <v>0.71866239708883894</v>
      </c>
      <c r="V38" s="4">
        <f t="shared" si="73"/>
        <v>0.69897679523361544</v>
      </c>
      <c r="W38" s="4">
        <f t="shared" si="73"/>
        <v>0.71644702035963737</v>
      </c>
      <c r="X38" s="4">
        <f>X24/X22</f>
        <v>0.71385161467451264</v>
      </c>
      <c r="Y38" s="4">
        <f>Y24/Y22</f>
        <v>0.72</v>
      </c>
      <c r="Z38" s="4">
        <f t="shared" ref="Z38:AH38" si="74">Z24/Z22</f>
        <v>0.72</v>
      </c>
      <c r="AA38" s="4">
        <f t="shared" si="74"/>
        <v>0.72</v>
      </c>
      <c r="AB38" s="4">
        <f t="shared" si="74"/>
        <v>0.71999999999999986</v>
      </c>
      <c r="AC38" s="4">
        <f t="shared" si="74"/>
        <v>0.72</v>
      </c>
      <c r="AD38" s="4">
        <f t="shared" si="74"/>
        <v>0.71999999999999986</v>
      </c>
      <c r="AE38" s="4">
        <f t="shared" si="74"/>
        <v>0.71999999999999986</v>
      </c>
      <c r="AF38" s="4">
        <f t="shared" si="74"/>
        <v>0.72</v>
      </c>
      <c r="AG38" s="4">
        <f t="shared" si="74"/>
        <v>0.72</v>
      </c>
      <c r="AH38" s="4">
        <f t="shared" si="74"/>
        <v>0.72</v>
      </c>
      <c r="AJ38" s="2" t="s">
        <v>73</v>
      </c>
      <c r="AK38" s="4">
        <v>-0.02</v>
      </c>
    </row>
    <row r="39" spans="1:156" x14ac:dyDescent="0.3">
      <c r="B39" s="1" t="s">
        <v>54</v>
      </c>
      <c r="C39" s="4">
        <f t="shared" ref="C39:L39" si="75">C25/C22</f>
        <v>0.19016902466508076</v>
      </c>
      <c r="D39" s="4">
        <f t="shared" si="75"/>
        <v>0.15818628067967272</v>
      </c>
      <c r="E39" s="4">
        <f t="shared" si="75"/>
        <v>0.16009757905138342</v>
      </c>
      <c r="F39" s="4">
        <f t="shared" si="75"/>
        <v>0.16196260493513101</v>
      </c>
      <c r="G39" s="4">
        <f t="shared" si="75"/>
        <v>0.17449059959349594</v>
      </c>
      <c r="H39" s="4">
        <f t="shared" si="75"/>
        <v>0.16467389993972273</v>
      </c>
      <c r="I39" s="4">
        <f t="shared" si="75"/>
        <v>0.17401088929219602</v>
      </c>
      <c r="J39" s="4">
        <f t="shared" si="75"/>
        <v>0.18344262295081964</v>
      </c>
      <c r="K39" s="4">
        <f t="shared" si="75"/>
        <v>0.19227753867628242</v>
      </c>
      <c r="L39" s="4">
        <f t="shared" si="75"/>
        <v>0.17896759259259257</v>
      </c>
      <c r="M39" s="4">
        <f>M25/M22</f>
        <v>0.17493690675600224</v>
      </c>
      <c r="N39" s="4">
        <f>N25/N22</f>
        <v>0.18</v>
      </c>
      <c r="O39" s="4">
        <f t="shared" ref="O39:R39" si="76">O25/O22</f>
        <v>0.17</v>
      </c>
      <c r="P39" s="4">
        <f t="shared" si="76"/>
        <v>0.17</v>
      </c>
      <c r="Q39" s="4">
        <f t="shared" si="76"/>
        <v>0.17</v>
      </c>
      <c r="R39" s="4">
        <f t="shared" si="76"/>
        <v>0.17</v>
      </c>
      <c r="T39" s="4">
        <f t="shared" ref="T39:W39" si="77">T25/T22</f>
        <v>0.20069134840120456</v>
      </c>
      <c r="U39" s="4">
        <f t="shared" si="77"/>
        <v>0.18987811054756226</v>
      </c>
      <c r="V39" s="4">
        <f t="shared" si="77"/>
        <v>0.16761273126371906</v>
      </c>
      <c r="W39" s="4">
        <f t="shared" si="77"/>
        <v>0.17424936840540947</v>
      </c>
      <c r="X39" s="4">
        <f>X25/X22</f>
        <v>0.18146790803586205</v>
      </c>
      <c r="Y39" s="4">
        <f>Y25/Y22</f>
        <v>0.16999999999999998</v>
      </c>
      <c r="Z39" s="4">
        <f t="shared" ref="Z39:AH39" si="78">Z25/Z22</f>
        <v>0.17</v>
      </c>
      <c r="AA39" s="4">
        <f t="shared" si="78"/>
        <v>0.17</v>
      </c>
      <c r="AB39" s="4">
        <f t="shared" si="78"/>
        <v>0.17</v>
      </c>
      <c r="AC39" s="4">
        <f t="shared" si="78"/>
        <v>0.17</v>
      </c>
      <c r="AD39" s="4">
        <f t="shared" si="78"/>
        <v>0.17</v>
      </c>
      <c r="AE39" s="4">
        <f t="shared" si="78"/>
        <v>0.17000000000000004</v>
      </c>
      <c r="AF39" s="4">
        <f t="shared" si="78"/>
        <v>0.17</v>
      </c>
      <c r="AG39" s="4">
        <f t="shared" si="78"/>
        <v>0.17</v>
      </c>
      <c r="AH39" s="4">
        <f t="shared" si="78"/>
        <v>0.17</v>
      </c>
      <c r="AJ39" s="2" t="s">
        <v>74</v>
      </c>
      <c r="AK39" s="8">
        <v>7.4999999999999997E-2</v>
      </c>
    </row>
    <row r="40" spans="1:156" x14ac:dyDescent="0.3">
      <c r="B40" s="1" t="s">
        <v>55</v>
      </c>
      <c r="C40" s="4">
        <f t="shared" ref="C40:L40" si="79">C26/C22</f>
        <v>0.12608613997746337</v>
      </c>
      <c r="D40" s="4">
        <f t="shared" si="79"/>
        <v>0.13925487728130898</v>
      </c>
      <c r="E40" s="4">
        <f t="shared" si="79"/>
        <v>0.14101902173913042</v>
      </c>
      <c r="F40" s="4">
        <f t="shared" si="79"/>
        <v>0.14036631900279828</v>
      </c>
      <c r="G40" s="4">
        <f t="shared" si="79"/>
        <v>0.11510543699186991</v>
      </c>
      <c r="H40" s="4">
        <f t="shared" si="79"/>
        <v>0.12983484026521999</v>
      </c>
      <c r="I40" s="4">
        <f t="shared" si="79"/>
        <v>0.12147799455535391</v>
      </c>
      <c r="J40" s="4">
        <f t="shared" si="79"/>
        <v>0.12491918725467559</v>
      </c>
      <c r="K40" s="4">
        <f t="shared" si="79"/>
        <v>0.12357915551936723</v>
      </c>
      <c r="L40" s="4">
        <f t="shared" si="79"/>
        <v>0.1322962962962963</v>
      </c>
      <c r="M40" s="4">
        <f>M26/M22</f>
        <v>0.11605025125628141</v>
      </c>
      <c r="N40" s="4">
        <f>N26/N22</f>
        <v>0.12</v>
      </c>
      <c r="O40" s="4">
        <f t="shared" ref="O40:R40" si="80">O26/O22</f>
        <v>0.12</v>
      </c>
      <c r="P40" s="4">
        <f t="shared" si="80"/>
        <v>0.12</v>
      </c>
      <c r="Q40" s="4">
        <f t="shared" si="80"/>
        <v>0.12</v>
      </c>
      <c r="R40" s="4">
        <f t="shared" si="80"/>
        <v>0.12</v>
      </c>
      <c r="T40" s="4">
        <f t="shared" ref="T40:W40" si="81">T26/T22</f>
        <v>0.1301430328415582</v>
      </c>
      <c r="U40" s="4">
        <f t="shared" si="81"/>
        <v>0.13904877086505879</v>
      </c>
      <c r="V40" s="4">
        <f t="shared" si="81"/>
        <v>0.13667858262778301</v>
      </c>
      <c r="W40" s="4">
        <f t="shared" si="81"/>
        <v>0.12293327388913658</v>
      </c>
      <c r="X40" s="4">
        <f>X26/X22</f>
        <v>0.12290891348732735</v>
      </c>
      <c r="Y40" s="4">
        <f>Y26/Y22</f>
        <v>0.12</v>
      </c>
      <c r="Z40" s="4">
        <f t="shared" ref="Z40:AH40" si="82">Z26/Z22</f>
        <v>0.12</v>
      </c>
      <c r="AA40" s="4">
        <f t="shared" si="82"/>
        <v>0.12</v>
      </c>
      <c r="AB40" s="4">
        <f t="shared" si="82"/>
        <v>0.12</v>
      </c>
      <c r="AC40" s="4">
        <f t="shared" si="82"/>
        <v>0.12</v>
      </c>
      <c r="AD40" s="4">
        <f t="shared" si="82"/>
        <v>0.12</v>
      </c>
      <c r="AE40" s="4">
        <f t="shared" si="82"/>
        <v>0.12</v>
      </c>
      <c r="AF40" s="4">
        <f t="shared" si="82"/>
        <v>0.12</v>
      </c>
      <c r="AG40" s="4">
        <f t="shared" si="82"/>
        <v>0.12</v>
      </c>
      <c r="AH40" s="4">
        <f t="shared" si="82"/>
        <v>0.12000000000000001</v>
      </c>
      <c r="AJ40" s="2" t="s">
        <v>75</v>
      </c>
      <c r="AK40" s="4">
        <v>0.05</v>
      </c>
    </row>
    <row r="41" spans="1:156" x14ac:dyDescent="0.3">
      <c r="B41" s="1" t="s">
        <v>56</v>
      </c>
      <c r="C41" s="4">
        <f t="shared" ref="C41:L41" si="83">C27/C22</f>
        <v>9.8652810817578554E-2</v>
      </c>
      <c r="D41" s="4">
        <f t="shared" si="83"/>
        <v>0.10876022655758337</v>
      </c>
      <c r="E41" s="4">
        <f t="shared" si="83"/>
        <v>0.10854743083003952</v>
      </c>
      <c r="F41" s="4">
        <f t="shared" si="83"/>
        <v>0.1024612058000509</v>
      </c>
      <c r="G41" s="4">
        <f t="shared" si="83"/>
        <v>0.12472815040650406</v>
      </c>
      <c r="H41" s="4">
        <f t="shared" si="83"/>
        <v>0.11366726943942135</v>
      </c>
      <c r="I41" s="4">
        <f t="shared" si="83"/>
        <v>0.10678425589836663</v>
      </c>
      <c r="J41" s="4">
        <f t="shared" si="83"/>
        <v>0.11264257677210805</v>
      </c>
      <c r="K41" s="4">
        <f t="shared" si="83"/>
        <v>0.13462486914039781</v>
      </c>
      <c r="L41" s="4">
        <f t="shared" si="83"/>
        <v>0.13145370370370368</v>
      </c>
      <c r="M41" s="4">
        <f>M27/M22</f>
        <v>0.11582802903405919</v>
      </c>
      <c r="N41" s="4">
        <f>N27/N22</f>
        <v>0.12</v>
      </c>
      <c r="O41" s="4">
        <f t="shared" ref="O41:R41" si="84">O27/O22</f>
        <v>0.11</v>
      </c>
      <c r="P41" s="4">
        <f t="shared" si="84"/>
        <v>0.11</v>
      </c>
      <c r="Q41" s="4">
        <f t="shared" si="84"/>
        <v>0.11</v>
      </c>
      <c r="R41" s="4">
        <f t="shared" si="84"/>
        <v>0.11</v>
      </c>
      <c r="T41" s="4">
        <f t="shared" ref="T41:W41" si="85">T27/T22</f>
        <v>7.1012922427380623E-2</v>
      </c>
      <c r="U41" s="4">
        <f t="shared" si="85"/>
        <v>8.080007320808627E-2</v>
      </c>
      <c r="V41" s="4">
        <f t="shared" si="85"/>
        <v>0.10462182502351836</v>
      </c>
      <c r="W41" s="4">
        <f t="shared" si="85"/>
        <v>0.11418784366176256</v>
      </c>
      <c r="X41" s="4">
        <f>X27/X22</f>
        <v>0.12536134163302864</v>
      </c>
      <c r="Y41" s="4">
        <f>Y27/Y22</f>
        <v>0.11</v>
      </c>
      <c r="Z41" s="4">
        <f t="shared" ref="Z41:AH41" si="86">Z27/Z22</f>
        <v>0.12</v>
      </c>
      <c r="AA41" s="4">
        <f t="shared" si="86"/>
        <v>0.12</v>
      </c>
      <c r="AB41" s="4">
        <f t="shared" si="86"/>
        <v>0.12</v>
      </c>
      <c r="AC41" s="4">
        <f t="shared" si="86"/>
        <v>0.12</v>
      </c>
      <c r="AD41" s="4">
        <f t="shared" si="86"/>
        <v>0.12</v>
      </c>
      <c r="AE41" s="4">
        <f t="shared" si="86"/>
        <v>0.12</v>
      </c>
      <c r="AF41" s="4">
        <f t="shared" si="86"/>
        <v>0.12</v>
      </c>
      <c r="AG41" s="4">
        <f t="shared" si="86"/>
        <v>0.12</v>
      </c>
      <c r="AH41" s="4">
        <f t="shared" si="86"/>
        <v>0.12000000000000001</v>
      </c>
      <c r="AJ41" s="2" t="s">
        <v>76</v>
      </c>
      <c r="AK41" s="2">
        <f>NPV(AK39,Y33:EZ33)</f>
        <v>10540.19129353971</v>
      </c>
    </row>
    <row r="42" spans="1:156" x14ac:dyDescent="0.3">
      <c r="B42" s="1" t="s">
        <v>57</v>
      </c>
      <c r="C42" s="4">
        <f t="shared" ref="C42:L42" si="87">C32/C31</f>
        <v>-3.4858044964695245E-2</v>
      </c>
      <c r="D42" s="4">
        <f t="shared" si="87"/>
        <v>-4.0119441079555909E-2</v>
      </c>
      <c r="E42" s="4">
        <f t="shared" si="87"/>
        <v>0.24368657308917677</v>
      </c>
      <c r="F42" s="4">
        <f t="shared" si="87"/>
        <v>-9.1022837141247023E-2</v>
      </c>
      <c r="G42" s="4">
        <f t="shared" si="87"/>
        <v>0.22498446575712552</v>
      </c>
      <c r="H42" s="4">
        <f t="shared" si="87"/>
        <v>0.2013616296484822</v>
      </c>
      <c r="I42" s="4">
        <f t="shared" si="87"/>
        <v>0.19812209324229857</v>
      </c>
      <c r="J42" s="4">
        <f t="shared" si="87"/>
        <v>-1.8597675581201574E-2</v>
      </c>
      <c r="K42" s="4">
        <f t="shared" si="87"/>
        <v>0.1657196969696971</v>
      </c>
      <c r="L42" s="4">
        <f t="shared" si="87"/>
        <v>0.2014242165118291</v>
      </c>
      <c r="M42" s="4">
        <f>M32/M31</f>
        <v>0.16796301132839281</v>
      </c>
      <c r="N42" s="4">
        <f>N32/N31</f>
        <v>0.2</v>
      </c>
      <c r="T42" s="4">
        <f t="shared" ref="T42:W42" si="88">T32/T31</f>
        <v>6.366035648505039E-2</v>
      </c>
      <c r="U42" s="4">
        <f t="shared" si="88"/>
        <v>-6.1013342164736299E-2</v>
      </c>
      <c r="V42" s="4">
        <f t="shared" si="88"/>
        <v>1.9506056515627337E-2</v>
      </c>
      <c r="W42" s="4">
        <f t="shared" si="88"/>
        <v>0.14138201429514347</v>
      </c>
      <c r="X42" s="4">
        <f>X32/X31</f>
        <v>0.18392836661919387</v>
      </c>
      <c r="Y42" s="4">
        <f>Y32/Y31</f>
        <v>0.20000000000000007</v>
      </c>
      <c r="Z42" s="4">
        <f t="shared" ref="Z42:AH42" si="89">Z32/Z31</f>
        <v>0.2</v>
      </c>
      <c r="AA42" s="4">
        <f t="shared" si="89"/>
        <v>0.2</v>
      </c>
      <c r="AB42" s="4">
        <f t="shared" si="89"/>
        <v>0.2</v>
      </c>
      <c r="AC42" s="4">
        <f t="shared" si="89"/>
        <v>0.2</v>
      </c>
      <c r="AD42" s="4">
        <f t="shared" si="89"/>
        <v>0.2</v>
      </c>
      <c r="AE42" s="4">
        <f t="shared" si="89"/>
        <v>0.2</v>
      </c>
      <c r="AF42" s="4">
        <f t="shared" si="89"/>
        <v>0.2</v>
      </c>
      <c r="AG42" s="4">
        <f t="shared" si="89"/>
        <v>0.2</v>
      </c>
      <c r="AH42" s="4">
        <f t="shared" si="89"/>
        <v>0.2</v>
      </c>
      <c r="AJ42" s="2" t="s">
        <v>77</v>
      </c>
      <c r="AK42" s="3">
        <f>AK41/Main!N6</f>
        <v>41.97757553824087</v>
      </c>
    </row>
    <row r="43" spans="1:156" x14ac:dyDescent="0.3">
      <c r="AJ43" s="2" t="s">
        <v>78</v>
      </c>
      <c r="AK43" s="4">
        <f>AK42/Main!N5-1</f>
        <v>0.26705630963600568</v>
      </c>
    </row>
    <row r="44" spans="1:156" x14ac:dyDescent="0.3">
      <c r="B44" s="1" t="s">
        <v>58</v>
      </c>
      <c r="F44" s="4"/>
      <c r="G44" s="4">
        <f t="shared" ref="G44:L48" si="90">G16/C16-1</f>
        <v>2.2675736961463855E-4</v>
      </c>
      <c r="H44" s="4">
        <f t="shared" si="90"/>
        <v>5.7002894678245264E-2</v>
      </c>
      <c r="I44" s="4">
        <f t="shared" si="90"/>
        <v>0.10495436766623212</v>
      </c>
      <c r="J44" s="4">
        <f t="shared" si="90"/>
        <v>0.11031067086897783</v>
      </c>
      <c r="K44" s="4">
        <f t="shared" si="90"/>
        <v>9.1589208796191368E-2</v>
      </c>
      <c r="L44" s="4">
        <f t="shared" si="90"/>
        <v>1.0954286918053446E-2</v>
      </c>
      <c r="M44" s="4">
        <f>M16/I16-1</f>
        <v>-1.0422812192723674E-2</v>
      </c>
      <c r="N44" s="4">
        <f>N16/J16-1</f>
        <v>-1.19999999999999E-2</v>
      </c>
      <c r="O44" s="4">
        <f t="shared" ref="O44:R47" si="91">O16/K16-1</f>
        <v>1.5200000000000102E-2</v>
      </c>
      <c r="P44" s="4">
        <f t="shared" si="91"/>
        <v>3.400000000000003E-2</v>
      </c>
      <c r="Q44" s="4">
        <f t="shared" si="91"/>
        <v>8.0999999999999739E-2</v>
      </c>
      <c r="R44" s="4">
        <f t="shared" si="91"/>
        <v>1.519999999999988E-2</v>
      </c>
      <c r="U44" s="4"/>
      <c r="V44" s="4">
        <f t="shared" ref="V44:W44" si="92">V16/U16-1</f>
        <v>8.7735951415875091E-2</v>
      </c>
      <c r="W44" s="4">
        <f t="shared" si="92"/>
        <v>6.8542769573697315E-2</v>
      </c>
      <c r="X44" s="4">
        <f>X16/W16-1</f>
        <v>1.7930430247718343E-2</v>
      </c>
      <c r="Y44" s="4">
        <f>Y16/X16-1</f>
        <v>3.6785674049081729E-2</v>
      </c>
      <c r="Z44" s="4">
        <f>Z16/Y16-1</f>
        <v>-9.9999999999998979E-3</v>
      </c>
      <c r="AA44" s="4">
        <f t="shared" ref="AA44:AH44" si="93">AA16/Z16-1</f>
        <v>-2.7999999999999803E-2</v>
      </c>
      <c r="AB44" s="4">
        <f t="shared" si="93"/>
        <v>-8.1999999999999962E-2</v>
      </c>
      <c r="AC44" s="4">
        <f t="shared" si="93"/>
        <v>-7.2999999999999954E-2</v>
      </c>
      <c r="AD44" s="4">
        <f t="shared" si="93"/>
        <v>-7.3000000000000176E-2</v>
      </c>
      <c r="AE44" s="4">
        <f t="shared" si="93"/>
        <v>-7.2999999999999954E-2</v>
      </c>
      <c r="AF44" s="4">
        <f t="shared" si="93"/>
        <v>-7.3000000000000065E-2</v>
      </c>
      <c r="AG44" s="4">
        <f t="shared" si="93"/>
        <v>-7.2999999999999954E-2</v>
      </c>
      <c r="AH44" s="4">
        <f t="shared" si="93"/>
        <v>-7.3000000000000065E-2</v>
      </c>
    </row>
    <row r="45" spans="1:156" x14ac:dyDescent="0.3">
      <c r="B45" s="1" t="s">
        <v>59</v>
      </c>
      <c r="F45" s="4"/>
      <c r="G45" s="4">
        <f t="shared" si="90"/>
        <v>0.27384615384615385</v>
      </c>
      <c r="H45" s="4">
        <f t="shared" si="90"/>
        <v>0.34575260804769004</v>
      </c>
      <c r="I45" s="4">
        <f t="shared" si="90"/>
        <v>0.44220430107526876</v>
      </c>
      <c r="J45" s="4">
        <f t="shared" si="90"/>
        <v>0.50388601036269409</v>
      </c>
      <c r="K45" s="4">
        <f t="shared" si="90"/>
        <v>0.49516908212560384</v>
      </c>
      <c r="L45" s="4">
        <f t="shared" si="90"/>
        <v>0.47951273532668881</v>
      </c>
      <c r="M45" s="4">
        <f t="shared" ref="M45:N48" si="94">M17/I17-1</f>
        <v>0.35507921714818269</v>
      </c>
      <c r="N45" s="4">
        <f t="shared" si="94"/>
        <v>0.26500000000000012</v>
      </c>
      <c r="O45" s="4">
        <f t="shared" si="91"/>
        <v>0.29919999999999991</v>
      </c>
      <c r="P45" s="4">
        <f t="shared" si="91"/>
        <v>0.31079999999999997</v>
      </c>
      <c r="Q45" s="4">
        <f t="shared" si="91"/>
        <v>0.31080000000000019</v>
      </c>
      <c r="R45" s="4">
        <f t="shared" si="91"/>
        <v>0.31079999999999997</v>
      </c>
      <c r="V45" s="4">
        <f t="shared" ref="V45:W45" si="95">V17/U17-1</f>
        <v>0.443486755741892</v>
      </c>
      <c r="W45" s="4">
        <f t="shared" si="95"/>
        <v>0.39760310186817072</v>
      </c>
      <c r="X45" s="4">
        <f t="shared" ref="X45:Y48" si="96">X17/W17-1</f>
        <v>0.38629634300126092</v>
      </c>
      <c r="Y45" s="4">
        <f t="shared" si="96"/>
        <v>0.30818736124541002</v>
      </c>
      <c r="Z45" s="4">
        <f t="shared" ref="Z45:AH45" si="97">Z17/Y17-1</f>
        <v>0.18650000000000011</v>
      </c>
      <c r="AA45" s="4">
        <f t="shared" si="97"/>
        <v>0.15500000000000003</v>
      </c>
      <c r="AB45" s="4">
        <f t="shared" si="97"/>
        <v>0.13400000000000012</v>
      </c>
      <c r="AC45" s="4">
        <f t="shared" si="97"/>
        <v>3.8799999999999946E-2</v>
      </c>
      <c r="AD45" s="4">
        <f t="shared" si="97"/>
        <v>2.9000000000000137E-2</v>
      </c>
      <c r="AE45" s="4">
        <f t="shared" si="97"/>
        <v>9.400000000000075E-3</v>
      </c>
      <c r="AF45" s="4">
        <f t="shared" si="97"/>
        <v>-3.9600000000000191E-2</v>
      </c>
      <c r="AG45" s="4">
        <f t="shared" si="97"/>
        <v>-6.899999999999995E-2</v>
      </c>
      <c r="AH45" s="4">
        <f t="shared" si="97"/>
        <v>-0.11799999999999988</v>
      </c>
    </row>
    <row r="46" spans="1:156" x14ac:dyDescent="0.3">
      <c r="B46" s="1" t="s">
        <v>60</v>
      </c>
      <c r="F46" s="4"/>
      <c r="G46" s="4">
        <f t="shared" si="90"/>
        <v>-0.13188073394495414</v>
      </c>
      <c r="H46" s="4">
        <f t="shared" si="90"/>
        <v>-3.7688442211055273E-2</v>
      </c>
      <c r="I46" s="4">
        <f t="shared" si="90"/>
        <v>-4.7146401985111663E-2</v>
      </c>
      <c r="J46" s="4">
        <f t="shared" si="90"/>
        <v>-9.421265141319024E-3</v>
      </c>
      <c r="K46" s="4">
        <f t="shared" si="90"/>
        <v>-5.5482166446499392E-2</v>
      </c>
      <c r="L46" s="4">
        <f t="shared" si="90"/>
        <v>-3.7859007832898084E-2</v>
      </c>
      <c r="M46" s="4">
        <f t="shared" si="94"/>
        <v>-5.9895833333333259E-2</v>
      </c>
      <c r="N46" s="4">
        <f t="shared" si="94"/>
        <v>-3.9500000000000202E-2</v>
      </c>
      <c r="O46" s="4">
        <f t="shared" si="91"/>
        <v>-6.4999999999999725E-2</v>
      </c>
      <c r="P46" s="4">
        <f t="shared" si="91"/>
        <v>-2.5599999999999956E-2</v>
      </c>
      <c r="Q46" s="4">
        <f t="shared" si="91"/>
        <v>-2.7999999999999914E-2</v>
      </c>
      <c r="R46" s="4">
        <f t="shared" si="91"/>
        <v>-2.4799999999999933E-2</v>
      </c>
      <c r="V46" s="4">
        <f t="shared" ref="V46:W46" si="98">V18/U18-1</f>
        <v>0.19750448552348465</v>
      </c>
      <c r="W46" s="4">
        <f t="shared" si="98"/>
        <v>-5.9061237177494341E-2</v>
      </c>
      <c r="X46" s="4">
        <f t="shared" si="96"/>
        <v>-4.8256359431780971E-2</v>
      </c>
      <c r="Y46" s="4">
        <f t="shared" si="96"/>
        <v>-3.5783613613390997E-2</v>
      </c>
      <c r="Z46" s="4">
        <f t="shared" ref="Z46:AH46" si="99">Z18/Y18-1</f>
        <v>2.6000000000000023E-2</v>
      </c>
      <c r="AA46" s="4">
        <f t="shared" si="99"/>
        <v>-2.4999999999998357E-3</v>
      </c>
      <c r="AB46" s="4">
        <f t="shared" si="99"/>
        <v>7.0000000000001172E-3</v>
      </c>
      <c r="AC46" s="4">
        <f t="shared" si="99"/>
        <v>-2.1499999999999853E-2</v>
      </c>
      <c r="AD46" s="4">
        <f t="shared" si="99"/>
        <v>-2.1500000000000075E-2</v>
      </c>
      <c r="AE46" s="4">
        <f t="shared" si="99"/>
        <v>-2.1500000000000075E-2</v>
      </c>
      <c r="AF46" s="4">
        <f t="shared" si="99"/>
        <v>-2.1500000000000075E-2</v>
      </c>
      <c r="AG46" s="4">
        <f t="shared" si="99"/>
        <v>-2.1500000000000186E-2</v>
      </c>
      <c r="AH46" s="4">
        <f t="shared" si="99"/>
        <v>-2.1500000000000075E-2</v>
      </c>
    </row>
    <row r="47" spans="1:156" x14ac:dyDescent="0.3">
      <c r="B47" s="1" t="s">
        <v>61</v>
      </c>
      <c r="F47" s="4"/>
      <c r="G47" s="4">
        <f t="shared" si="90"/>
        <v>-8.285264813843729E-2</v>
      </c>
      <c r="H47" s="4">
        <f t="shared" si="90"/>
        <v>-5.3174172544763976E-2</v>
      </c>
      <c r="I47" s="4">
        <f t="shared" si="90"/>
        <v>-3.2222222222222263E-2</v>
      </c>
      <c r="J47" s="4">
        <f t="shared" si="90"/>
        <v>-4.3329532497149326E-2</v>
      </c>
      <c r="K47" s="4">
        <f t="shared" si="90"/>
        <v>-3.6020583190394584E-2</v>
      </c>
      <c r="L47" s="4">
        <f t="shared" si="90"/>
        <v>-7.7936962750716265E-2</v>
      </c>
      <c r="M47" s="4">
        <f t="shared" si="94"/>
        <v>-9.0700344431687618E-2</v>
      </c>
      <c r="N47" s="4">
        <f t="shared" si="94"/>
        <v>-7.5999999999999845E-2</v>
      </c>
      <c r="O47" s="4">
        <f t="shared" si="91"/>
        <v>-7.5999999999999845E-2</v>
      </c>
      <c r="P47" s="4">
        <f t="shared" si="91"/>
        <v>-7.5999999999999734E-2</v>
      </c>
      <c r="Q47" s="4">
        <f t="shared" si="91"/>
        <v>-7.5999999999999956E-2</v>
      </c>
      <c r="R47" s="4">
        <f t="shared" si="91"/>
        <v>-7.5999999999999956E-2</v>
      </c>
      <c r="V47" s="4">
        <f t="shared" ref="V47:W47" si="100">V19/U19-1</f>
        <v>-9.596575957937159E-2</v>
      </c>
      <c r="W47" s="4">
        <f t="shared" si="100"/>
        <v>-5.3395399780942099E-2</v>
      </c>
      <c r="X47" s="4">
        <f t="shared" si="96"/>
        <v>-7.0079259473531663E-2</v>
      </c>
      <c r="Y47" s="4">
        <f t="shared" si="96"/>
        <v>-7.5999999999999845E-2</v>
      </c>
      <c r="Z47" s="4">
        <f t="shared" ref="Z47:AH47" si="101">Z19/Y19-1</f>
        <v>-7.2999999999999954E-2</v>
      </c>
      <c r="AA47" s="4">
        <f t="shared" si="101"/>
        <v>-7.2999999999999843E-2</v>
      </c>
      <c r="AB47" s="4">
        <f t="shared" si="101"/>
        <v>-7.2999999999999954E-2</v>
      </c>
      <c r="AC47" s="4">
        <f t="shared" si="101"/>
        <v>-7.2999999999999843E-2</v>
      </c>
      <c r="AD47" s="4">
        <f t="shared" si="101"/>
        <v>-7.2999999999999843E-2</v>
      </c>
      <c r="AE47" s="4">
        <f t="shared" si="101"/>
        <v>-7.3000000000000176E-2</v>
      </c>
      <c r="AF47" s="4">
        <f t="shared" si="101"/>
        <v>-7.2999999999999954E-2</v>
      </c>
      <c r="AG47" s="4">
        <f t="shared" si="101"/>
        <v>-7.2999999999999843E-2</v>
      </c>
      <c r="AH47" s="4">
        <f t="shared" si="101"/>
        <v>-7.2999999999999954E-2</v>
      </c>
    </row>
    <row r="48" spans="1:156" x14ac:dyDescent="0.3">
      <c r="B48" s="1" t="s">
        <v>62</v>
      </c>
      <c r="F48" s="4"/>
      <c r="G48" s="4">
        <f t="shared" si="90"/>
        <v>-1.199132542416137E-2</v>
      </c>
      <c r="H48" s="4">
        <f t="shared" si="90"/>
        <v>4.614792975259574E-2</v>
      </c>
      <c r="I48" s="4">
        <f t="shared" si="90"/>
        <v>9.0040241448692049E-2</v>
      </c>
      <c r="J48" s="4">
        <f t="shared" si="90"/>
        <v>0.10322915315782666</v>
      </c>
      <c r="K48" s="4">
        <f t="shared" si="90"/>
        <v>9.1542930923176113E-2</v>
      </c>
      <c r="L48" s="4">
        <f t="shared" si="90"/>
        <v>3.9210881019482891E-2</v>
      </c>
      <c r="M48" s="4">
        <f t="shared" si="94"/>
        <v>1.4305491462851982E-2</v>
      </c>
      <c r="N48" s="4">
        <f t="shared" si="94"/>
        <v>1.0800634771364503E-2</v>
      </c>
      <c r="V48" s="4">
        <f t="shared" ref="V48:W48" si="102">V20/U20-1</f>
        <v>7.0967552108868182E-2</v>
      </c>
      <c r="W48" s="4">
        <f t="shared" si="102"/>
        <v>5.6799667763473005E-2</v>
      </c>
      <c r="X48" s="4">
        <f t="shared" si="96"/>
        <v>3.7631298932922386E-2</v>
      </c>
      <c r="Y48" s="4">
        <f t="shared" si="96"/>
        <v>5.3029537648283442E-2</v>
      </c>
      <c r="Z48" s="4">
        <f t="shared" ref="Z48:AH48" si="103">Z20/Y20-1</f>
        <v>2.1502536785419801E-2</v>
      </c>
      <c r="AA48" s="4">
        <f t="shared" si="103"/>
        <v>9.5415267440115414E-3</v>
      </c>
      <c r="AB48" s="4">
        <f t="shared" si="103"/>
        <v>-1.6878153776598404E-2</v>
      </c>
      <c r="AC48" s="4">
        <f t="shared" si="103"/>
        <v>-3.4885743715364903E-2</v>
      </c>
      <c r="AD48" s="4">
        <f t="shared" si="103"/>
        <v>-3.5443575887404655E-2</v>
      </c>
      <c r="AE48" s="4">
        <f t="shared" si="103"/>
        <v>-4.0010640940625564E-2</v>
      </c>
      <c r="AF48" s="4">
        <f t="shared" si="103"/>
        <v>-5.6485710819220492E-2</v>
      </c>
      <c r="AG48" s="4">
        <f t="shared" si="103"/>
        <v>-6.7126864561750321E-2</v>
      </c>
      <c r="AH48" s="4">
        <f t="shared" si="103"/>
        <v>-8.5241756100069677E-2</v>
      </c>
    </row>
    <row r="50" spans="1:35" x14ac:dyDescent="0.3">
      <c r="B50" s="1" t="s">
        <v>63</v>
      </c>
      <c r="G50" s="4">
        <f t="shared" ref="G50:L54" si="104">G10/C10-1</f>
        <v>-3.0881527231891859E-3</v>
      </c>
      <c r="H50" s="4">
        <f t="shared" si="104"/>
        <v>-3.8659320477502424E-2</v>
      </c>
      <c r="I50" s="4">
        <f t="shared" si="104"/>
        <v>-6.2235431865261592E-2</v>
      </c>
      <c r="J50" s="4">
        <f t="shared" si="104"/>
        <v>-7.9593721144967655E-2</v>
      </c>
      <c r="K50" s="4">
        <f t="shared" si="104"/>
        <v>-8.8238055007979099E-2</v>
      </c>
      <c r="L50" s="4">
        <f t="shared" si="104"/>
        <v>-7.9759289330403993E-2</v>
      </c>
      <c r="M50" s="4">
        <f>M10/I10-1</f>
        <v>-4.4852093737994703E-2</v>
      </c>
      <c r="N50" s="4">
        <f>N10/J10-1</f>
        <v>-5.0000000000000044E-2</v>
      </c>
      <c r="O50" s="4">
        <f>O10/K10-1</f>
        <v>-5.9999999999999942E-2</v>
      </c>
      <c r="P50" s="4">
        <f t="shared" ref="P50:R53" si="105">P10/L10-1</f>
        <v>-5.9999999999999942E-2</v>
      </c>
      <c r="Q50" s="4">
        <f t="shared" si="105"/>
        <v>-6.0000000000000053E-2</v>
      </c>
      <c r="R50" s="4">
        <f t="shared" si="105"/>
        <v>-6.0000000000000164E-2</v>
      </c>
      <c r="W50" s="4">
        <f t="shared" ref="W50:AD50" si="106">W10/V10-1</f>
        <v>-4.6128387230228385E-2</v>
      </c>
      <c r="X50" s="4">
        <f t="shared" si="106"/>
        <v>-6.6030552744445914E-2</v>
      </c>
      <c r="Y50" s="4">
        <f t="shared" si="106"/>
        <v>-6.0000000000000053E-2</v>
      </c>
      <c r="Z50" s="4">
        <f t="shared" si="106"/>
        <v>-9.9999999999999978E-2</v>
      </c>
      <c r="AA50" s="4">
        <f t="shared" si="106"/>
        <v>-9.9999999999999978E-2</v>
      </c>
      <c r="AB50" s="4">
        <f t="shared" si="106"/>
        <v>-9.9999999999999978E-2</v>
      </c>
      <c r="AC50" s="4">
        <f t="shared" si="106"/>
        <v>-9.9999999999999978E-2</v>
      </c>
      <c r="AD50" s="4">
        <f t="shared" si="106"/>
        <v>-0.10000000000000009</v>
      </c>
      <c r="AE50" s="4">
        <f t="shared" ref="AE50:AH50" si="107">AE10/AD10-1</f>
        <v>-9.9999999999999978E-2</v>
      </c>
      <c r="AF50" s="4">
        <f t="shared" si="107"/>
        <v>-0.10000000000000009</v>
      </c>
      <c r="AG50" s="4">
        <f t="shared" si="107"/>
        <v>-9.9999999999999978E-2</v>
      </c>
      <c r="AH50" s="4">
        <f t="shared" si="107"/>
        <v>-9.9999999999999978E-2</v>
      </c>
      <c r="AI50" s="4"/>
    </row>
    <row r="51" spans="1:35" x14ac:dyDescent="0.3">
      <c r="B51" s="1" t="s">
        <v>64</v>
      </c>
      <c r="G51" s="4">
        <f t="shared" si="104"/>
        <v>0.15302869287991494</v>
      </c>
      <c r="H51" s="4">
        <f t="shared" si="104"/>
        <v>0.24012474012474017</v>
      </c>
      <c r="I51" s="4">
        <f t="shared" si="104"/>
        <v>0.32965931863727449</v>
      </c>
      <c r="J51" s="4">
        <f t="shared" si="104"/>
        <v>0.33398628795298757</v>
      </c>
      <c r="K51" s="4">
        <f t="shared" si="104"/>
        <v>0.31244239631336401</v>
      </c>
      <c r="L51" s="4">
        <f t="shared" si="104"/>
        <v>0.24392288348700752</v>
      </c>
      <c r="M51" s="4">
        <f t="shared" ref="M51:N54" si="108">M11/I11-1</f>
        <v>0.20723436322532041</v>
      </c>
      <c r="N51" s="4">
        <f t="shared" si="108"/>
        <v>0.14999999999999991</v>
      </c>
      <c r="O51" s="4">
        <f t="shared" ref="O51:O53" si="109">O11/K11-1</f>
        <v>0.15999999999999992</v>
      </c>
      <c r="P51" s="4">
        <f t="shared" si="105"/>
        <v>0.15999999999999992</v>
      </c>
      <c r="Q51" s="4">
        <f t="shared" si="105"/>
        <v>0.15999999999999992</v>
      </c>
      <c r="R51" s="4">
        <f t="shared" si="105"/>
        <v>0.15999999999999992</v>
      </c>
      <c r="W51" s="4">
        <f>W11/V11-1</f>
        <v>0.26644569097399318</v>
      </c>
      <c r="X51" s="4">
        <f>X11/W11-1</f>
        <v>0.22333400442923268</v>
      </c>
      <c r="Y51" s="4">
        <f>Y11/X11-1</f>
        <v>0.15999999999999992</v>
      </c>
      <c r="Z51" s="4">
        <f>Z11/Y11-1</f>
        <v>0.12999999999999989</v>
      </c>
      <c r="AA51" s="4">
        <f>AA11/Z11-1</f>
        <v>9.9999999999999867E-2</v>
      </c>
      <c r="AB51" s="4">
        <f t="shared" ref="AB51:AH51" si="110">AB11/AA11-1</f>
        <v>8.0000000000000071E-2</v>
      </c>
      <c r="AC51" s="4">
        <f t="shared" si="110"/>
        <v>6.0000000000000053E-2</v>
      </c>
      <c r="AD51" s="4">
        <f t="shared" si="110"/>
        <v>5.0000000000000044E-2</v>
      </c>
      <c r="AE51" s="4">
        <f t="shared" si="110"/>
        <v>3.0000000000000027E-2</v>
      </c>
      <c r="AF51" s="4">
        <f t="shared" si="110"/>
        <v>-1.9999999999999907E-2</v>
      </c>
      <c r="AG51" s="4">
        <f t="shared" si="110"/>
        <v>-4.9999999999999933E-2</v>
      </c>
      <c r="AH51" s="4">
        <f t="shared" si="110"/>
        <v>-9.9999999999999867E-2</v>
      </c>
    </row>
    <row r="52" spans="1:35" x14ac:dyDescent="0.3">
      <c r="B52" s="1" t="s">
        <v>65</v>
      </c>
      <c r="G52" s="4">
        <f t="shared" si="104"/>
        <v>-7.5999999999999956E-2</v>
      </c>
      <c r="H52" s="4">
        <f t="shared" si="104"/>
        <v>-0.11534500514933055</v>
      </c>
      <c r="I52" s="4">
        <f t="shared" si="104"/>
        <v>-0.11057225994180397</v>
      </c>
      <c r="J52" s="4">
        <f t="shared" si="104"/>
        <v>5.1867219917012264E-3</v>
      </c>
      <c r="K52" s="4">
        <f t="shared" si="104"/>
        <v>3.2467532467532312E-2</v>
      </c>
      <c r="L52" s="4">
        <f t="shared" si="104"/>
        <v>0.1699650756693829</v>
      </c>
      <c r="M52" s="4">
        <f t="shared" si="108"/>
        <v>0.14067611777535438</v>
      </c>
      <c r="N52" s="4">
        <f t="shared" si="108"/>
        <v>0.12999999999999989</v>
      </c>
      <c r="O52" s="4">
        <f t="shared" si="109"/>
        <v>0.10000000000000009</v>
      </c>
      <c r="P52" s="4">
        <f t="shared" si="105"/>
        <v>0.12000000000000011</v>
      </c>
      <c r="Q52" s="4">
        <f t="shared" si="105"/>
        <v>8.0000000000000071E-2</v>
      </c>
      <c r="R52" s="4">
        <f t="shared" si="105"/>
        <v>6.0000000000000053E-2</v>
      </c>
      <c r="W52" s="4">
        <f t="shared" ref="W52:Y54" si="111">W12/V12-1</f>
        <v>-7.48865355521936E-2</v>
      </c>
      <c r="X52" s="4">
        <f t="shared" si="111"/>
        <v>0.11746252384846012</v>
      </c>
      <c r="Y52" s="4">
        <f t="shared" si="111"/>
        <v>8.9117286224045467E-2</v>
      </c>
      <c r="Z52" s="4">
        <f t="shared" ref="Z52:AH52" si="112">Z12/Y12-1</f>
        <v>8.0000000000000071E-2</v>
      </c>
      <c r="AA52" s="4">
        <f t="shared" si="112"/>
        <v>5.0000000000000044E-2</v>
      </c>
      <c r="AB52" s="4">
        <f t="shared" si="112"/>
        <v>6.0000000000000053E-2</v>
      </c>
      <c r="AC52" s="4">
        <f t="shared" si="112"/>
        <v>3.0000000000000027E-2</v>
      </c>
      <c r="AD52" s="4">
        <f t="shared" si="112"/>
        <v>3.0000000000000027E-2</v>
      </c>
      <c r="AE52" s="4">
        <f t="shared" si="112"/>
        <v>3.0000000000000027E-2</v>
      </c>
      <c r="AF52" s="4">
        <f t="shared" si="112"/>
        <v>3.0000000000000027E-2</v>
      </c>
      <c r="AG52" s="4">
        <f t="shared" si="112"/>
        <v>3.0000000000000027E-2</v>
      </c>
      <c r="AH52" s="4">
        <f t="shared" si="112"/>
        <v>3.0000000000000027E-2</v>
      </c>
    </row>
    <row r="53" spans="1:35" x14ac:dyDescent="0.3">
      <c r="B53" s="1" t="s">
        <v>66</v>
      </c>
      <c r="G53" s="4">
        <f t="shared" si="104"/>
        <v>-0.13353115727002962</v>
      </c>
      <c r="H53" s="4">
        <f t="shared" si="104"/>
        <v>-0.12961926091825315</v>
      </c>
      <c r="I53" s="4">
        <f t="shared" si="104"/>
        <v>-0.1053864168618267</v>
      </c>
      <c r="J53" s="4">
        <f t="shared" si="104"/>
        <v>-0.11169230769230765</v>
      </c>
      <c r="K53" s="4">
        <f t="shared" si="104"/>
        <v>-0.11612702366127026</v>
      </c>
      <c r="L53" s="4">
        <f t="shared" si="104"/>
        <v>-0.12576391122547448</v>
      </c>
      <c r="M53" s="4">
        <f t="shared" si="108"/>
        <v>-0.14234293193717285</v>
      </c>
      <c r="N53" s="4">
        <f t="shared" si="108"/>
        <v>-0.12</v>
      </c>
      <c r="O53" s="4">
        <f t="shared" si="109"/>
        <v>-0.12</v>
      </c>
      <c r="P53" s="4">
        <f t="shared" si="105"/>
        <v>-0.11999999999999988</v>
      </c>
      <c r="Q53" s="4">
        <f t="shared" si="105"/>
        <v>-0.12</v>
      </c>
      <c r="R53" s="4">
        <f t="shared" si="105"/>
        <v>-0.12</v>
      </c>
      <c r="W53" s="4">
        <f t="shared" si="111"/>
        <v>-0.12054499820724285</v>
      </c>
      <c r="X53" s="4">
        <f t="shared" si="111"/>
        <v>-0.12601435094585778</v>
      </c>
      <c r="Y53" s="4">
        <f t="shared" si="111"/>
        <v>-0.11999999999999988</v>
      </c>
      <c r="Z53" s="4">
        <f t="shared" ref="Z53:AH53" si="113">Z13/Y13-1</f>
        <v>-9.9999999999999978E-2</v>
      </c>
      <c r="AA53" s="4">
        <f t="shared" si="113"/>
        <v>-9.9999999999999978E-2</v>
      </c>
      <c r="AB53" s="4">
        <f t="shared" si="113"/>
        <v>-9.9999999999999978E-2</v>
      </c>
      <c r="AC53" s="4">
        <f t="shared" si="113"/>
        <v>-9.9999999999999978E-2</v>
      </c>
      <c r="AD53" s="4">
        <f t="shared" si="113"/>
        <v>-9.9999999999999978E-2</v>
      </c>
      <c r="AE53" s="4">
        <f t="shared" si="113"/>
        <v>-9.9999999999999978E-2</v>
      </c>
      <c r="AF53" s="4">
        <f t="shared" si="113"/>
        <v>-0.10000000000000009</v>
      </c>
      <c r="AG53" s="4">
        <f t="shared" si="113"/>
        <v>-9.9999999999999978E-2</v>
      </c>
      <c r="AH53" s="4">
        <f t="shared" si="113"/>
        <v>-9.9999999999999978E-2</v>
      </c>
    </row>
    <row r="54" spans="1:35" x14ac:dyDescent="0.3">
      <c r="B54" s="1" t="s">
        <v>72</v>
      </c>
      <c r="G54" s="4">
        <f t="shared" si="104"/>
        <v>-2.8162115832006895E-2</v>
      </c>
      <c r="H54" s="4">
        <f t="shared" si="104"/>
        <v>-4.6660567246111673E-2</v>
      </c>
      <c r="I54" s="4">
        <f t="shared" si="104"/>
        <v>-5.0519700265893031E-2</v>
      </c>
      <c r="J54" s="4">
        <f t="shared" si="104"/>
        <v>-5.4715219421101691E-2</v>
      </c>
      <c r="K54" s="4">
        <f t="shared" si="104"/>
        <v>-5.9468312964596093E-2</v>
      </c>
      <c r="L54" s="4">
        <f t="shared" si="104"/>
        <v>-5.0479846449136168E-2</v>
      </c>
      <c r="M54" s="4">
        <f t="shared" si="108"/>
        <v>-3.1695519348268753E-2</v>
      </c>
      <c r="N54" s="4">
        <f t="shared" si="108"/>
        <v>-3.3884498880547786E-2</v>
      </c>
      <c r="W54" s="4">
        <f t="shared" si="111"/>
        <v>-4.4994031403997603E-2</v>
      </c>
      <c r="X54" s="4">
        <f t="shared" si="111"/>
        <v>-4.3998109034966593E-2</v>
      </c>
      <c r="Y54" s="4">
        <f t="shared" si="111"/>
        <v>-3.812392058995151E-2</v>
      </c>
      <c r="Z54" s="4">
        <f t="shared" ref="Z54:AH54" si="114">Z14/Y14-1</f>
        <v>-5.7740831865439102E-2</v>
      </c>
      <c r="AA54" s="4">
        <f t="shared" si="114"/>
        <v>-5.7159229007781143E-2</v>
      </c>
      <c r="AB54" s="4">
        <f t="shared" si="114"/>
        <v>-5.317169730391369E-2</v>
      </c>
      <c r="AC54" s="4">
        <f t="shared" si="114"/>
        <v>-5.4177810053934183E-2</v>
      </c>
      <c r="AD54" s="4">
        <f t="shared" si="114"/>
        <v>-5.1301790569365346E-2</v>
      </c>
      <c r="AE54" s="4">
        <f t="shared" si="114"/>
        <v>-5.1296907062295283E-2</v>
      </c>
      <c r="AF54" s="4">
        <f t="shared" si="114"/>
        <v>-6.0323296365400125E-2</v>
      </c>
      <c r="AG54" s="4">
        <f t="shared" si="114"/>
        <v>-6.5893078280801154E-2</v>
      </c>
      <c r="AH54" s="4">
        <f t="shared" si="114"/>
        <v>-7.7571282708319589E-2</v>
      </c>
    </row>
    <row r="56" spans="1:35" x14ac:dyDescent="0.3">
      <c r="B56" s="1" t="s">
        <v>67</v>
      </c>
      <c r="G56" s="4">
        <f t="shared" ref="G56:L60" si="115">G4/C4-1</f>
        <v>3.3251787526238363E-3</v>
      </c>
      <c r="H56" s="4">
        <f t="shared" si="115"/>
        <v>9.9509172131635459E-2</v>
      </c>
      <c r="I56" s="4">
        <f t="shared" si="115"/>
        <v>0.17828547293489949</v>
      </c>
      <c r="J56" s="4">
        <f t="shared" si="115"/>
        <v>0.20632670199749503</v>
      </c>
      <c r="K56" s="4">
        <f t="shared" si="115"/>
        <v>0.19723049946523474</v>
      </c>
      <c r="L56" s="4">
        <f t="shared" si="115"/>
        <v>9.857592170906182E-2</v>
      </c>
      <c r="M56" s="4">
        <f>M4/I4-1</f>
        <v>3.6046021060770261E-2</v>
      </c>
      <c r="N56" s="4">
        <f>N4/J4-1</f>
        <v>4.0000000000000036E-2</v>
      </c>
      <c r="O56" s="4">
        <f t="shared" ref="O56:R60" si="116">O4/K4-1</f>
        <v>8.0000000000000071E-2</v>
      </c>
      <c r="P56" s="4">
        <f t="shared" si="116"/>
        <v>0.10000000000000009</v>
      </c>
      <c r="Q56" s="4">
        <f t="shared" si="116"/>
        <v>0.14999999999999991</v>
      </c>
      <c r="R56" s="4">
        <f t="shared" si="116"/>
        <v>8.0000000000000071E-2</v>
      </c>
      <c r="W56" s="4">
        <f>W4/V4-1</f>
        <v>0.12021655248860297</v>
      </c>
      <c r="X56" s="4">
        <f>X4/W4-1</f>
        <v>8.9896926755882234E-2</v>
      </c>
      <c r="Y56" s="4">
        <f>Y4/X4-1</f>
        <v>0.10296348303093805</v>
      </c>
      <c r="Z56" s="4">
        <f>Z4/Y4-1</f>
        <v>0.10000000000000009</v>
      </c>
      <c r="AA56" s="4">
        <f t="shared" ref="AA56:AH56" si="117">AA4/Z4-1</f>
        <v>8.0000000000000071E-2</v>
      </c>
      <c r="AB56" s="4">
        <f t="shared" si="117"/>
        <v>2.0000000000000018E-2</v>
      </c>
      <c r="AC56" s="4">
        <f t="shared" si="117"/>
        <v>3.0000000000000027E-2</v>
      </c>
      <c r="AD56" s="4">
        <f t="shared" si="117"/>
        <v>3.0000000000000027E-2</v>
      </c>
      <c r="AE56" s="4">
        <f t="shared" si="117"/>
        <v>3.0000000000000027E-2</v>
      </c>
      <c r="AF56" s="4">
        <f t="shared" si="117"/>
        <v>3.0000000000000027E-2</v>
      </c>
      <c r="AG56" s="4">
        <f t="shared" si="117"/>
        <v>3.0000000000000027E-2</v>
      </c>
      <c r="AH56" s="4">
        <f t="shared" si="117"/>
        <v>3.0000000000000027E-2</v>
      </c>
      <c r="AI56" s="4"/>
    </row>
    <row r="57" spans="1:35" x14ac:dyDescent="0.3">
      <c r="B57" s="1" t="s">
        <v>68</v>
      </c>
      <c r="G57" s="4">
        <f t="shared" si="115"/>
        <v>0.10478270116979793</v>
      </c>
      <c r="H57" s="4">
        <f t="shared" si="115"/>
        <v>8.5175196095454986E-2</v>
      </c>
      <c r="I57" s="4">
        <f t="shared" si="115"/>
        <v>8.4641968706193227E-2</v>
      </c>
      <c r="J57" s="4">
        <f t="shared" si="115"/>
        <v>0.12736242039670387</v>
      </c>
      <c r="K57" s="4">
        <f t="shared" si="115"/>
        <v>0.13922644249036531</v>
      </c>
      <c r="L57" s="4">
        <f t="shared" si="115"/>
        <v>0.18939265043446074</v>
      </c>
      <c r="M57" s="4">
        <f t="shared" ref="M57:O60" si="118">M5/I5-1</f>
        <v>0.12246574354284556</v>
      </c>
      <c r="N57" s="4">
        <f t="shared" si="118"/>
        <v>0.10000000000000009</v>
      </c>
      <c r="O57" s="4">
        <f t="shared" si="116"/>
        <v>0.12000000000000011</v>
      </c>
      <c r="P57" s="4">
        <f t="shared" si="116"/>
        <v>0.12999999999999989</v>
      </c>
      <c r="Q57" s="4">
        <f t="shared" si="116"/>
        <v>0.12999999999999989</v>
      </c>
      <c r="R57" s="4">
        <f t="shared" si="116"/>
        <v>0.13000000000000012</v>
      </c>
      <c r="W57" s="4">
        <f t="shared" ref="W57:Y60" si="119">W5/V5-1</f>
        <v>0.10356339148922178</v>
      </c>
      <c r="X57" s="4">
        <f t="shared" si="119"/>
        <v>0.13321164782635209</v>
      </c>
      <c r="Y57" s="4">
        <f t="shared" si="119"/>
        <v>0.12774772521156041</v>
      </c>
      <c r="Z57" s="4">
        <f t="shared" ref="Z57:AH57" si="120">Z5/Y5-1</f>
        <v>5.0000000000000044E-2</v>
      </c>
      <c r="AA57" s="4">
        <f t="shared" si="120"/>
        <v>5.0000000000000044E-2</v>
      </c>
      <c r="AB57" s="4">
        <f t="shared" si="120"/>
        <v>5.0000000000000044E-2</v>
      </c>
      <c r="AC57" s="4">
        <f t="shared" si="120"/>
        <v>-2.0000000000000018E-2</v>
      </c>
      <c r="AD57" s="4">
        <f t="shared" si="120"/>
        <v>-2.0000000000000018E-2</v>
      </c>
      <c r="AE57" s="4">
        <f t="shared" si="120"/>
        <v>-2.0000000000000018E-2</v>
      </c>
      <c r="AF57" s="4">
        <f t="shared" si="120"/>
        <v>-2.0000000000000018E-2</v>
      </c>
      <c r="AG57" s="4">
        <f t="shared" si="120"/>
        <v>-2.0000000000000018E-2</v>
      </c>
      <c r="AH57" s="4">
        <f t="shared" si="120"/>
        <v>-2.0000000000000018E-2</v>
      </c>
    </row>
    <row r="58" spans="1:35" x14ac:dyDescent="0.3">
      <c r="B58" s="1" t="s">
        <v>69</v>
      </c>
      <c r="G58" s="4">
        <f t="shared" si="115"/>
        <v>-6.0476984788911392E-2</v>
      </c>
      <c r="H58" s="4">
        <f t="shared" si="115"/>
        <v>8.7781749258516006E-2</v>
      </c>
      <c r="I58" s="4">
        <f t="shared" si="115"/>
        <v>7.1310861017829463E-2</v>
      </c>
      <c r="J58" s="4">
        <f t="shared" si="115"/>
        <v>-1.4532610522426825E-2</v>
      </c>
      <c r="K58" s="4">
        <f t="shared" si="115"/>
        <v>-8.5183985111703664E-2</v>
      </c>
      <c r="L58" s="4">
        <f t="shared" si="115"/>
        <v>-0.17763272410791975</v>
      </c>
      <c r="M58" s="4">
        <f t="shared" si="118"/>
        <v>-0.17583602214786465</v>
      </c>
      <c r="N58" s="4">
        <f t="shared" si="118"/>
        <v>-0.15000000000000002</v>
      </c>
      <c r="O58" s="4">
        <f t="shared" si="118"/>
        <v>-0.15000000000000002</v>
      </c>
      <c r="P58" s="4">
        <f t="shared" si="116"/>
        <v>-0.13</v>
      </c>
      <c r="Q58" s="4">
        <f t="shared" si="116"/>
        <v>-9.9999999999999978E-2</v>
      </c>
      <c r="R58" s="4">
        <f t="shared" si="116"/>
        <v>-8.0000000000000071E-2</v>
      </c>
      <c r="W58" s="4">
        <f t="shared" si="119"/>
        <v>1.7106332339617669E-2</v>
      </c>
      <c r="X58" s="4">
        <f t="shared" si="119"/>
        <v>-0.14829927603255744</v>
      </c>
      <c r="Y58" s="4">
        <f t="shared" si="119"/>
        <v>-0.11468085340052403</v>
      </c>
      <c r="Z58" s="4">
        <f t="shared" ref="Z58:AH58" si="121">Z6/Y6-1</f>
        <v>-5.0000000000000044E-2</v>
      </c>
      <c r="AA58" s="4">
        <f t="shared" si="121"/>
        <v>-4.9999999999999933E-2</v>
      </c>
      <c r="AB58" s="4">
        <f t="shared" si="121"/>
        <v>-5.0000000000000044E-2</v>
      </c>
      <c r="AC58" s="4">
        <f t="shared" si="121"/>
        <v>-5.0000000000000044E-2</v>
      </c>
      <c r="AD58" s="4">
        <f t="shared" si="121"/>
        <v>-5.0000000000000044E-2</v>
      </c>
      <c r="AE58" s="4">
        <f t="shared" si="121"/>
        <v>-5.0000000000000044E-2</v>
      </c>
      <c r="AF58" s="4">
        <f t="shared" si="121"/>
        <v>-5.0000000000000044E-2</v>
      </c>
      <c r="AG58" s="4">
        <f t="shared" si="121"/>
        <v>-5.0000000000000155E-2</v>
      </c>
      <c r="AH58" s="4">
        <f t="shared" si="121"/>
        <v>-5.0000000000000044E-2</v>
      </c>
    </row>
    <row r="59" spans="1:35" x14ac:dyDescent="0.3">
      <c r="B59" s="1" t="s">
        <v>70</v>
      </c>
      <c r="G59" s="4">
        <f t="shared" si="115"/>
        <v>5.8488553347077588E-2</v>
      </c>
      <c r="H59" s="4">
        <f t="shared" si="115"/>
        <v>8.7829480755903244E-2</v>
      </c>
      <c r="I59" s="4">
        <f t="shared" si="115"/>
        <v>8.1783013379871816E-2</v>
      </c>
      <c r="J59" s="4">
        <f t="shared" si="115"/>
        <v>7.6958441075256179E-2</v>
      </c>
      <c r="K59" s="4">
        <f t="shared" si="115"/>
        <v>9.0631168296038345E-2</v>
      </c>
      <c r="L59" s="4">
        <f t="shared" si="115"/>
        <v>5.4707131275946619E-2</v>
      </c>
      <c r="M59" s="4">
        <f t="shared" si="118"/>
        <v>6.0213562539779719E-2</v>
      </c>
      <c r="N59" s="4">
        <f t="shared" si="118"/>
        <v>5.0000000000000044E-2</v>
      </c>
      <c r="O59" s="4">
        <f t="shared" ref="O59:O60" si="122">O7/K7-1</f>
        <v>5.0000000000000044E-2</v>
      </c>
      <c r="P59" s="4">
        <f t="shared" si="116"/>
        <v>5.0000000000000044E-2</v>
      </c>
      <c r="Q59" s="4">
        <f t="shared" si="116"/>
        <v>5.0000000000000044E-2</v>
      </c>
      <c r="R59" s="4">
        <f t="shared" si="116"/>
        <v>5.0000000000000044E-2</v>
      </c>
      <c r="W59" s="4">
        <f t="shared" si="119"/>
        <v>7.6353648895528758E-2</v>
      </c>
      <c r="X59" s="4">
        <f t="shared" si="119"/>
        <v>6.4000011365016096E-2</v>
      </c>
      <c r="Y59" s="4">
        <f t="shared" si="119"/>
        <v>5.0000000000000044E-2</v>
      </c>
      <c r="Z59" s="4">
        <f t="shared" ref="Z59:AH59" si="123">Z7/Y7-1</f>
        <v>3.0000000000000027E-2</v>
      </c>
      <c r="AA59" s="4">
        <f t="shared" si="123"/>
        <v>3.0000000000000027E-2</v>
      </c>
      <c r="AB59" s="4">
        <f t="shared" si="123"/>
        <v>3.0000000000000027E-2</v>
      </c>
      <c r="AC59" s="4">
        <f t="shared" si="123"/>
        <v>3.0000000000000027E-2</v>
      </c>
      <c r="AD59" s="4">
        <f t="shared" si="123"/>
        <v>3.0000000000000027E-2</v>
      </c>
      <c r="AE59" s="4">
        <f t="shared" si="123"/>
        <v>3.0000000000000027E-2</v>
      </c>
      <c r="AF59" s="4">
        <f t="shared" si="123"/>
        <v>3.0000000000000027E-2</v>
      </c>
      <c r="AG59" s="4">
        <f t="shared" si="123"/>
        <v>3.0000000000000027E-2</v>
      </c>
      <c r="AH59" s="4">
        <f t="shared" si="123"/>
        <v>3.0000000000000027E-2</v>
      </c>
    </row>
    <row r="60" spans="1:35" x14ac:dyDescent="0.3">
      <c r="B60" s="1" t="s">
        <v>71</v>
      </c>
      <c r="G60" s="4">
        <f t="shared" si="115"/>
        <v>1.6639390860636816E-2</v>
      </c>
      <c r="H60" s="4">
        <f t="shared" si="115"/>
        <v>9.7350947427626844E-2</v>
      </c>
      <c r="I60" s="4">
        <f t="shared" si="115"/>
        <v>0.14803881845041733</v>
      </c>
      <c r="J60" s="4">
        <f t="shared" si="115"/>
        <v>0.16708654981433457</v>
      </c>
      <c r="K60" s="4">
        <f t="shared" si="115"/>
        <v>0.16055944309943038</v>
      </c>
      <c r="L60" s="4">
        <f t="shared" si="115"/>
        <v>9.4459003458966073E-2</v>
      </c>
      <c r="M60" s="4">
        <f t="shared" si="118"/>
        <v>4.7506762315257633E-2</v>
      </c>
      <c r="N60" s="4">
        <f t="shared" si="118"/>
        <v>4.6252372102647099E-2</v>
      </c>
      <c r="O60" s="4">
        <f t="shared" si="122"/>
        <v>7.5036591250571938E-2</v>
      </c>
      <c r="P60" s="4">
        <f t="shared" si="116"/>
        <v>9.1732235775342286E-2</v>
      </c>
      <c r="Q60" s="4">
        <f t="shared" si="116"/>
        <v>0.12396708010123025</v>
      </c>
      <c r="R60" s="4">
        <f t="shared" si="116"/>
        <v>8.7211263841344699E-2</v>
      </c>
      <c r="W60" s="4">
        <f t="shared" si="119"/>
        <v>0.10658959474056728</v>
      </c>
      <c r="X60" s="4">
        <f t="shared" si="119"/>
        <v>8.538624111453208E-2</v>
      </c>
      <c r="Y60" s="4">
        <f t="shared" si="119"/>
        <v>9.4766321971685219E-2</v>
      </c>
      <c r="Z60" s="4">
        <f t="shared" ref="Z60:AH60" si="124">Z8/Y8-1</f>
        <v>8.4099334164867923E-2</v>
      </c>
      <c r="AA60" s="4">
        <f t="shared" si="124"/>
        <v>7.0744454211074004E-2</v>
      </c>
      <c r="AB60" s="4">
        <f t="shared" si="124"/>
        <v>3.8331705361964508E-2</v>
      </c>
      <c r="AC60" s="4">
        <f t="shared" si="124"/>
        <v>2.0397138641534029E-2</v>
      </c>
      <c r="AD60" s="4">
        <f t="shared" si="124"/>
        <v>1.6715763268361217E-2</v>
      </c>
      <c r="AE60" s="4">
        <f t="shared" si="124"/>
        <v>1.1896520845864789E-2</v>
      </c>
      <c r="AF60" s="4">
        <f t="shared" si="124"/>
        <v>4.0839424148071402E-3</v>
      </c>
      <c r="AG60" s="4">
        <f t="shared" si="124"/>
        <v>-1.3208191185206664E-3</v>
      </c>
      <c r="AH60" s="4">
        <f t="shared" si="124"/>
        <v>-8.3155188557779702E-3</v>
      </c>
    </row>
    <row r="62" spans="1:35" s="6" customFormat="1" x14ac:dyDescent="0.3">
      <c r="A62" s="5"/>
      <c r="B62" s="5" t="s">
        <v>79</v>
      </c>
      <c r="J62" s="6">
        <f>J63-J75</f>
        <v>-2973.6019999999999</v>
      </c>
      <c r="K62" s="6">
        <f>K63-K75</f>
        <v>-2923.0339999999997</v>
      </c>
      <c r="L62" s="6">
        <f>L63-L75</f>
        <v>-3001.9669999999996</v>
      </c>
      <c r="M62" s="6">
        <f>M63-M75</f>
        <v>-2986.4169999999999</v>
      </c>
      <c r="N62" s="6">
        <f>M62+N33</f>
        <v>-2804.4438559999999</v>
      </c>
      <c r="O62" s="6">
        <f t="shared" ref="O62:R62" si="125">N62+O33</f>
        <v>-2605.2953990400001</v>
      </c>
      <c r="P62" s="6">
        <f t="shared" si="125"/>
        <v>-2401.1483628800001</v>
      </c>
      <c r="Q62" s="6">
        <f t="shared" si="125"/>
        <v>-2181.8294457600005</v>
      </c>
      <c r="R62" s="6">
        <f t="shared" si="125"/>
        <v>-1975.7419910707204</v>
      </c>
      <c r="Y62" s="6">
        <f>R62</f>
        <v>-1975.7419910707204</v>
      </c>
      <c r="Z62" s="6">
        <f>Y62+Z33</f>
        <v>-1120.7573221607645</v>
      </c>
      <c r="AA62" s="6">
        <f t="shared" ref="AA62:AH62" si="126">Z62+AA33</f>
        <v>-222.66134360840329</v>
      </c>
      <c r="AB62" s="6">
        <f t="shared" si="126"/>
        <v>695.44361947671393</v>
      </c>
      <c r="AC62" s="6">
        <f t="shared" si="126"/>
        <v>1617.9332983765066</v>
      </c>
      <c r="AD62" s="6">
        <f t="shared" si="126"/>
        <v>2545.6121918409517</v>
      </c>
      <c r="AE62" s="6">
        <f t="shared" si="126"/>
        <v>3475.8705958600608</v>
      </c>
      <c r="AF62" s="6">
        <f t="shared" si="126"/>
        <v>4396.5446574084099</v>
      </c>
      <c r="AG62" s="6">
        <f t="shared" si="126"/>
        <v>5301.5766901725192</v>
      </c>
      <c r="AH62" s="6">
        <f t="shared" si="126"/>
        <v>6180.6542519423592</v>
      </c>
    </row>
    <row r="63" spans="1:35" x14ac:dyDescent="0.3">
      <c r="B63" s="1" t="s">
        <v>3</v>
      </c>
      <c r="J63" s="2">
        <f>862.44+6.2</f>
        <v>868.6400000000001</v>
      </c>
      <c r="K63" s="2">
        <f>914.929+5.938</f>
        <v>920.86699999999996</v>
      </c>
      <c r="L63" s="2">
        <f>837.792+5.812</f>
        <v>843.60400000000004</v>
      </c>
      <c r="M63" s="2">
        <f>855.532+5.323</f>
        <v>860.85500000000002</v>
      </c>
    </row>
    <row r="64" spans="1:35" x14ac:dyDescent="0.3">
      <c r="B64" s="1" t="s">
        <v>80</v>
      </c>
      <c r="J64" s="2">
        <v>298.64800000000002</v>
      </c>
      <c r="K64" s="2">
        <v>225.12899999999999</v>
      </c>
      <c r="L64" s="2">
        <v>324.26900000000001</v>
      </c>
      <c r="M64" s="2">
        <v>340.08699999999999</v>
      </c>
    </row>
    <row r="65" spans="2:13" x14ac:dyDescent="0.3">
      <c r="B65" s="1" t="s">
        <v>81</v>
      </c>
      <c r="J65" s="2">
        <f>104.023+133.889</f>
        <v>237.91200000000001</v>
      </c>
      <c r="K65" s="2">
        <f>103.879+142.359</f>
        <v>246.238</v>
      </c>
      <c r="L65" s="2">
        <f>118.049+135.6</f>
        <v>253.649</v>
      </c>
      <c r="M65" s="2">
        <f>121.759+127.456</f>
        <v>249.215</v>
      </c>
    </row>
    <row r="66" spans="2:13" x14ac:dyDescent="0.3">
      <c r="B66" s="1" t="s">
        <v>82</v>
      </c>
      <c r="J66" s="2">
        <v>194.52500000000001</v>
      </c>
      <c r="K66" s="2">
        <v>187.749</v>
      </c>
      <c r="L66" s="2">
        <v>181.13800000000001</v>
      </c>
      <c r="M66" s="2">
        <v>172.11199999999999</v>
      </c>
    </row>
    <row r="67" spans="2:13" x14ac:dyDescent="0.3">
      <c r="B67" s="1" t="s">
        <v>83</v>
      </c>
      <c r="J67" s="2">
        <v>2342.6120000000001</v>
      </c>
      <c r="K67" s="2">
        <v>2286.2829999999999</v>
      </c>
      <c r="L67" s="2">
        <v>2255.3020000000001</v>
      </c>
      <c r="M67" s="2">
        <v>2319.732</v>
      </c>
    </row>
    <row r="68" spans="2:13" x14ac:dyDescent="0.3">
      <c r="B68" s="1" t="s">
        <v>84</v>
      </c>
      <c r="J68" s="2">
        <v>305.74599999999998</v>
      </c>
      <c r="K68" s="2">
        <v>287.52699999999999</v>
      </c>
      <c r="L68" s="2">
        <v>275.721</v>
      </c>
      <c r="M68" s="2">
        <v>241.226</v>
      </c>
    </row>
    <row r="69" spans="2:13" x14ac:dyDescent="0.3">
      <c r="B69" s="1" t="s">
        <v>85</v>
      </c>
      <c r="J69" s="2">
        <v>259.803</v>
      </c>
      <c r="K69" s="2">
        <v>249.66</v>
      </c>
      <c r="L69" s="2">
        <v>235.24600000000001</v>
      </c>
      <c r="M69" s="2">
        <v>242.61</v>
      </c>
    </row>
    <row r="70" spans="2:13" x14ac:dyDescent="0.3">
      <c r="B70" s="1" t="s">
        <v>86</v>
      </c>
      <c r="J70" s="2">
        <f>SUM(J63:J69)</f>
        <v>4507.8860000000004</v>
      </c>
      <c r="K70" s="2">
        <f>SUM(K63:K69)</f>
        <v>4403.4529999999995</v>
      </c>
      <c r="L70" s="2">
        <f>SUM(L63:L69)</f>
        <v>4368.9290000000001</v>
      </c>
      <c r="M70" s="2">
        <f>SUM(M63:M69)</f>
        <v>4425.8369999999995</v>
      </c>
    </row>
    <row r="72" spans="2:13" x14ac:dyDescent="0.3">
      <c r="B72" s="1" t="s">
        <v>87</v>
      </c>
      <c r="J72" s="2">
        <v>13.186999999999999</v>
      </c>
      <c r="K72" s="2">
        <v>21.193000000000001</v>
      </c>
      <c r="L72" s="2">
        <v>17.222999999999999</v>
      </c>
      <c r="M72" s="2">
        <v>27.350999999999999</v>
      </c>
    </row>
    <row r="73" spans="2:13" x14ac:dyDescent="0.3">
      <c r="B73" s="1" t="s">
        <v>88</v>
      </c>
      <c r="J73" s="2">
        <v>211.28200000000001</v>
      </c>
      <c r="K73" s="2">
        <v>198.54300000000001</v>
      </c>
      <c r="L73" s="2">
        <v>187.07599999999999</v>
      </c>
      <c r="M73" s="2">
        <v>181.411</v>
      </c>
    </row>
    <row r="74" spans="2:13" x14ac:dyDescent="0.3">
      <c r="B74" s="1" t="s">
        <v>89</v>
      </c>
      <c r="J74" s="2">
        <v>307.29899999999998</v>
      </c>
      <c r="K74" s="2">
        <v>299.154</v>
      </c>
      <c r="L74" s="2">
        <v>308.036</v>
      </c>
      <c r="M74" s="2">
        <v>321.52600000000001</v>
      </c>
    </row>
    <row r="75" spans="2:13" x14ac:dyDescent="0.3">
      <c r="B75" s="1" t="s">
        <v>4</v>
      </c>
      <c r="J75" s="2">
        <v>3842.2420000000002</v>
      </c>
      <c r="K75" s="2">
        <v>3843.9009999999998</v>
      </c>
      <c r="L75" s="2">
        <v>3845.5709999999999</v>
      </c>
      <c r="M75" s="2">
        <v>3847.2719999999999</v>
      </c>
    </row>
    <row r="76" spans="2:13" x14ac:dyDescent="0.3">
      <c r="B76" s="1" t="s">
        <v>90</v>
      </c>
      <c r="J76" s="2">
        <v>24.86</v>
      </c>
      <c r="K76" s="2">
        <v>24.658000000000001</v>
      </c>
      <c r="L76" s="2">
        <v>26.696000000000002</v>
      </c>
      <c r="M76" s="2">
        <v>30.744</v>
      </c>
    </row>
    <row r="77" spans="2:13" x14ac:dyDescent="0.3">
      <c r="B77" s="1" t="s">
        <v>85</v>
      </c>
      <c r="J77" s="2">
        <v>26.302</v>
      </c>
      <c r="K77" s="2">
        <v>22.071999999999999</v>
      </c>
      <c r="L77" s="2">
        <v>17.477</v>
      </c>
      <c r="M77" s="2">
        <v>13.404999999999999</v>
      </c>
    </row>
    <row r="78" spans="2:13" x14ac:dyDescent="0.3">
      <c r="B78" s="1" t="s">
        <v>81</v>
      </c>
      <c r="J78" s="2">
        <v>101.78700000000001</v>
      </c>
      <c r="K78" s="2">
        <v>101.604</v>
      </c>
      <c r="L78" s="2">
        <v>96.962000000000003</v>
      </c>
      <c r="M78" s="2">
        <v>92.632000000000005</v>
      </c>
    </row>
    <row r="79" spans="2:13" x14ac:dyDescent="0.3">
      <c r="B79" s="1" t="s">
        <v>91</v>
      </c>
      <c r="J79" s="2">
        <v>-19.073</v>
      </c>
      <c r="K79" s="2">
        <v>-107.672</v>
      </c>
      <c r="L79" s="2">
        <v>-130.11199999999999</v>
      </c>
      <c r="M79" s="2">
        <v>-88.504000000000005</v>
      </c>
    </row>
    <row r="80" spans="2:13" x14ac:dyDescent="0.3">
      <c r="B80" s="1" t="s">
        <v>92</v>
      </c>
      <c r="J80" s="2">
        <f>SUM(J72:J79)</f>
        <v>4507.8859999999995</v>
      </c>
      <c r="K80" s="2">
        <f>SUM(K72:K79)</f>
        <v>4403.4530000000013</v>
      </c>
      <c r="L80" s="2">
        <f>SUM(L72:L79)</f>
        <v>4368.9290000000001</v>
      </c>
      <c r="M80" s="2">
        <f>SUM(M72:M79)</f>
        <v>4425.8369999999986</v>
      </c>
    </row>
    <row r="83" spans="2:2" x14ac:dyDescent="0.3">
      <c r="B83" s="1" t="s">
        <v>93</v>
      </c>
    </row>
    <row r="84" spans="2:2" x14ac:dyDescent="0.3">
      <c r="B84" s="1" t="s">
        <v>94</v>
      </c>
    </row>
    <row r="86" spans="2:2" x14ac:dyDescent="0.3">
      <c r="B86" s="1" t="s">
        <v>95</v>
      </c>
    </row>
    <row r="87" spans="2:2" x14ac:dyDescent="0.3">
      <c r="B87" s="1" t="s">
        <v>96</v>
      </c>
    </row>
    <row r="88" spans="2:2" x14ac:dyDescent="0.3">
      <c r="B88" s="1" t="s">
        <v>147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BEFB-6554-4AFC-8CB1-711AFC485CBB}">
  <dimension ref="A1:F1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defaultRowHeight="14" x14ac:dyDescent="0.3"/>
  <cols>
    <col min="1" max="1" width="5.08984375" style="1" bestFit="1" customWidth="1"/>
    <col min="2" max="2" width="14.54296875" style="1" bestFit="1" customWidth="1"/>
    <col min="3" max="16384" width="8.7265625" style="2"/>
  </cols>
  <sheetData>
    <row r="1" spans="1:6" s="1" customFormat="1" x14ac:dyDescent="0.3">
      <c r="A1" s="1" t="s">
        <v>7</v>
      </c>
    </row>
    <row r="2" spans="1:6" s="1" customFormat="1" x14ac:dyDescent="0.3"/>
    <row r="3" spans="1:6" s="1" customFormat="1" x14ac:dyDescent="0.3">
      <c r="C3" s="1" t="s">
        <v>15</v>
      </c>
      <c r="D3" s="1" t="s">
        <v>16</v>
      </c>
      <c r="E3" s="1" t="s">
        <v>17</v>
      </c>
      <c r="F3" s="1" t="s">
        <v>6</v>
      </c>
    </row>
    <row r="4" spans="1:6" x14ac:dyDescent="0.3">
      <c r="B4" s="1" t="s">
        <v>106</v>
      </c>
      <c r="C4" s="2">
        <v>129</v>
      </c>
      <c r="D4" s="2">
        <v>128</v>
      </c>
      <c r="E4" s="2">
        <v>123</v>
      </c>
      <c r="F4" s="2">
        <v>123</v>
      </c>
    </row>
    <row r="5" spans="1:6" x14ac:dyDescent="0.3">
      <c r="B5" s="1" t="s">
        <v>111</v>
      </c>
      <c r="C5" s="2">
        <v>31</v>
      </c>
      <c r="D5" s="2">
        <v>34</v>
      </c>
      <c r="E5" s="2">
        <v>35</v>
      </c>
      <c r="F5" s="2">
        <v>36</v>
      </c>
    </row>
    <row r="6" spans="1:6" x14ac:dyDescent="0.3">
      <c r="B6" s="1" t="s">
        <v>122</v>
      </c>
      <c r="C6" s="2">
        <v>8</v>
      </c>
      <c r="D6" s="2">
        <v>7</v>
      </c>
      <c r="E6" s="2">
        <v>3</v>
      </c>
      <c r="F6" s="2">
        <v>0</v>
      </c>
    </row>
    <row r="7" spans="1:6" x14ac:dyDescent="0.3">
      <c r="B7" s="1" t="s">
        <v>123</v>
      </c>
      <c r="C7" s="2">
        <f>SUM(C4:C6)</f>
        <v>168</v>
      </c>
      <c r="D7" s="2">
        <f t="shared" ref="D7:F7" si="0">SUM(D4:D6)</f>
        <v>169</v>
      </c>
      <c r="E7" s="2">
        <f t="shared" si="0"/>
        <v>161</v>
      </c>
      <c r="F7" s="2">
        <f t="shared" si="0"/>
        <v>159</v>
      </c>
    </row>
    <row r="10" spans="1:6" x14ac:dyDescent="0.3">
      <c r="D10" s="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9076-FA1C-4E01-AAEE-14FE2E7A7962}">
  <dimension ref="A1:G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4" x14ac:dyDescent="0.3"/>
  <cols>
    <col min="1" max="1" width="5.08984375" style="1" bestFit="1" customWidth="1"/>
    <col min="2" max="2" width="11.54296875" style="1" bestFit="1" customWidth="1"/>
    <col min="3" max="16384" width="8.7265625" style="1"/>
  </cols>
  <sheetData>
    <row r="1" spans="1:7" x14ac:dyDescent="0.3">
      <c r="A1" s="1" t="s">
        <v>7</v>
      </c>
    </row>
    <row r="3" spans="1:7" x14ac:dyDescent="0.3">
      <c r="C3" s="1" t="s">
        <v>14</v>
      </c>
      <c r="D3" s="1" t="s">
        <v>15</v>
      </c>
      <c r="E3" s="1" t="s">
        <v>16</v>
      </c>
      <c r="F3" s="1" t="s">
        <v>17</v>
      </c>
      <c r="G3" s="1" t="s">
        <v>6</v>
      </c>
    </row>
    <row r="4" spans="1:7" x14ac:dyDescent="0.3">
      <c r="B4" s="1" t="s">
        <v>126</v>
      </c>
      <c r="C4" s="1">
        <v>8.4</v>
      </c>
      <c r="D4" s="1">
        <v>8.4</v>
      </c>
      <c r="E4" s="1">
        <v>8.4</v>
      </c>
      <c r="F4" s="1">
        <v>9.1</v>
      </c>
      <c r="G4" s="1">
        <v>9.5</v>
      </c>
    </row>
    <row r="7" spans="1:7" x14ac:dyDescent="0.3">
      <c r="D7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E&amp;E</vt:lpstr>
      <vt:lpstr>MG 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2024-12-27T17:12:18Z</dcterms:created>
  <dcterms:modified xsi:type="dcterms:W3CDTF">2024-12-31T20:17:31Z</dcterms:modified>
</cp:coreProperties>
</file>