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f45dd68b2362293/Desktop/"/>
    </mc:Choice>
  </mc:AlternateContent>
  <xr:revisionPtr revIDLastSave="1801" documentId="8_{37734FF9-D0F4-43D2-8228-47CA597E09B6}" xr6:coauthVersionLast="47" xr6:coauthVersionMax="47" xr10:uidLastSave="{3F32D549-8D56-4CC8-9E4A-41B9842DD235}"/>
  <bookViews>
    <workbookView xWindow="-110" yWindow="-110" windowWidth="38620" windowHeight="21100" activeTab="2" xr2:uid="{ECE481E7-1CBA-42F0-A66C-1318B6516C2E}"/>
  </bookViews>
  <sheets>
    <sheet name="Universe" sheetId="1" r:id="rId1"/>
    <sheet name="Top Dating Apps" sheetId="4" r:id="rId2"/>
    <sheet name="Market Share" sheetId="2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2" i="2" l="1"/>
  <c r="AO12" i="2"/>
  <c r="AN12" i="2"/>
  <c r="AM12" i="2"/>
  <c r="AL12" i="2"/>
  <c r="AK12" i="2"/>
  <c r="AO10" i="2"/>
  <c r="AJ12" i="2"/>
  <c r="AI12" i="2"/>
  <c r="AH12" i="2"/>
  <c r="AP7" i="2"/>
  <c r="AO7" i="2"/>
  <c r="AN7" i="2"/>
  <c r="AM7" i="2"/>
  <c r="AL7" i="2"/>
  <c r="AK7" i="2"/>
  <c r="AJ7" i="2"/>
  <c r="AI7" i="2"/>
  <c r="AH7" i="2"/>
  <c r="AP13" i="2"/>
  <c r="AO13" i="2"/>
  <c r="AN13" i="2"/>
  <c r="AM13" i="2"/>
  <c r="AL13" i="2"/>
  <c r="AK13" i="2"/>
  <c r="AJ13" i="2"/>
  <c r="AI13" i="2"/>
  <c r="AH13" i="2"/>
  <c r="AP6" i="2"/>
  <c r="AO6" i="2"/>
  <c r="AN6" i="2"/>
  <c r="AM6" i="2"/>
  <c r="AL6" i="2"/>
  <c r="AK6" i="2"/>
  <c r="AJ6" i="2"/>
  <c r="AI6" i="2"/>
  <c r="AH6" i="2"/>
  <c r="AH4" i="2"/>
  <c r="AP4" i="2"/>
  <c r="AO4" i="2"/>
  <c r="AN4" i="2"/>
  <c r="AM4" i="2"/>
  <c r="AL4" i="2"/>
  <c r="AK4" i="2"/>
  <c r="AJ4" i="2"/>
  <c r="AI4" i="2"/>
  <c r="AP5" i="2"/>
  <c r="AO5" i="2"/>
  <c r="AN5" i="2"/>
  <c r="AM5" i="2"/>
  <c r="AL5" i="2"/>
  <c r="AK5" i="2"/>
  <c r="AJ5" i="2"/>
  <c r="AI5" i="2"/>
  <c r="AH5" i="2"/>
  <c r="AP10" i="2"/>
  <c r="AN10" i="2"/>
  <c r="AM10" i="2"/>
  <c r="AL10" i="2"/>
  <c r="AK10" i="2"/>
  <c r="AJ10" i="2"/>
  <c r="AI10" i="2"/>
  <c r="AH10" i="2"/>
  <c r="AI14" i="2"/>
  <c r="AJ14" i="2" s="1"/>
  <c r="AK14" i="2" s="1"/>
  <c r="AL14" i="2" s="1"/>
  <c r="AM14" i="2" s="1"/>
  <c r="AN14" i="2" s="1"/>
  <c r="AO14" i="2" s="1"/>
  <c r="AP14" i="2" s="1"/>
  <c r="AH14" i="2"/>
  <c r="AF14" i="2"/>
  <c r="AE14" i="2"/>
  <c r="AD14" i="2"/>
  <c r="AG26" i="2"/>
  <c r="AG14" i="2"/>
  <c r="AG16" i="2"/>
  <c r="AG25" i="2"/>
  <c r="AG24" i="2"/>
  <c r="AG23" i="2"/>
  <c r="AG22" i="2"/>
  <c r="Y26" i="2"/>
  <c r="V26" i="2"/>
  <c r="V33" i="2"/>
  <c r="Y44" i="2" l="1"/>
  <c r="X44" i="2"/>
  <c r="W44" i="2"/>
  <c r="V44" i="2"/>
  <c r="Y13" i="2"/>
  <c r="Y37" i="2"/>
  <c r="X37" i="2"/>
  <c r="W37" i="2"/>
  <c r="V37" i="2"/>
  <c r="Y36" i="2"/>
  <c r="X36" i="2"/>
  <c r="W36" i="2"/>
  <c r="V36" i="2"/>
  <c r="Y42" i="2"/>
  <c r="X42" i="2"/>
  <c r="W42" i="2"/>
  <c r="V42" i="2"/>
  <c r="Y38" i="2"/>
  <c r="X38" i="2"/>
  <c r="W38" i="2"/>
  <c r="V38" i="2"/>
  <c r="Y35" i="2"/>
  <c r="X35" i="2"/>
  <c r="W35" i="2"/>
  <c r="V35" i="2"/>
  <c r="Z62" i="2"/>
  <c r="Y62" i="2"/>
  <c r="X62" i="2"/>
  <c r="W62" i="2"/>
  <c r="V62" i="2"/>
  <c r="K14" i="2"/>
  <c r="K25" i="2" s="1"/>
  <c r="K31" i="2" s="1"/>
  <c r="U62" i="2"/>
  <c r="T62" i="2"/>
  <c r="S62" i="2"/>
  <c r="R62" i="2"/>
  <c r="Q62" i="2"/>
  <c r="P62" i="2"/>
  <c r="O62" i="2"/>
  <c r="N62" i="2"/>
  <c r="M62" i="2"/>
  <c r="L62" i="2"/>
  <c r="K62" i="2"/>
  <c r="X64" i="2" l="1"/>
  <c r="Z64" i="2"/>
  <c r="Y64" i="2"/>
  <c r="Z35" i="2"/>
  <c r="R64" i="2"/>
  <c r="V64" i="2"/>
  <c r="W64" i="2"/>
  <c r="Z36" i="2"/>
  <c r="Y46" i="2"/>
  <c r="Z38" i="2"/>
  <c r="Z44" i="2"/>
  <c r="Z42" i="2"/>
  <c r="Z37" i="2"/>
  <c r="W46" i="2"/>
  <c r="X46" i="2"/>
  <c r="V46" i="2"/>
  <c r="S64" i="2"/>
  <c r="O64" i="2"/>
  <c r="T64" i="2"/>
  <c r="P64" i="2"/>
  <c r="Q64" i="2"/>
  <c r="U64" i="2"/>
  <c r="Z46" i="2" l="1"/>
  <c r="Z48" i="2" s="1"/>
  <c r="T46" i="2" l="1"/>
  <c r="X48" i="2" s="1"/>
  <c r="S46" i="2"/>
  <c r="W48" i="2" s="1"/>
  <c r="R46" i="2"/>
  <c r="V48" i="2" s="1"/>
  <c r="Q46" i="2"/>
  <c r="P46" i="2"/>
  <c r="O46" i="2"/>
  <c r="N46" i="2"/>
  <c r="M46" i="2"/>
  <c r="L46" i="2"/>
  <c r="K46" i="2"/>
  <c r="U46" i="2"/>
  <c r="Y48" i="2" s="1"/>
  <c r="O48" i="2" l="1"/>
  <c r="P48" i="2"/>
  <c r="Q48" i="2"/>
  <c r="R48" i="2"/>
  <c r="S48" i="2"/>
  <c r="T48" i="2"/>
  <c r="U48" i="2"/>
  <c r="AC5" i="2"/>
  <c r="AG13" i="2"/>
  <c r="AF13" i="2"/>
  <c r="C5" i="2"/>
  <c r="AB5" i="2" s="1"/>
  <c r="AE13" i="2" l="1"/>
  <c r="AD13" i="2"/>
  <c r="L10" i="2"/>
  <c r="F5" i="1"/>
  <c r="E5" i="1"/>
  <c r="D5" i="1"/>
  <c r="C5" i="1"/>
  <c r="N4" i="1"/>
  <c r="O4" i="1"/>
  <c r="M4" i="1"/>
  <c r="L4" i="1"/>
  <c r="K4" i="1"/>
  <c r="J4" i="1"/>
  <c r="G4" i="1"/>
  <c r="C4" i="1"/>
  <c r="M10" i="2" l="1"/>
  <c r="N10" i="2" s="1"/>
  <c r="O10" i="2" s="1"/>
  <c r="P10" i="2" l="1"/>
  <c r="Q10" i="2" s="1"/>
  <c r="R10" i="2" s="1"/>
  <c r="S10" i="2" s="1"/>
  <c r="AD10" i="2"/>
  <c r="E4" i="1"/>
  <c r="D4" i="1"/>
  <c r="AE10" i="2" l="1"/>
  <c r="T10" i="2"/>
  <c r="U10" i="2" s="1"/>
  <c r="AF10" i="2" l="1"/>
  <c r="F4" i="1"/>
  <c r="H4" i="1" l="1"/>
  <c r="I4" i="1"/>
  <c r="AG11" i="2" l="1"/>
  <c r="AF12" i="2"/>
  <c r="AF11" i="2"/>
  <c r="AF7" i="2"/>
  <c r="AF6" i="2"/>
  <c r="AF5" i="2"/>
  <c r="AF4" i="2"/>
  <c r="AE12" i="2"/>
  <c r="AE11" i="2"/>
  <c r="AE7" i="2"/>
  <c r="AE6" i="2"/>
  <c r="AE5" i="2"/>
  <c r="AE4" i="2"/>
  <c r="AD12" i="2"/>
  <c r="AD11" i="2"/>
  <c r="AD7" i="2"/>
  <c r="AD6" i="2"/>
  <c r="AD5" i="2"/>
  <c r="AD4" i="2"/>
  <c r="K24" i="2"/>
  <c r="L9" i="2"/>
  <c r="M9" i="2" s="1"/>
  <c r="A30" i="4"/>
  <c r="A31" i="4" s="1"/>
  <c r="A32" i="4" s="1"/>
  <c r="A33" i="4" s="1"/>
  <c r="A29" i="4"/>
  <c r="A6" i="4"/>
  <c r="A7" i="4" s="1"/>
  <c r="A8" i="4" s="1"/>
  <c r="A9" i="4" s="1"/>
  <c r="A10" i="4" s="1"/>
  <c r="A11" i="4" s="1"/>
  <c r="A12" i="4" s="1"/>
  <c r="A13" i="4" s="1"/>
  <c r="A14" i="4" s="1"/>
  <c r="A5" i="4"/>
  <c r="L14" i="2" l="1"/>
  <c r="L25" i="2" s="1"/>
  <c r="L31" i="2" s="1"/>
  <c r="K16" i="2"/>
  <c r="K17" i="2"/>
  <c r="K18" i="2"/>
  <c r="K21" i="2"/>
  <c r="K22" i="2"/>
  <c r="K19" i="2"/>
  <c r="K20" i="2"/>
  <c r="K23" i="2"/>
  <c r="N9" i="2"/>
  <c r="AD9" i="2" s="1"/>
  <c r="AE3" i="2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K30" i="2" l="1"/>
  <c r="M14" i="2"/>
  <c r="K28" i="2"/>
  <c r="K29" i="2"/>
  <c r="L18" i="2"/>
  <c r="L24" i="2"/>
  <c r="L23" i="2"/>
  <c r="L22" i="2"/>
  <c r="L21" i="2"/>
  <c r="L20" i="2"/>
  <c r="L19" i="2"/>
  <c r="L17" i="2"/>
  <c r="L16" i="2"/>
  <c r="O9" i="2"/>
  <c r="L30" i="2" l="1"/>
  <c r="M17" i="2"/>
  <c r="M25" i="2"/>
  <c r="M31" i="2" s="1"/>
  <c r="M21" i="2"/>
  <c r="M18" i="2"/>
  <c r="N14" i="2"/>
  <c r="M20" i="2"/>
  <c r="M19" i="2"/>
  <c r="M24" i="2"/>
  <c r="M23" i="2"/>
  <c r="M22" i="2"/>
  <c r="M16" i="2"/>
  <c r="AD8" i="2"/>
  <c r="L28" i="2"/>
  <c r="L29" i="2"/>
  <c r="N5" i="1"/>
  <c r="O5" i="1"/>
  <c r="P9" i="2"/>
  <c r="M29" i="2" l="1"/>
  <c r="M30" i="2"/>
  <c r="N25" i="2"/>
  <c r="N31" i="2" s="1"/>
  <c r="N24" i="2"/>
  <c r="N16" i="2"/>
  <c r="N20" i="2"/>
  <c r="N17" i="2"/>
  <c r="N18" i="2"/>
  <c r="N19" i="2"/>
  <c r="N21" i="2"/>
  <c r="N22" i="2"/>
  <c r="N23" i="2"/>
  <c r="N29" i="2" s="1"/>
  <c r="M28" i="2"/>
  <c r="O14" i="2"/>
  <c r="Q9" i="2"/>
  <c r="N30" i="2" l="1"/>
  <c r="AD20" i="2"/>
  <c r="AD25" i="2"/>
  <c r="O19" i="2"/>
  <c r="O25" i="2"/>
  <c r="O31" i="2" s="1"/>
  <c r="N28" i="2"/>
  <c r="P14" i="2"/>
  <c r="O20" i="2"/>
  <c r="O16" i="2"/>
  <c r="O17" i="2"/>
  <c r="O24" i="2"/>
  <c r="O33" i="2"/>
  <c r="O21" i="2"/>
  <c r="O23" i="2"/>
  <c r="O22" i="2"/>
  <c r="O18" i="2"/>
  <c r="AD19" i="2"/>
  <c r="AD17" i="2"/>
  <c r="AD24" i="2"/>
  <c r="AD16" i="2"/>
  <c r="AD23" i="2"/>
  <c r="AD21" i="2"/>
  <c r="AD18" i="2"/>
  <c r="AD22" i="2"/>
  <c r="J5" i="1"/>
  <c r="M5" i="1"/>
  <c r="K5" i="1"/>
  <c r="R9" i="2"/>
  <c r="AE9" i="2" s="1"/>
  <c r="O30" i="2" l="1"/>
  <c r="AD29" i="2"/>
  <c r="P19" i="2"/>
  <c r="P25" i="2"/>
  <c r="P31" i="2" s="1"/>
  <c r="P21" i="2"/>
  <c r="P20" i="2"/>
  <c r="O28" i="2"/>
  <c r="P24" i="2"/>
  <c r="Q14" i="2"/>
  <c r="AD28" i="2"/>
  <c r="AD30" i="2"/>
  <c r="P33" i="2"/>
  <c r="P16" i="2"/>
  <c r="P17" i="2"/>
  <c r="P22" i="2"/>
  <c r="P23" i="2"/>
  <c r="P29" i="2" s="1"/>
  <c r="O29" i="2"/>
  <c r="P18" i="2"/>
  <c r="L5" i="1"/>
  <c r="S9" i="2"/>
  <c r="P30" i="2" l="1"/>
  <c r="P28" i="2"/>
  <c r="Q17" i="2"/>
  <c r="Q25" i="2"/>
  <c r="Q31" i="2" s="1"/>
  <c r="Q23" i="2"/>
  <c r="Q29" i="2" s="1"/>
  <c r="Q18" i="2"/>
  <c r="Q19" i="2"/>
  <c r="Q21" i="2"/>
  <c r="Q20" i="2"/>
  <c r="Q16" i="2"/>
  <c r="Q22" i="2"/>
  <c r="Q24" i="2"/>
  <c r="Q30" i="2" s="1"/>
  <c r="Q33" i="2"/>
  <c r="R14" i="2"/>
  <c r="AE8" i="2"/>
  <c r="AE20" i="2" s="1"/>
  <c r="T9" i="2"/>
  <c r="AE19" i="2" l="1"/>
  <c r="AE24" i="2"/>
  <c r="Q28" i="2"/>
  <c r="AE21" i="2"/>
  <c r="AE25" i="2"/>
  <c r="R16" i="2"/>
  <c r="R25" i="2"/>
  <c r="R31" i="2" s="1"/>
  <c r="AE22" i="2"/>
  <c r="AE33" i="2"/>
  <c r="AE17" i="2"/>
  <c r="AE16" i="2"/>
  <c r="R22" i="2"/>
  <c r="R23" i="2"/>
  <c r="R24" i="2"/>
  <c r="R18" i="2"/>
  <c r="AE23" i="2"/>
  <c r="AE18" i="2"/>
  <c r="R17" i="2"/>
  <c r="R19" i="2"/>
  <c r="R33" i="2"/>
  <c r="R20" i="2"/>
  <c r="R21" i="2"/>
  <c r="S14" i="2"/>
  <c r="U9" i="2"/>
  <c r="R30" i="2" l="1"/>
  <c r="AE30" i="2"/>
  <c r="V14" i="2"/>
  <c r="V25" i="2" s="1"/>
  <c r="V31" i="2" s="1"/>
  <c r="S17" i="2"/>
  <c r="S25" i="2"/>
  <c r="S31" i="2" s="1"/>
  <c r="AE28" i="2"/>
  <c r="AE29" i="2"/>
  <c r="R29" i="2"/>
  <c r="R28" i="2"/>
  <c r="S23" i="2"/>
  <c r="S29" i="2" s="1"/>
  <c r="S24" i="2"/>
  <c r="S19" i="2"/>
  <c r="S20" i="2"/>
  <c r="S18" i="2"/>
  <c r="S22" i="2"/>
  <c r="S16" i="2"/>
  <c r="S21" i="2"/>
  <c r="S33" i="2"/>
  <c r="T14" i="2"/>
  <c r="AF9" i="2"/>
  <c r="G5" i="1"/>
  <c r="S30" i="2" l="1"/>
  <c r="W14" i="2"/>
  <c r="W25" i="2" s="1"/>
  <c r="W31" i="2" s="1"/>
  <c r="T18" i="2"/>
  <c r="T25" i="2"/>
  <c r="T31" i="2" s="1"/>
  <c r="T33" i="2"/>
  <c r="T16" i="2"/>
  <c r="T24" i="2"/>
  <c r="T17" i="2"/>
  <c r="T19" i="2"/>
  <c r="T28" i="2" s="1"/>
  <c r="S28" i="2"/>
  <c r="T20" i="2"/>
  <c r="T22" i="2"/>
  <c r="T21" i="2"/>
  <c r="T23" i="2"/>
  <c r="AG8" i="2"/>
  <c r="U14" i="2"/>
  <c r="I5" i="1"/>
  <c r="H5" i="1"/>
  <c r="T30" i="2" l="1"/>
  <c r="X14" i="2"/>
  <c r="X25" i="2" s="1"/>
  <c r="X31" i="2" s="1"/>
  <c r="U17" i="2"/>
  <c r="U25" i="2"/>
  <c r="U31" i="2" s="1"/>
  <c r="AF8" i="2"/>
  <c r="U24" i="2"/>
  <c r="U18" i="2"/>
  <c r="U20" i="2"/>
  <c r="U21" i="2"/>
  <c r="U19" i="2"/>
  <c r="U33" i="2"/>
  <c r="T29" i="2"/>
  <c r="U23" i="2"/>
  <c r="U22" i="2"/>
  <c r="U16" i="2"/>
  <c r="U30" i="2" l="1"/>
  <c r="U28" i="2"/>
  <c r="U29" i="2"/>
  <c r="Z14" i="2"/>
  <c r="Z25" i="2" s="1"/>
  <c r="Z31" i="2" s="1"/>
  <c r="Y14" i="2"/>
  <c r="Y25" i="2" s="1"/>
  <c r="Y31" i="2" s="1"/>
  <c r="AG9" i="2"/>
  <c r="AF21" i="2"/>
  <c r="AF25" i="2"/>
  <c r="AF19" i="2"/>
  <c r="AF20" i="2"/>
  <c r="AF33" i="2"/>
  <c r="AF22" i="2"/>
  <c r="AF23" i="2"/>
  <c r="AF24" i="2"/>
  <c r="AF16" i="2"/>
  <c r="AF17" i="2"/>
  <c r="AF18" i="2"/>
  <c r="AG12" i="2"/>
  <c r="AF30" i="2" l="1"/>
  <c r="AF28" i="2"/>
  <c r="AF29" i="2"/>
  <c r="V22" i="2" l="1"/>
  <c r="V23" i="2" l="1"/>
  <c r="V21" i="2"/>
  <c r="V16" i="2"/>
  <c r="V17" i="2"/>
  <c r="V19" i="2"/>
  <c r="V20" i="2"/>
  <c r="V24" i="2"/>
  <c r="V30" i="2" s="1"/>
  <c r="V18" i="2"/>
  <c r="V29" i="2" l="1"/>
  <c r="V28" i="2"/>
  <c r="W33" i="2"/>
  <c r="W21" i="2"/>
  <c r="W20" i="2"/>
  <c r="W23" i="2"/>
  <c r="W24" i="2"/>
  <c r="X19" i="2" l="1"/>
  <c r="X18" i="2"/>
  <c r="X23" i="2"/>
  <c r="X24" i="2"/>
  <c r="X17" i="2"/>
  <c r="X16" i="2"/>
  <c r="X22" i="2"/>
  <c r="X20" i="2"/>
  <c r="X33" i="2"/>
  <c r="X21" i="2"/>
  <c r="W22" i="2"/>
  <c r="W30" i="2" s="1"/>
  <c r="W19" i="2"/>
  <c r="W17" i="2"/>
  <c r="W29" i="2" s="1"/>
  <c r="W16" i="2"/>
  <c r="W18" i="2"/>
  <c r="X30" i="2" l="1"/>
  <c r="W26" i="2"/>
  <c r="X28" i="2"/>
  <c r="X26" i="2"/>
  <c r="Y23" i="2"/>
  <c r="Y16" i="2"/>
  <c r="Y20" i="2"/>
  <c r="Y33" i="2"/>
  <c r="Y24" i="2"/>
  <c r="Y17" i="2"/>
  <c r="Y21" i="2"/>
  <c r="W28" i="2"/>
  <c r="X29" i="2"/>
  <c r="Y18" i="2" l="1"/>
  <c r="Y22" i="2"/>
  <c r="Y30" i="2" s="1"/>
  <c r="Z23" i="2"/>
  <c r="Z24" i="2"/>
  <c r="Z22" i="2"/>
  <c r="Z18" i="2"/>
  <c r="Z16" i="2"/>
  <c r="Z19" i="2"/>
  <c r="Z21" i="2"/>
  <c r="Z33" i="2"/>
  <c r="Z17" i="2"/>
  <c r="Z20" i="2"/>
  <c r="Y29" i="2"/>
  <c r="Y19" i="2"/>
  <c r="Z30" i="2" l="1"/>
  <c r="Z26" i="2"/>
  <c r="Y28" i="2"/>
  <c r="Z28" i="2"/>
  <c r="Z29" i="2"/>
  <c r="AG10" i="2"/>
  <c r="AG4" i="2"/>
  <c r="AG5" i="2"/>
  <c r="AG7" i="2"/>
  <c r="AG6" i="2"/>
  <c r="AH25" i="2" l="1"/>
  <c r="AG33" i="2"/>
  <c r="AG20" i="2"/>
  <c r="AG21" i="2"/>
  <c r="AG17" i="2"/>
  <c r="AG19" i="2"/>
  <c r="AG18" i="2"/>
  <c r="AG28" i="2" l="1"/>
  <c r="AG30" i="2"/>
  <c r="AG29" i="2"/>
  <c r="AI25" i="2"/>
  <c r="AH16" i="2"/>
  <c r="AH24" i="2"/>
  <c r="AH33" i="2"/>
  <c r="AH20" i="2"/>
  <c r="AH22" i="2"/>
  <c r="AH23" i="2"/>
  <c r="AH21" i="2"/>
  <c r="AH18" i="2"/>
  <c r="AH17" i="2"/>
  <c r="AH19" i="2"/>
  <c r="AH26" i="2" l="1"/>
  <c r="AH29" i="2"/>
  <c r="AH28" i="2"/>
  <c r="AH30" i="2"/>
  <c r="AI19" i="2"/>
  <c r="AI20" i="2"/>
  <c r="AI18" i="2"/>
  <c r="AI17" i="2"/>
  <c r="AI23" i="2"/>
  <c r="AI22" i="2"/>
  <c r="AI33" i="2"/>
  <c r="AI21" i="2"/>
  <c r="AJ25" i="2"/>
  <c r="AI16" i="2"/>
  <c r="AI24" i="2"/>
  <c r="AI29" i="2" l="1"/>
  <c r="AI26" i="2"/>
  <c r="AI28" i="2"/>
  <c r="AI30" i="2"/>
  <c r="AJ33" i="2"/>
  <c r="AJ23" i="2"/>
  <c r="AJ22" i="2"/>
  <c r="AJ21" i="2"/>
  <c r="AJ17" i="2"/>
  <c r="AJ16" i="2"/>
  <c r="AJ24" i="2"/>
  <c r="AJ18" i="2"/>
  <c r="AK25" i="2"/>
  <c r="AJ19" i="2"/>
  <c r="AJ20" i="2"/>
  <c r="AJ26" i="2" l="1"/>
  <c r="AK23" i="2"/>
  <c r="AK22" i="2"/>
  <c r="AK18" i="2"/>
  <c r="AK19" i="2"/>
  <c r="AK33" i="2"/>
  <c r="AL25" i="2"/>
  <c r="AK20" i="2"/>
  <c r="AK21" i="2"/>
  <c r="AK17" i="2"/>
  <c r="AK24" i="2"/>
  <c r="AK16" i="2"/>
  <c r="AJ30" i="2"/>
  <c r="AJ28" i="2"/>
  <c r="AJ29" i="2"/>
  <c r="AK26" i="2" l="1"/>
  <c r="AK28" i="2"/>
  <c r="AK30" i="2"/>
  <c r="AL23" i="2"/>
  <c r="AL22" i="2"/>
  <c r="AL20" i="2"/>
  <c r="AM25" i="2"/>
  <c r="AL33" i="2"/>
  <c r="AL21" i="2"/>
  <c r="AL17" i="2"/>
  <c r="AL18" i="2"/>
  <c r="AL19" i="2"/>
  <c r="AL16" i="2"/>
  <c r="AL24" i="2"/>
  <c r="AK29" i="2"/>
  <c r="AL26" i="2" l="1"/>
  <c r="AL29" i="2"/>
  <c r="AL30" i="2"/>
  <c r="AL28" i="2"/>
  <c r="AM24" i="2"/>
  <c r="AM23" i="2"/>
  <c r="AM17" i="2"/>
  <c r="AM18" i="2"/>
  <c r="AM33" i="2"/>
  <c r="AN25" i="2"/>
  <c r="AM19" i="2"/>
  <c r="AM22" i="2"/>
  <c r="AM20" i="2"/>
  <c r="AM21" i="2"/>
  <c r="AM16" i="2"/>
  <c r="AM26" i="2" l="1"/>
  <c r="AM30" i="2"/>
  <c r="AN21" i="2"/>
  <c r="AN18" i="2"/>
  <c r="AN19" i="2"/>
  <c r="AN33" i="2"/>
  <c r="AN23" i="2"/>
  <c r="AN24" i="2"/>
  <c r="AN22" i="2"/>
  <c r="AO25" i="2"/>
  <c r="AN17" i="2"/>
  <c r="AN20" i="2"/>
  <c r="AN16" i="2"/>
  <c r="AM29" i="2"/>
  <c r="AM28" i="2"/>
  <c r="AN26" i="2" l="1"/>
  <c r="AN28" i="2"/>
  <c r="AO17" i="2"/>
  <c r="AO23" i="2"/>
  <c r="AO19" i="2"/>
  <c r="AO33" i="2"/>
  <c r="AO20" i="2"/>
  <c r="AO18" i="2"/>
  <c r="AP25" i="2"/>
  <c r="AO22" i="2"/>
  <c r="AO21" i="2"/>
  <c r="AO16" i="2"/>
  <c r="AO24" i="2"/>
  <c r="AN30" i="2"/>
  <c r="AN29" i="2"/>
  <c r="AO26" i="2" l="1"/>
  <c r="AO28" i="2"/>
  <c r="AO30" i="2"/>
  <c r="AO29" i="2"/>
  <c r="AP16" i="2"/>
  <c r="AP22" i="2"/>
  <c r="AP20" i="2"/>
  <c r="AP19" i="2"/>
  <c r="AP23" i="2"/>
  <c r="AP24" i="2"/>
  <c r="AP21" i="2"/>
  <c r="AP18" i="2"/>
  <c r="AP17" i="2"/>
  <c r="AP33" i="2"/>
  <c r="AP26" i="2" l="1"/>
  <c r="AP30" i="2"/>
  <c r="AP29" i="2"/>
  <c r="AP28" i="2"/>
</calcChain>
</file>

<file path=xl/sharedStrings.xml><?xml version="1.0" encoding="utf-8"?>
<sst xmlns="http://schemas.openxmlformats.org/spreadsheetml/2006/main" count="154" uniqueCount="136">
  <si>
    <t>Main</t>
  </si>
  <si>
    <t>Tinder</t>
  </si>
  <si>
    <t>Bumble</t>
  </si>
  <si>
    <t xml:space="preserve">Hinge </t>
  </si>
  <si>
    <t>Boo</t>
  </si>
  <si>
    <t xml:space="preserve">Badoo </t>
  </si>
  <si>
    <t xml:space="preserve">eharmony </t>
  </si>
  <si>
    <t xml:space="preserve">OkCupid 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</si>
  <si>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</si>
  <si>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</si>
  <si>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</si>
  <si>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</si>
  <si>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</si>
  <si>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</si>
  <si>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</si>
  <si>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</si>
  <si>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</si>
  <si>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</si>
  <si>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</si>
  <si>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</si>
  <si>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</si>
  <si>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</si>
  <si>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</si>
  <si>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</si>
  <si>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 xml:space="preserve">Tinder % Market Share </t>
  </si>
  <si>
    <t xml:space="preserve">Bumble % Market Share </t>
  </si>
  <si>
    <t xml:space="preserve">Hinge % Market Share </t>
  </si>
  <si>
    <t xml:space="preserve">Badoo % Market Share </t>
  </si>
  <si>
    <t xml:space="preserve">eharmony % Market Share </t>
  </si>
  <si>
    <t xml:space="preserve">Match Group </t>
  </si>
  <si>
    <t xml:space="preserve">Other </t>
  </si>
  <si>
    <t xml:space="preserve">Match </t>
  </si>
  <si>
    <t xml:space="preserve">Kippo </t>
  </si>
  <si>
    <t xml:space="preserve">Happn </t>
  </si>
  <si>
    <t xml:space="preserve">Facebook Dating </t>
  </si>
  <si>
    <t xml:space="preserve">Plenty of Fish </t>
  </si>
  <si>
    <t xml:space="preserve">Coffee Meets Bagel </t>
  </si>
  <si>
    <t xml:space="preserve">Get website traffic data. </t>
  </si>
  <si>
    <t xml:space="preserve">iHappy </t>
  </si>
  <si>
    <t xml:space="preserve">Only Spark </t>
  </si>
  <si>
    <t xml:space="preserve">DateMyAge </t>
  </si>
  <si>
    <t xml:space="preserve">Fruitz </t>
  </si>
  <si>
    <t xml:space="preserve">Maybe You Dating </t>
  </si>
  <si>
    <t xml:space="preserve">Pheromance </t>
  </si>
  <si>
    <t>Feeld</t>
  </si>
  <si>
    <t>SweetMeet</t>
  </si>
  <si>
    <t>Stir</t>
  </si>
  <si>
    <t xml:space="preserve">Once: </t>
  </si>
  <si>
    <t xml:space="preserve">Zoosk </t>
  </si>
  <si>
    <t xml:space="preserve">BLK Dating </t>
  </si>
  <si>
    <t xml:space="preserve">Wild </t>
  </si>
  <si>
    <t>Company</t>
  </si>
  <si>
    <t>Match Group</t>
  </si>
  <si>
    <t xml:space="preserve">Covalent Inc. </t>
  </si>
  <si>
    <t xml:space="preserve">Meta </t>
  </si>
  <si>
    <t>Match Group?</t>
  </si>
  <si>
    <t xml:space="preserve">Coffee Meets Bagel Inc. </t>
  </si>
  <si>
    <t xml:space="preserve">eharmony Inc. </t>
  </si>
  <si>
    <t xml:space="preserve">Bumble </t>
  </si>
  <si>
    <t xml:space="preserve">Boo Inc. </t>
  </si>
  <si>
    <t xml:space="preserve">ihappydate </t>
  </si>
  <si>
    <t xml:space="preserve">Red Panda App </t>
  </si>
  <si>
    <t xml:space="preserve">Stende Solutions Limited </t>
  </si>
  <si>
    <t xml:space="preserve">Evermatch </t>
  </si>
  <si>
    <t xml:space="preserve">Feeld Ltd. </t>
  </si>
  <si>
    <t xml:space="preserve">SweetMeet </t>
  </si>
  <si>
    <t xml:space="preserve">Xeanco Ltd </t>
  </si>
  <si>
    <t xml:space="preserve">Zoosk Inc. </t>
  </si>
  <si>
    <t xml:space="preserve">Wild Limited </t>
  </si>
  <si>
    <t xml:space="preserve">Google Play </t>
  </si>
  <si>
    <t xml:space="preserve">Rating </t>
  </si>
  <si>
    <t xml:space="preserve">Downloads </t>
  </si>
  <si>
    <t xml:space="preserve">Reviews </t>
  </si>
  <si>
    <t xml:space="preserve">Match, Plenty of Fish, OkCupid </t>
  </si>
  <si>
    <t xml:space="preserve">Badoo, Fruitz </t>
  </si>
  <si>
    <t xml:space="preserve">Market Share </t>
  </si>
  <si>
    <t xml:space="preserve">All Others </t>
  </si>
  <si>
    <t xml:space="preserve">Match % Market Share </t>
  </si>
  <si>
    <t xml:space="preserve">Happn % Market Share </t>
  </si>
  <si>
    <t xml:space="preserve">Facebook % Market Share </t>
  </si>
  <si>
    <t xml:space="preserve">All Others % Market Share </t>
  </si>
  <si>
    <t>Market Share y/y</t>
  </si>
  <si>
    <t xml:space="preserve">Symbol </t>
  </si>
  <si>
    <t xml:space="preserve">MTCH </t>
  </si>
  <si>
    <t xml:space="preserve">BMBL </t>
  </si>
  <si>
    <t>Price</t>
  </si>
  <si>
    <t xml:space="preserve">MC </t>
  </si>
  <si>
    <t xml:space="preserve">Net Cash </t>
  </si>
  <si>
    <t>EV</t>
  </si>
  <si>
    <t>EV/E</t>
  </si>
  <si>
    <t xml:space="preserve">ARPU </t>
  </si>
  <si>
    <t>2024 E</t>
  </si>
  <si>
    <t>Rev 2024</t>
  </si>
  <si>
    <t>Rev %</t>
  </si>
  <si>
    <t>Users</t>
  </si>
  <si>
    <t>ARPU %</t>
  </si>
  <si>
    <t>Yield</t>
  </si>
  <si>
    <t>Users %</t>
  </si>
  <si>
    <t xml:space="preserve">GRND </t>
  </si>
  <si>
    <t>Grindr</t>
  </si>
  <si>
    <t xml:space="preserve">Grindr inc. </t>
  </si>
  <si>
    <t xml:space="preserve">Grindr </t>
  </si>
  <si>
    <t>Q120</t>
  </si>
  <si>
    <t>Q220</t>
  </si>
  <si>
    <t>Q320</t>
  </si>
  <si>
    <t>Q420</t>
  </si>
  <si>
    <t>Q121</t>
  </si>
  <si>
    <t>Q221</t>
  </si>
  <si>
    <t>Q321</t>
  </si>
  <si>
    <t>Q421</t>
  </si>
  <si>
    <t xml:space="preserve">Tinder Paying Users </t>
  </si>
  <si>
    <t xml:space="preserve">Bumble Paying Users </t>
  </si>
  <si>
    <t xml:space="preserve">Hinge Paying Users </t>
  </si>
  <si>
    <t xml:space="preserve">Other Match Group Paying Users </t>
  </si>
  <si>
    <t xml:space="preserve">Happn Paying Users </t>
  </si>
  <si>
    <t xml:space="preserve">eharmony Paying Users </t>
  </si>
  <si>
    <t xml:space="preserve">Facebook Dating Paying Users </t>
  </si>
  <si>
    <t xml:space="preserve">Badoo Paying Users </t>
  </si>
  <si>
    <t>All Other Paying Users</t>
  </si>
  <si>
    <t xml:space="preserve">Grindr Paying Users </t>
  </si>
  <si>
    <t xml:space="preserve">Total Paying Users </t>
  </si>
  <si>
    <t>Paying Users y/y</t>
  </si>
  <si>
    <t xml:space="preserve">Tinder ARPU </t>
  </si>
  <si>
    <t xml:space="preserve">Bumble ARPU </t>
  </si>
  <si>
    <t xml:space="preserve">Hinge ARPU </t>
  </si>
  <si>
    <t xml:space="preserve">Other Match Group ARPU </t>
  </si>
  <si>
    <t xml:space="preserve">Happn ARPU </t>
  </si>
  <si>
    <t xml:space="preserve">eharmony ARPU </t>
  </si>
  <si>
    <t xml:space="preserve">Facebook Dating ARPU </t>
  </si>
  <si>
    <t xml:space="preserve">Badoo ARPU </t>
  </si>
  <si>
    <t xml:space="preserve">All Other ARPU </t>
  </si>
  <si>
    <t xml:space="preserve">Grindr ARPU </t>
  </si>
  <si>
    <t xml:space="preserve">Blended ARPU </t>
  </si>
  <si>
    <t>Blended ARPU y/y</t>
  </si>
  <si>
    <t xml:space="preserve">Grindr % Market Share </t>
  </si>
  <si>
    <t xml:space="preserve">Get app store download data. Apple analytics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</si>
</sst>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70C0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3" fontId="4" fillId="0" borderId="0" xfId="0" applyNumberFormat="1" applyFont="1"/>
    <xf numFmtId="9" fontId="3" fillId="0" borderId="0" xfId="1" applyFont="1"/>
    <xf numFmtId="3" fontId="0" fillId="0" borderId="0" xfId="0" applyNumberFormat="1"/>
    <xf numFmtId="4" fontId="0" fillId="0" borderId="0" xfId="0" applyNumberFormat="1"/>
    <xf numFmtId="9" fontId="0" fillId="0" borderId="0" xfId="1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1" applyNumberFormat="1" applyFont="1"/>
    <xf numFmtId="1" fontId="3" fillId="0" borderId="0" xfId="0" applyNumberFormat="1" applyFont="1"/>
    <xf numFmtId="2" fontId="3" fillId="0" borderId="0" xfId="0" applyNumberFormat="1" applyFont="1"/>
    <xf numFmtId="4" fontId="3" fillId="0" borderId="0" xfId="0" applyNumberFormat="1" applyFont="1"/>
    <xf numFmtId="4" fontId="5" fillId="0" borderId="0" xfId="0" applyNumberFormat="1" applyFont="1"/>
    <xf numFmtId="4" fontId="4" fillId="0" borderId="0" xfId="0" applyNumberFormat="1" applyFont="1"/>
    <xf numFmtId="164" fontId="5" fillId="0" borderId="0" xfId="0" applyNumberFormat="1" applyFont="1"/>
    <xf numFmtId="0" fontId="3" fillId="0" borderId="0" xfId="0" applyFont="1" applyAlignment="1">
      <alignment horizontal="center"/>
    </xf>
    <xf numFmtId="3" fontId="6" fillId="0" borderId="0" xfId="0" applyNumberFormat="1" applyFont="1"/>
    <xf numFmtId="1" fontId="6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</xdr:row>
      <xdr:rowOff>12700</xdr:rowOff>
    </xdr:from>
    <xdr:to>
      <xdr:col>21</xdr:col>
      <xdr:colOff>6350</xdr:colOff>
      <xdr:row>70</xdr:row>
      <xdr:rowOff>88900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F1796E20-8106-2D97-3F98-D583BCBD8E1B}"/>
            </a:ext>
          </a:extLst>
        </xdr:cNvPr>
        <xdr:cNvCxnSpPr/>
      </xdr:nvCxnSpPr>
      <xdr:spPr>
        <a:xfrm flipH="1">
          <a:off x="14497050" y="190500"/>
          <a:ext cx="6350" cy="12522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603250</xdr:colOff>
      <xdr:row>0</xdr:row>
      <xdr:rowOff>133350</xdr:rowOff>
    </xdr:from>
    <xdr:to>
      <xdr:col>32</xdr:col>
      <xdr:colOff>0</xdr:colOff>
      <xdr:row>33</xdr:row>
      <xdr:rowOff>88900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A4E9B2B5-A8D7-322A-73D0-88BCD24A04FD}"/>
            </a:ext>
          </a:extLst>
        </xdr:cNvPr>
        <xdr:cNvCxnSpPr/>
      </xdr:nvCxnSpPr>
      <xdr:spPr>
        <a:xfrm>
          <a:off x="15411450" y="133350"/>
          <a:ext cx="6350" cy="54673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5f45dd68b2362293/Desktop/MTCH-GOOD.xlsx" TargetMode="External"/><Relationship Id="rId1" Type="http://schemas.openxmlformats.org/officeDocument/2006/relationships/externalLinkPath" Target="MTCH-GOO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5f45dd68b2362293/Desktop/BMBL.xlsx" TargetMode="External"/><Relationship Id="rId1" Type="http://schemas.openxmlformats.org/officeDocument/2006/relationships/externalLinkPath" Target="BMB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E&amp;E"/>
      <sheetName val="MG Asia"/>
    </sheetNames>
    <sheetDataSet>
      <sheetData sheetId="0">
        <row r="5">
          <cell r="N5">
            <v>33.130000000000003</v>
          </cell>
        </row>
        <row r="7">
          <cell r="N7">
            <v>8318.6447306099999</v>
          </cell>
        </row>
        <row r="8">
          <cell r="N8">
            <v>860.85500000000002</v>
          </cell>
        </row>
        <row r="9">
          <cell r="N9">
            <v>3847.2719999999999</v>
          </cell>
        </row>
        <row r="10">
          <cell r="N10">
            <v>11305.061730609999</v>
          </cell>
        </row>
      </sheetData>
      <sheetData sheetId="1">
        <row r="8">
          <cell r="X8">
            <v>230.15712472234762</v>
          </cell>
        </row>
        <row r="14">
          <cell r="X14">
            <v>14.9141075</v>
          </cell>
        </row>
        <row r="22">
          <cell r="X22">
            <v>3494.0880999999999</v>
          </cell>
        </row>
        <row r="33">
          <cell r="X33">
            <v>705.33514400000013</v>
          </cell>
        </row>
        <row r="48">
          <cell r="X48">
            <v>3.7631298932922386E-2</v>
          </cell>
        </row>
        <row r="54">
          <cell r="X54">
            <v>-4.3998109034966593E-2</v>
          </cell>
        </row>
        <row r="60">
          <cell r="X60">
            <v>8.538624111453208E-2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O4">
            <v>8.02</v>
          </cell>
        </row>
        <row r="6">
          <cell r="O6">
            <v>867.62256730000001</v>
          </cell>
        </row>
        <row r="7">
          <cell r="O7">
            <v>252.05699999999999</v>
          </cell>
        </row>
        <row r="8">
          <cell r="O8">
            <v>617.98099999999999</v>
          </cell>
        </row>
        <row r="9">
          <cell r="O9">
            <v>1233.5465672999999</v>
          </cell>
        </row>
      </sheetData>
      <sheetData sheetId="1">
        <row r="6">
          <cell r="AF6">
            <v>255.90137250548503</v>
          </cell>
        </row>
        <row r="10">
          <cell r="AF10">
            <v>4.1886900000000002</v>
          </cell>
        </row>
        <row r="14">
          <cell r="AF14">
            <v>1071.8915200000001</v>
          </cell>
        </row>
        <row r="25">
          <cell r="AF25">
            <v>214.24694800000006</v>
          </cell>
        </row>
        <row r="37">
          <cell r="AF37">
            <v>1.9005152581044182E-2</v>
          </cell>
        </row>
        <row r="41">
          <cell r="AF41">
            <v>0.12576496674057669</v>
          </cell>
        </row>
        <row r="45">
          <cell r="AF45">
            <v>-9.4833128862265026E-2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0737D-4ABE-4A23-8E7E-21E94985B38A}">
  <dimension ref="B3:O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46" sqref="G46"/>
    </sheetView>
  </sheetViews>
  <sheetFormatPr defaultRowHeight="14.5" x14ac:dyDescent="0.35"/>
  <sheetData>
    <row r="3" spans="2:15" s="11" customFormat="1" x14ac:dyDescent="0.35">
      <c r="B3" s="11" t="s">
        <v>82</v>
      </c>
      <c r="C3" s="11" t="s">
        <v>85</v>
      </c>
      <c r="D3" s="11" t="s">
        <v>86</v>
      </c>
      <c r="E3" s="11" t="s">
        <v>87</v>
      </c>
      <c r="F3" s="11" t="s">
        <v>88</v>
      </c>
      <c r="G3" s="11" t="s">
        <v>91</v>
      </c>
      <c r="H3" s="11" t="s">
        <v>89</v>
      </c>
      <c r="I3" s="11" t="s">
        <v>96</v>
      </c>
      <c r="J3" s="11" t="s">
        <v>92</v>
      </c>
      <c r="K3" s="11" t="s">
        <v>93</v>
      </c>
      <c r="L3" s="11" t="s">
        <v>90</v>
      </c>
      <c r="M3" s="11" t="s">
        <v>95</v>
      </c>
      <c r="N3" s="11" t="s">
        <v>94</v>
      </c>
      <c r="O3" s="11" t="s">
        <v>97</v>
      </c>
    </row>
    <row r="4" spans="2:15" x14ac:dyDescent="0.35">
      <c r="B4" t="s">
        <v>83</v>
      </c>
      <c r="C4">
        <f>[1]Main!$N$5</f>
        <v>33.130000000000003</v>
      </c>
      <c r="D4" s="6">
        <f>[1]Main!$N$7</f>
        <v>8318.6447306099999</v>
      </c>
      <c r="E4" s="6">
        <f>[1]Main!$N$8-[1]Main!$N$9</f>
        <v>-2986.4169999999999</v>
      </c>
      <c r="F4" s="6">
        <f>[1]Main!$N$10</f>
        <v>11305.061730609999</v>
      </c>
      <c r="G4" s="6">
        <f>[1]Model!$X$33</f>
        <v>705.33514400000013</v>
      </c>
      <c r="H4" s="13">
        <f>F4/G4</f>
        <v>16.027929172078796</v>
      </c>
      <c r="I4" s="15">
        <f>G4/F4</f>
        <v>6.2391091778845297E-2</v>
      </c>
      <c r="J4" s="6">
        <f>[1]Model!$X$22</f>
        <v>3494.0880999999999</v>
      </c>
      <c r="K4" s="14">
        <f>[1]Model!$X$48</f>
        <v>3.7631298932922386E-2</v>
      </c>
      <c r="L4" s="7">
        <f>[1]Model!$X$8</f>
        <v>230.15712472234762</v>
      </c>
      <c r="M4" s="8">
        <f>[1]Model!$X$60</f>
        <v>8.538624111453208E-2</v>
      </c>
      <c r="N4" s="7">
        <f>[1]Model!$X$14</f>
        <v>14.9141075</v>
      </c>
      <c r="O4" s="14">
        <f>[1]Model!$X$54</f>
        <v>-4.3998109034966593E-2</v>
      </c>
    </row>
    <row r="5" spans="2:15" x14ac:dyDescent="0.35">
      <c r="B5" t="s">
        <v>84</v>
      </c>
      <c r="C5">
        <f>[2]Main!$O$4</f>
        <v>8.02</v>
      </c>
      <c r="D5" s="6">
        <f>[2]Main!$O$6</f>
        <v>867.62256730000001</v>
      </c>
      <c r="E5" s="6">
        <f>[2]Main!$O$7-[2]Main!$O$8</f>
        <v>-365.92399999999998</v>
      </c>
      <c r="F5" s="6">
        <f>[2]Main!$O$9</f>
        <v>1233.5465672999999</v>
      </c>
      <c r="G5" s="6">
        <f>[2]Model!$AF$25</f>
        <v>214.24694800000006</v>
      </c>
      <c r="H5" s="13">
        <f>F5/G5</f>
        <v>5.7575922495754739</v>
      </c>
      <c r="I5" s="15">
        <f>G5/F5</f>
        <v>0.17368371302669677</v>
      </c>
      <c r="J5" s="6">
        <f>[2]Model!$AF$14</f>
        <v>1071.8915200000001</v>
      </c>
      <c r="K5" s="14">
        <f>[2]Model!$AF$37</f>
        <v>1.9005152581044182E-2</v>
      </c>
      <c r="L5" s="12">
        <f>[2]Model!$AF$6</f>
        <v>255.90137250548503</v>
      </c>
      <c r="M5" s="14">
        <f>[2]Model!$AF$45</f>
        <v>-9.4833128862265026E-2</v>
      </c>
      <c r="N5" s="12">
        <f>[2]Model!$AF$10</f>
        <v>4.1886900000000002</v>
      </c>
      <c r="O5" s="14">
        <f>[2]Model!$AF$41</f>
        <v>0.12576496674057669</v>
      </c>
    </row>
    <row r="6" spans="2:15" x14ac:dyDescent="0.35">
      <c r="B6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3F84-270F-426D-8906-C7DD7614ACAE}">
  <dimension ref="A1:F3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41" sqref="J41"/>
    </sheetView>
  </sheetViews>
  <sheetFormatPr defaultRowHeight="14" x14ac:dyDescent="0.3"/>
  <cols>
    <col min="1" max="1" width="5.08984375" style="1" bestFit="1" customWidth="1"/>
    <col min="2" max="2" width="19.1796875" style="1" bestFit="1" customWidth="1"/>
    <col min="3" max="3" width="22.90625" style="1" bestFit="1" customWidth="1"/>
    <col min="4" max="4" width="11.81640625" style="1" customWidth="1"/>
    <col min="5" max="5" width="11.7265625" style="1" bestFit="1" customWidth="1"/>
    <col min="6" max="6" width="9.54296875" style="1" bestFit="1" customWidth="1"/>
    <col min="7" max="16384" width="8.7265625" style="1"/>
  </cols>
  <sheetData>
    <row r="1" spans="1:6" x14ac:dyDescent="0.3">
      <c r="A1" s="1" t="s">
        <v>0</v>
      </c>
    </row>
    <row r="2" spans="1:6" x14ac:dyDescent="0.3">
      <c r="D2" s="22" t="s">
        <v>69</v>
      </c>
      <c r="E2" s="22"/>
      <c r="F2" s="22"/>
    </row>
    <row r="3" spans="1:6" x14ac:dyDescent="0.3">
      <c r="C3" s="10" t="s">
        <v>51</v>
      </c>
      <c r="D3" s="10" t="s">
        <v>70</v>
      </c>
      <c r="E3" s="10" t="s">
        <v>71</v>
      </c>
      <c r="F3" s="10" t="s">
        <v>72</v>
      </c>
    </row>
    <row r="4" spans="1:6" x14ac:dyDescent="0.3">
      <c r="A4" s="1">
        <v>1</v>
      </c>
      <c r="B4" s="1" t="s">
        <v>1</v>
      </c>
      <c r="C4" s="1" t="s">
        <v>52</v>
      </c>
      <c r="D4" s="1">
        <v>3.4</v>
      </c>
      <c r="E4" s="2">
        <v>100000000</v>
      </c>
      <c r="F4" s="2">
        <v>7740000</v>
      </c>
    </row>
    <row r="5" spans="1:6" x14ac:dyDescent="0.3">
      <c r="A5" s="1">
        <f>+A4+1</f>
        <v>2</v>
      </c>
      <c r="B5" s="1" t="s">
        <v>2</v>
      </c>
      <c r="C5" s="1" t="s">
        <v>2</v>
      </c>
      <c r="D5" s="1">
        <v>3.8</v>
      </c>
      <c r="E5" s="2">
        <v>50000000</v>
      </c>
      <c r="F5" s="2">
        <v>1230000</v>
      </c>
    </row>
    <row r="6" spans="1:6" x14ac:dyDescent="0.3">
      <c r="A6" s="1">
        <f t="shared" ref="A6:A14" si="0">+A5+1</f>
        <v>3</v>
      </c>
      <c r="B6" s="1" t="s">
        <v>3</v>
      </c>
      <c r="C6" s="1" t="s">
        <v>52</v>
      </c>
      <c r="D6" s="1">
        <v>3.3</v>
      </c>
      <c r="E6" s="2">
        <v>10000000</v>
      </c>
      <c r="F6" s="2">
        <v>329000</v>
      </c>
    </row>
    <row r="7" spans="1:6" x14ac:dyDescent="0.3">
      <c r="A7" s="1">
        <f t="shared" si="0"/>
        <v>4</v>
      </c>
      <c r="B7" s="1" t="s">
        <v>31</v>
      </c>
      <c r="C7" s="1" t="s">
        <v>52</v>
      </c>
      <c r="D7" s="1">
        <v>2.9</v>
      </c>
      <c r="E7" s="2">
        <v>10000000</v>
      </c>
      <c r="F7" s="2">
        <v>146000</v>
      </c>
    </row>
    <row r="8" spans="1:6" x14ac:dyDescent="0.3">
      <c r="A8" s="1">
        <f t="shared" si="0"/>
        <v>5</v>
      </c>
      <c r="B8" s="1" t="s">
        <v>7</v>
      </c>
      <c r="C8" s="1" t="s">
        <v>52</v>
      </c>
      <c r="D8" s="1">
        <v>3.2</v>
      </c>
      <c r="E8" s="2">
        <v>10000000</v>
      </c>
      <c r="F8" s="2">
        <v>630000</v>
      </c>
    </row>
    <row r="9" spans="1:6" x14ac:dyDescent="0.3">
      <c r="A9" s="1">
        <f t="shared" si="0"/>
        <v>6</v>
      </c>
      <c r="B9" s="1" t="s">
        <v>32</v>
      </c>
      <c r="C9" s="1" t="s">
        <v>53</v>
      </c>
      <c r="D9" s="1">
        <v>1.8</v>
      </c>
      <c r="E9" s="2">
        <v>500000</v>
      </c>
      <c r="F9" s="2">
        <v>3170</v>
      </c>
    </row>
    <row r="10" spans="1:6" x14ac:dyDescent="0.3">
      <c r="A10" s="1">
        <f t="shared" si="0"/>
        <v>7</v>
      </c>
      <c r="B10" s="1" t="s">
        <v>33</v>
      </c>
      <c r="C10" s="1" t="s">
        <v>33</v>
      </c>
      <c r="D10" s="1">
        <v>3.4</v>
      </c>
      <c r="E10" s="2">
        <v>100000000</v>
      </c>
      <c r="F10" s="2">
        <v>1850000</v>
      </c>
    </row>
    <row r="11" spans="1:6" x14ac:dyDescent="0.3">
      <c r="A11" s="1">
        <f t="shared" si="0"/>
        <v>8</v>
      </c>
      <c r="B11" s="1" t="s">
        <v>6</v>
      </c>
      <c r="C11" s="1" t="s">
        <v>57</v>
      </c>
      <c r="D11" s="9">
        <v>3</v>
      </c>
      <c r="E11" s="2">
        <v>5000000</v>
      </c>
      <c r="F11" s="2">
        <v>62200</v>
      </c>
    </row>
    <row r="12" spans="1:6" x14ac:dyDescent="0.3">
      <c r="A12" s="1">
        <f t="shared" si="0"/>
        <v>9</v>
      </c>
      <c r="B12" s="1" t="s">
        <v>34</v>
      </c>
      <c r="C12" s="1" t="s">
        <v>54</v>
      </c>
      <c r="E12" s="2"/>
      <c r="F12" s="2"/>
    </row>
    <row r="13" spans="1:6" x14ac:dyDescent="0.3">
      <c r="A13" s="1">
        <f t="shared" si="0"/>
        <v>10</v>
      </c>
      <c r="B13" s="1" t="s">
        <v>35</v>
      </c>
      <c r="C13" s="1" t="s">
        <v>55</v>
      </c>
      <c r="D13" s="1">
        <v>3.2</v>
      </c>
      <c r="E13" s="2">
        <v>50000000</v>
      </c>
      <c r="F13" s="2">
        <v>1680000</v>
      </c>
    </row>
    <row r="14" spans="1:6" x14ac:dyDescent="0.3">
      <c r="A14" s="1">
        <f t="shared" si="0"/>
        <v>11</v>
      </c>
      <c r="B14" s="1" t="s">
        <v>36</v>
      </c>
      <c r="C14" s="1" t="s">
        <v>56</v>
      </c>
      <c r="D14" s="9">
        <v>3</v>
      </c>
      <c r="E14" s="2">
        <v>100000</v>
      </c>
      <c r="F14" s="2">
        <v>2270</v>
      </c>
    </row>
    <row r="15" spans="1:6" x14ac:dyDescent="0.3">
      <c r="A15" s="1">
        <v>12</v>
      </c>
      <c r="B15" s="1" t="s">
        <v>5</v>
      </c>
      <c r="C15" s="1" t="s">
        <v>58</v>
      </c>
      <c r="D15" s="1">
        <v>3.8</v>
      </c>
      <c r="E15" s="2">
        <v>100000000</v>
      </c>
      <c r="F15" s="2">
        <v>6530000</v>
      </c>
    </row>
    <row r="16" spans="1:6" x14ac:dyDescent="0.3">
      <c r="A16" s="1">
        <v>13</v>
      </c>
      <c r="B16" s="1" t="s">
        <v>4</v>
      </c>
      <c r="C16" s="1" t="s">
        <v>59</v>
      </c>
      <c r="D16" s="1">
        <v>3.8</v>
      </c>
      <c r="E16" s="2">
        <v>10000000</v>
      </c>
      <c r="F16" s="2">
        <v>2280000</v>
      </c>
    </row>
    <row r="17" spans="1:6" x14ac:dyDescent="0.3">
      <c r="A17" s="1">
        <v>14</v>
      </c>
      <c r="B17" s="1" t="s">
        <v>38</v>
      </c>
      <c r="C17" s="1" t="s">
        <v>60</v>
      </c>
      <c r="D17" s="1">
        <v>3.7</v>
      </c>
      <c r="E17" s="2">
        <v>50000000</v>
      </c>
      <c r="F17" s="2">
        <v>126000</v>
      </c>
    </row>
    <row r="18" spans="1:6" x14ac:dyDescent="0.3">
      <c r="A18" s="1">
        <v>15</v>
      </c>
      <c r="B18" s="1" t="s">
        <v>39</v>
      </c>
      <c r="C18" s="1" t="s">
        <v>61</v>
      </c>
      <c r="D18" s="1">
        <v>4.0999999999999996</v>
      </c>
      <c r="E18" s="2">
        <v>10000000</v>
      </c>
      <c r="F18" s="2">
        <v>23200</v>
      </c>
    </row>
    <row r="19" spans="1:6" x14ac:dyDescent="0.3">
      <c r="A19" s="1">
        <v>16</v>
      </c>
      <c r="B19" s="1" t="s">
        <v>40</v>
      </c>
      <c r="C19" s="1" t="s">
        <v>62</v>
      </c>
      <c r="D19" s="1">
        <v>4.4000000000000004</v>
      </c>
      <c r="E19" s="2">
        <v>5000000</v>
      </c>
      <c r="F19" s="2">
        <v>48500</v>
      </c>
    </row>
    <row r="20" spans="1:6" x14ac:dyDescent="0.3">
      <c r="A20" s="1">
        <v>17</v>
      </c>
      <c r="B20" s="1" t="s">
        <v>41</v>
      </c>
      <c r="C20" s="1" t="s">
        <v>2</v>
      </c>
      <c r="D20" s="1">
        <v>4.0999999999999996</v>
      </c>
      <c r="E20" s="2">
        <v>1000000</v>
      </c>
      <c r="F20" s="2">
        <v>119000</v>
      </c>
    </row>
    <row r="21" spans="1:6" x14ac:dyDescent="0.3">
      <c r="A21" s="1">
        <v>18</v>
      </c>
      <c r="B21" s="1" t="s">
        <v>42</v>
      </c>
      <c r="C21" s="1" t="s">
        <v>63</v>
      </c>
      <c r="D21" s="1">
        <v>3.8</v>
      </c>
      <c r="E21" s="2">
        <v>10000000</v>
      </c>
      <c r="F21" s="2">
        <v>84000</v>
      </c>
    </row>
    <row r="22" spans="1:6" x14ac:dyDescent="0.3">
      <c r="A22" s="1">
        <v>19</v>
      </c>
      <c r="B22" s="1" t="s">
        <v>43</v>
      </c>
      <c r="C22" s="1" t="s">
        <v>61</v>
      </c>
      <c r="D22" s="1">
        <v>3.8</v>
      </c>
      <c r="E22" s="2">
        <v>5000000</v>
      </c>
      <c r="F22" s="2">
        <v>14600</v>
      </c>
    </row>
    <row r="23" spans="1:6" x14ac:dyDescent="0.3">
      <c r="A23" s="1">
        <v>20</v>
      </c>
      <c r="B23" s="1" t="s">
        <v>44</v>
      </c>
      <c r="C23" s="1" t="s">
        <v>64</v>
      </c>
      <c r="D23" s="1">
        <v>3.4</v>
      </c>
      <c r="E23" s="2">
        <v>1000000</v>
      </c>
      <c r="F23" s="2">
        <v>39000</v>
      </c>
    </row>
    <row r="24" spans="1:6" x14ac:dyDescent="0.3">
      <c r="A24" s="1">
        <v>21</v>
      </c>
      <c r="B24" s="1" t="s">
        <v>45</v>
      </c>
      <c r="C24" s="1" t="s">
        <v>65</v>
      </c>
      <c r="D24" s="1">
        <v>3.8</v>
      </c>
      <c r="E24" s="2">
        <v>50000000</v>
      </c>
      <c r="F24" s="2">
        <v>336000</v>
      </c>
    </row>
    <row r="25" spans="1:6" x14ac:dyDescent="0.3">
      <c r="A25" s="1">
        <v>22</v>
      </c>
      <c r="B25" s="1" t="s">
        <v>46</v>
      </c>
      <c r="C25" s="1" t="s">
        <v>29</v>
      </c>
      <c r="D25" s="1">
        <v>3.8</v>
      </c>
      <c r="E25" s="2">
        <v>1000000</v>
      </c>
      <c r="F25" s="2">
        <v>18500</v>
      </c>
    </row>
    <row r="26" spans="1:6" x14ac:dyDescent="0.3">
      <c r="A26" s="1">
        <v>23</v>
      </c>
      <c r="B26" s="1" t="s">
        <v>47</v>
      </c>
      <c r="C26" s="1" t="s">
        <v>66</v>
      </c>
      <c r="D26" s="1">
        <v>3.7</v>
      </c>
      <c r="E26" s="2">
        <v>5000000</v>
      </c>
      <c r="F26" s="2">
        <v>109000</v>
      </c>
    </row>
    <row r="27" spans="1:6" x14ac:dyDescent="0.3">
      <c r="A27" s="1">
        <v>24</v>
      </c>
      <c r="B27" s="1" t="s">
        <v>48</v>
      </c>
      <c r="C27" s="1" t="s">
        <v>67</v>
      </c>
      <c r="D27" s="1">
        <v>3.1</v>
      </c>
      <c r="E27" s="2">
        <v>10000000</v>
      </c>
      <c r="F27" s="2">
        <v>628000</v>
      </c>
    </row>
    <row r="28" spans="1:6" x14ac:dyDescent="0.3">
      <c r="A28" s="1">
        <v>25</v>
      </c>
      <c r="B28" s="1" t="s">
        <v>49</v>
      </c>
      <c r="C28" s="1" t="s">
        <v>49</v>
      </c>
      <c r="D28" s="9">
        <v>4</v>
      </c>
      <c r="E28" s="2">
        <v>1000000</v>
      </c>
      <c r="F28" s="2">
        <v>119000</v>
      </c>
    </row>
    <row r="29" spans="1:6" x14ac:dyDescent="0.3">
      <c r="A29" s="1">
        <f>+A28+1</f>
        <v>26</v>
      </c>
      <c r="B29" s="1" t="s">
        <v>50</v>
      </c>
      <c r="C29" s="1" t="s">
        <v>68</v>
      </c>
      <c r="D29" s="1">
        <v>4.5</v>
      </c>
      <c r="E29" s="2">
        <v>1000000</v>
      </c>
      <c r="F29" s="2">
        <v>46700</v>
      </c>
    </row>
    <row r="30" spans="1:6" x14ac:dyDescent="0.3">
      <c r="A30" s="1">
        <f t="shared" ref="A30:A33" si="1">+A29+1</f>
        <v>27</v>
      </c>
      <c r="B30" s="1" t="s">
        <v>99</v>
      </c>
      <c r="C30" s="1" t="s">
        <v>100</v>
      </c>
      <c r="D30" s="1">
        <v>2.7</v>
      </c>
      <c r="E30" s="2">
        <v>50000000</v>
      </c>
      <c r="F30" s="2">
        <v>931000</v>
      </c>
    </row>
    <row r="31" spans="1:6" x14ac:dyDescent="0.3">
      <c r="A31" s="1">
        <f t="shared" si="1"/>
        <v>28</v>
      </c>
    </row>
    <row r="32" spans="1:6" x14ac:dyDescent="0.3">
      <c r="A32" s="1">
        <f t="shared" si="1"/>
        <v>29</v>
      </c>
    </row>
    <row r="33" spans="1:4" x14ac:dyDescent="0.3">
      <c r="A33" s="1">
        <f t="shared" si="1"/>
        <v>30</v>
      </c>
    </row>
    <row r="36" spans="1:4" x14ac:dyDescent="0.3">
      <c r="D36" s="1" t="s">
        <v>37</v>
      </c>
    </row>
    <row r="37" spans="1:4" x14ac:dyDescent="0.3">
      <c r="D37" s="1" t="s">
        <v>135</v>
      </c>
    </row>
  </sheetData>
  <mergeCells count="1">
    <mergeCell ref="D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A1D71-74F2-4C12-9ED6-D51789F9BDB2}">
  <dimension ref="A1:AP64"/>
  <sheetViews>
    <sheetView tabSelected="1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AJ37" sqref="AJ37"/>
    </sheetView>
  </sheetViews>
  <sheetFormatPr defaultRowHeight="14" x14ac:dyDescent="0.3"/>
  <cols>
    <col min="1" max="1" width="8.7265625" style="1"/>
    <col min="2" max="2" width="30.81640625" style="1" bestFit="1" customWidth="1"/>
    <col min="3" max="10" width="9" style="1" customWidth="1"/>
    <col min="11" max="16384" width="8.7265625" style="2"/>
  </cols>
  <sheetData>
    <row r="1" spans="1:42" s="1" customFormat="1" x14ac:dyDescent="0.3">
      <c r="A1" s="1" t="s">
        <v>0</v>
      </c>
    </row>
    <row r="2" spans="1:42" s="1" customFormat="1" x14ac:dyDescent="0.3"/>
    <row r="3" spans="1:42" s="1" customFormat="1" x14ac:dyDescent="0.3">
      <c r="C3" s="1" t="s">
        <v>102</v>
      </c>
      <c r="D3" s="1" t="s">
        <v>103</v>
      </c>
      <c r="E3" s="1" t="s">
        <v>104</v>
      </c>
      <c r="F3" s="1" t="s">
        <v>105</v>
      </c>
      <c r="G3" s="1" t="s">
        <v>106</v>
      </c>
      <c r="H3" s="1" t="s">
        <v>107</v>
      </c>
      <c r="I3" s="1" t="s">
        <v>108</v>
      </c>
      <c r="J3" s="1" t="s">
        <v>109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B3" s="1">
        <v>2020</v>
      </c>
      <c r="AC3" s="1">
        <v>2021</v>
      </c>
      <c r="AD3" s="1">
        <v>2022</v>
      </c>
      <c r="AE3" s="1">
        <f>+AD3+1</f>
        <v>2023</v>
      </c>
      <c r="AF3" s="1">
        <f t="shared" ref="AF3:AG3" si="0">+AE3+1</f>
        <v>2024</v>
      </c>
      <c r="AG3" s="1">
        <f t="shared" si="0"/>
        <v>2025</v>
      </c>
      <c r="AH3" s="1">
        <f>+AG3+1</f>
        <v>2026</v>
      </c>
      <c r="AI3" s="1">
        <f t="shared" ref="AI3:AP3" si="1">+AH3+1</f>
        <v>2027</v>
      </c>
      <c r="AJ3" s="1">
        <f t="shared" si="1"/>
        <v>2028</v>
      </c>
      <c r="AK3" s="1">
        <f t="shared" si="1"/>
        <v>2029</v>
      </c>
      <c r="AL3" s="1">
        <f t="shared" si="1"/>
        <v>2030</v>
      </c>
      <c r="AM3" s="1">
        <f t="shared" si="1"/>
        <v>2031</v>
      </c>
      <c r="AN3" s="1">
        <f t="shared" si="1"/>
        <v>2032</v>
      </c>
      <c r="AO3" s="1">
        <f t="shared" si="1"/>
        <v>2033</v>
      </c>
      <c r="AP3" s="1">
        <f t="shared" si="1"/>
        <v>2034</v>
      </c>
    </row>
    <row r="4" spans="1:42" x14ac:dyDescent="0.3">
      <c r="B4" s="1" t="s">
        <v>1</v>
      </c>
      <c r="K4" s="2">
        <v>441</v>
      </c>
      <c r="L4" s="2">
        <v>449.1</v>
      </c>
      <c r="M4" s="2">
        <v>460.2</v>
      </c>
      <c r="N4" s="2">
        <v>444.2</v>
      </c>
      <c r="O4" s="2">
        <v>441.1</v>
      </c>
      <c r="P4" s="2">
        <v>474.7</v>
      </c>
      <c r="Q4" s="2">
        <v>508.5</v>
      </c>
      <c r="R4" s="2">
        <v>493.2</v>
      </c>
      <c r="S4" s="2">
        <v>481.5</v>
      </c>
      <c r="T4" s="2">
        <v>479.9</v>
      </c>
      <c r="U4" s="2">
        <v>503.2</v>
      </c>
      <c r="V4" s="23">
        <v>487</v>
      </c>
      <c r="W4" s="23">
        <v>489</v>
      </c>
      <c r="X4" s="23">
        <v>496</v>
      </c>
      <c r="Y4" s="23">
        <v>544</v>
      </c>
      <c r="Z4" s="23">
        <v>495</v>
      </c>
      <c r="AD4" s="2">
        <f t="shared" ref="AD4:AD13" si="2">SUM(K4:N4)</f>
        <v>1794.5</v>
      </c>
      <c r="AE4" s="2">
        <f t="shared" ref="AE4:AE12" si="3">SUM(O4:R4)</f>
        <v>1917.5</v>
      </c>
      <c r="AF4" s="2">
        <f t="shared" ref="AF4:AF13" si="4">SUM(S4:V4)</f>
        <v>1951.6</v>
      </c>
      <c r="AG4" s="2">
        <f t="shared" ref="AG4:AG13" si="5">SUM(W4:Z4)</f>
        <v>2024</v>
      </c>
      <c r="AH4" s="2">
        <f>AH14*0.26</f>
        <v>2085.5852472000001</v>
      </c>
      <c r="AI4" s="2">
        <f t="shared" ref="AI4:AP4" si="6">AI14*0.25</f>
        <v>2105.6389515000001</v>
      </c>
      <c r="AJ4" s="2">
        <f t="shared" si="6"/>
        <v>2210.9208990750003</v>
      </c>
      <c r="AK4" s="2">
        <f t="shared" si="6"/>
        <v>2321.4669440287503</v>
      </c>
      <c r="AL4" s="2">
        <f t="shared" si="6"/>
        <v>2437.5402912301879</v>
      </c>
      <c r="AM4" s="2">
        <f t="shared" si="6"/>
        <v>2559.4173057916973</v>
      </c>
      <c r="AN4" s="2">
        <f t="shared" si="6"/>
        <v>2687.3881710812825</v>
      </c>
      <c r="AO4" s="2">
        <f t="shared" si="6"/>
        <v>2821.7575796353467</v>
      </c>
      <c r="AP4" s="2">
        <f t="shared" si="6"/>
        <v>2962.8454586171142</v>
      </c>
    </row>
    <row r="5" spans="1:42" x14ac:dyDescent="0.3">
      <c r="A5" s="3"/>
      <c r="B5" s="1" t="s">
        <v>2</v>
      </c>
      <c r="C5" s="16">
        <f>46.7+23.3</f>
        <v>70</v>
      </c>
      <c r="D5" s="16">
        <v>92</v>
      </c>
      <c r="E5" s="16">
        <v>103</v>
      </c>
      <c r="F5" s="16">
        <v>105.8</v>
      </c>
      <c r="G5" s="16">
        <v>112.6</v>
      </c>
      <c r="H5" s="16">
        <v>127.3</v>
      </c>
      <c r="I5" s="16">
        <v>142.5</v>
      </c>
      <c r="J5" s="16">
        <v>150.5</v>
      </c>
      <c r="K5" s="2">
        <v>155.4</v>
      </c>
      <c r="L5" s="2">
        <v>169.6</v>
      </c>
      <c r="M5" s="2">
        <v>180.6</v>
      </c>
      <c r="N5" s="2">
        <v>190.8</v>
      </c>
      <c r="O5" s="2">
        <v>194.3</v>
      </c>
      <c r="P5" s="2">
        <v>208</v>
      </c>
      <c r="Q5" s="2">
        <v>221.8</v>
      </c>
      <c r="R5" s="2">
        <v>220.7</v>
      </c>
      <c r="S5" s="2">
        <v>215.8</v>
      </c>
      <c r="T5" s="2">
        <v>218</v>
      </c>
      <c r="U5" s="2">
        <v>220.2</v>
      </c>
      <c r="V5" s="23">
        <v>210</v>
      </c>
      <c r="W5" s="23">
        <v>218</v>
      </c>
      <c r="X5" s="23">
        <v>233</v>
      </c>
      <c r="Y5" s="23">
        <v>247</v>
      </c>
      <c r="Z5" s="23">
        <v>242</v>
      </c>
      <c r="AB5" s="2">
        <f>SUM(C5:F5)</f>
        <v>370.8</v>
      </c>
      <c r="AC5" s="2">
        <f>SUM(G5:J5)</f>
        <v>532.9</v>
      </c>
      <c r="AD5" s="2">
        <f t="shared" si="2"/>
        <v>696.40000000000009</v>
      </c>
      <c r="AE5" s="2">
        <f t="shared" si="3"/>
        <v>844.8</v>
      </c>
      <c r="AF5" s="2">
        <f t="shared" si="4"/>
        <v>864</v>
      </c>
      <c r="AG5" s="2">
        <f t="shared" si="5"/>
        <v>940</v>
      </c>
      <c r="AH5" s="2">
        <f>AH14*0.12</f>
        <v>962.5778064000001</v>
      </c>
      <c r="AI5" s="2">
        <f t="shared" ref="AI5:AP5" si="7">AI14*0.12</f>
        <v>1010.70669672</v>
      </c>
      <c r="AJ5" s="2">
        <f t="shared" si="7"/>
        <v>1061.242031556</v>
      </c>
      <c r="AK5" s="2">
        <f t="shared" si="7"/>
        <v>1114.3041331338002</v>
      </c>
      <c r="AL5" s="2">
        <f t="shared" si="7"/>
        <v>1170.0193397904902</v>
      </c>
      <c r="AM5" s="2">
        <f t="shared" si="7"/>
        <v>1228.5203067800146</v>
      </c>
      <c r="AN5" s="2">
        <f t="shared" si="7"/>
        <v>1289.9463221190156</v>
      </c>
      <c r="AO5" s="2">
        <f t="shared" si="7"/>
        <v>1354.4436382249664</v>
      </c>
      <c r="AP5" s="2">
        <f t="shared" si="7"/>
        <v>1422.1658201362147</v>
      </c>
    </row>
    <row r="6" spans="1:42" x14ac:dyDescent="0.3">
      <c r="B6" s="1" t="s">
        <v>3</v>
      </c>
      <c r="K6" s="2">
        <v>65</v>
      </c>
      <c r="L6" s="2">
        <v>67.099999999999994</v>
      </c>
      <c r="M6" s="2">
        <v>74.400000000000006</v>
      </c>
      <c r="N6" s="2">
        <v>77.2</v>
      </c>
      <c r="O6" s="2">
        <v>82.8</v>
      </c>
      <c r="P6" s="2">
        <v>90.3</v>
      </c>
      <c r="Q6" s="2">
        <v>107.3</v>
      </c>
      <c r="R6" s="2">
        <v>116.1</v>
      </c>
      <c r="S6" s="2">
        <v>123.8</v>
      </c>
      <c r="T6" s="2">
        <v>133.6</v>
      </c>
      <c r="U6" s="2">
        <v>145.4</v>
      </c>
      <c r="V6" s="23">
        <v>147</v>
      </c>
      <c r="W6" s="23">
        <v>161</v>
      </c>
      <c r="X6" s="23">
        <v>175</v>
      </c>
      <c r="Y6" s="23">
        <v>191</v>
      </c>
      <c r="Z6" s="23">
        <v>193</v>
      </c>
      <c r="AD6" s="2">
        <f t="shared" si="2"/>
        <v>283.7</v>
      </c>
      <c r="AE6" s="2">
        <f t="shared" si="3"/>
        <v>396.5</v>
      </c>
      <c r="AF6" s="2">
        <f t="shared" si="4"/>
        <v>549.79999999999995</v>
      </c>
      <c r="AG6" s="2">
        <f t="shared" si="5"/>
        <v>720</v>
      </c>
      <c r="AH6" s="2">
        <f>AH14*0.1</f>
        <v>802.14817200000016</v>
      </c>
      <c r="AI6" s="2">
        <f>AI14*0.11</f>
        <v>926.48113866000006</v>
      </c>
      <c r="AJ6" s="2">
        <f>AJ14*0.12</f>
        <v>1061.242031556</v>
      </c>
      <c r="AK6" s="2">
        <f t="shared" ref="AK6:AP6" si="8">AK14*0.12</f>
        <v>1114.3041331338002</v>
      </c>
      <c r="AL6" s="2">
        <f t="shared" si="8"/>
        <v>1170.0193397904902</v>
      </c>
      <c r="AM6" s="2">
        <f t="shared" si="8"/>
        <v>1228.5203067800146</v>
      </c>
      <c r="AN6" s="2">
        <f t="shared" si="8"/>
        <v>1289.9463221190156</v>
      </c>
      <c r="AO6" s="2">
        <f t="shared" si="8"/>
        <v>1354.4436382249664</v>
      </c>
      <c r="AP6" s="2">
        <f t="shared" si="8"/>
        <v>1422.1658201362147</v>
      </c>
    </row>
    <row r="7" spans="1:42" x14ac:dyDescent="0.3">
      <c r="B7" s="1" t="s">
        <v>73</v>
      </c>
      <c r="K7" s="2">
        <v>190.7</v>
      </c>
      <c r="L7" s="2">
        <v>184.3</v>
      </c>
      <c r="M7" s="2">
        <v>180</v>
      </c>
      <c r="N7" s="2">
        <v>175.4</v>
      </c>
      <c r="O7" s="2">
        <v>174.9</v>
      </c>
      <c r="P7" s="2">
        <v>174.5</v>
      </c>
      <c r="Q7" s="2">
        <v>174.2</v>
      </c>
      <c r="R7" s="2">
        <v>167.8</v>
      </c>
      <c r="S7" s="2">
        <v>168.6</v>
      </c>
      <c r="T7" s="2">
        <v>160.9</v>
      </c>
      <c r="U7" s="2">
        <v>158.4</v>
      </c>
      <c r="V7" s="23">
        <v>155</v>
      </c>
      <c r="W7" s="23">
        <v>156</v>
      </c>
      <c r="X7" s="23">
        <v>149</v>
      </c>
      <c r="Y7" s="23">
        <v>146</v>
      </c>
      <c r="Z7" s="23">
        <v>143</v>
      </c>
      <c r="AD7" s="2">
        <f t="shared" si="2"/>
        <v>730.4</v>
      </c>
      <c r="AE7" s="2">
        <f t="shared" si="3"/>
        <v>691.39999999999986</v>
      </c>
      <c r="AF7" s="2">
        <f t="shared" si="4"/>
        <v>642.9</v>
      </c>
      <c r="AG7" s="2">
        <f t="shared" si="5"/>
        <v>594</v>
      </c>
      <c r="AH7" s="2">
        <f>AH14*0.07</f>
        <v>561.50372040000013</v>
      </c>
      <c r="AI7" s="2">
        <f>AI14*0.06</f>
        <v>505.35334835999998</v>
      </c>
      <c r="AJ7" s="2">
        <f>AJ14*0.05</f>
        <v>442.18417981500011</v>
      </c>
      <c r="AK7" s="2">
        <f>AK14*0.045</f>
        <v>417.86404992517504</v>
      </c>
      <c r="AL7" s="2">
        <f>AL14*0.04</f>
        <v>390.00644659683007</v>
      </c>
      <c r="AM7" s="2">
        <f t="shared" ref="AM7:AP7" si="9">AM14*0.04</f>
        <v>409.50676892667161</v>
      </c>
      <c r="AN7" s="2">
        <f t="shared" si="9"/>
        <v>429.98210737300519</v>
      </c>
      <c r="AO7" s="2">
        <f t="shared" si="9"/>
        <v>451.4812127416555</v>
      </c>
      <c r="AP7" s="2">
        <f t="shared" si="9"/>
        <v>474.05527337873826</v>
      </c>
    </row>
    <row r="8" spans="1:42" x14ac:dyDescent="0.3">
      <c r="B8" s="1" t="s">
        <v>33</v>
      </c>
      <c r="K8" s="2">
        <v>50</v>
      </c>
      <c r="L8" s="2">
        <v>50</v>
      </c>
      <c r="M8" s="2">
        <v>50</v>
      </c>
      <c r="N8" s="2">
        <v>50</v>
      </c>
      <c r="O8" s="2">
        <v>50</v>
      </c>
      <c r="P8" s="2">
        <v>50</v>
      </c>
      <c r="Q8" s="2">
        <v>50</v>
      </c>
      <c r="R8" s="2">
        <v>50</v>
      </c>
      <c r="S8" s="2">
        <v>50</v>
      </c>
      <c r="T8" s="2">
        <v>50</v>
      </c>
      <c r="U8" s="2">
        <v>50</v>
      </c>
      <c r="V8" s="2">
        <v>50</v>
      </c>
      <c r="W8" s="2">
        <v>50</v>
      </c>
      <c r="X8" s="2">
        <v>50</v>
      </c>
      <c r="Y8" s="2">
        <v>50</v>
      </c>
      <c r="Z8" s="2">
        <v>50</v>
      </c>
      <c r="AD8" s="2">
        <f t="shared" si="2"/>
        <v>200</v>
      </c>
      <c r="AE8" s="2">
        <f t="shared" si="3"/>
        <v>200</v>
      </c>
      <c r="AF8" s="2">
        <f t="shared" si="4"/>
        <v>200</v>
      </c>
      <c r="AG8" s="2">
        <f t="shared" si="5"/>
        <v>200</v>
      </c>
      <c r="AH8" s="2">
        <v>250</v>
      </c>
      <c r="AI8" s="2">
        <v>250</v>
      </c>
      <c r="AJ8" s="2">
        <v>250</v>
      </c>
      <c r="AK8" s="2">
        <v>250</v>
      </c>
    </row>
    <row r="9" spans="1:42" x14ac:dyDescent="0.3">
      <c r="B9" s="1" t="s">
        <v>6</v>
      </c>
      <c r="K9" s="2">
        <v>60</v>
      </c>
      <c r="L9" s="2">
        <f>K9*0.98</f>
        <v>58.8</v>
      </c>
      <c r="M9" s="2">
        <f t="shared" ref="M9:U9" si="10">L9*0.98</f>
        <v>57.623999999999995</v>
      </c>
      <c r="N9" s="2">
        <f t="shared" si="10"/>
        <v>56.471519999999991</v>
      </c>
      <c r="O9" s="2">
        <f t="shared" si="10"/>
        <v>55.342089599999987</v>
      </c>
      <c r="P9" s="2">
        <f t="shared" si="10"/>
        <v>54.23524780799999</v>
      </c>
      <c r="Q9" s="2">
        <f t="shared" si="10"/>
        <v>53.150542851839987</v>
      </c>
      <c r="R9" s="2">
        <f t="shared" si="10"/>
        <v>52.087531994803186</v>
      </c>
      <c r="S9" s="2">
        <f t="shared" si="10"/>
        <v>51.04578135490712</v>
      </c>
      <c r="T9" s="2">
        <f t="shared" si="10"/>
        <v>50.024865727808979</v>
      </c>
      <c r="U9" s="2">
        <f t="shared" si="10"/>
        <v>49.024368413252802</v>
      </c>
      <c r="V9" s="2">
        <v>50</v>
      </c>
      <c r="W9" s="2">
        <v>50</v>
      </c>
      <c r="X9" s="2">
        <v>50</v>
      </c>
      <c r="Y9" s="2">
        <v>50</v>
      </c>
      <c r="Z9" s="2">
        <v>50</v>
      </c>
      <c r="AD9" s="2">
        <f t="shared" si="2"/>
        <v>232.89551999999998</v>
      </c>
      <c r="AE9" s="2">
        <f t="shared" si="3"/>
        <v>214.81541225464315</v>
      </c>
      <c r="AF9" s="2">
        <f t="shared" si="4"/>
        <v>200.09501549596891</v>
      </c>
      <c r="AG9" s="2">
        <f t="shared" si="5"/>
        <v>200</v>
      </c>
      <c r="AH9" s="2">
        <v>180</v>
      </c>
      <c r="AI9" s="2">
        <v>160</v>
      </c>
      <c r="AJ9" s="2">
        <v>140</v>
      </c>
      <c r="AK9" s="2">
        <v>120</v>
      </c>
      <c r="AL9" s="2">
        <v>100</v>
      </c>
      <c r="AM9" s="2">
        <v>80</v>
      </c>
      <c r="AN9" s="2">
        <v>60</v>
      </c>
      <c r="AO9" s="2">
        <v>40</v>
      </c>
      <c r="AP9" s="2">
        <v>20</v>
      </c>
    </row>
    <row r="10" spans="1:42" x14ac:dyDescent="0.3">
      <c r="B10" s="1" t="s">
        <v>34</v>
      </c>
      <c r="K10" s="2">
        <v>250</v>
      </c>
      <c r="L10" s="2">
        <f>K10*1.07</f>
        <v>267.5</v>
      </c>
      <c r="M10" s="2">
        <f t="shared" ref="M10:U10" si="11">L10*1.07</f>
        <v>286.22500000000002</v>
      </c>
      <c r="N10" s="2">
        <f t="shared" si="11"/>
        <v>306.26075000000003</v>
      </c>
      <c r="O10" s="2">
        <f t="shared" si="11"/>
        <v>327.69900250000006</v>
      </c>
      <c r="P10" s="2">
        <f t="shared" si="11"/>
        <v>350.63793267500012</v>
      </c>
      <c r="Q10" s="2">
        <f t="shared" si="11"/>
        <v>375.18258796225012</v>
      </c>
      <c r="R10" s="2">
        <f t="shared" si="11"/>
        <v>401.44536911960768</v>
      </c>
      <c r="S10" s="2">
        <f t="shared" si="11"/>
        <v>429.54654495798025</v>
      </c>
      <c r="T10" s="2">
        <f t="shared" si="11"/>
        <v>459.6148031050389</v>
      </c>
      <c r="U10" s="2">
        <f t="shared" si="11"/>
        <v>491.78783932239168</v>
      </c>
      <c r="V10" s="2">
        <v>500</v>
      </c>
      <c r="W10" s="2">
        <v>500</v>
      </c>
      <c r="X10" s="2">
        <v>500</v>
      </c>
      <c r="Y10" s="2">
        <v>500</v>
      </c>
      <c r="Z10" s="2">
        <v>500</v>
      </c>
      <c r="AD10" s="2">
        <f t="shared" si="2"/>
        <v>1109.9857500000001</v>
      </c>
      <c r="AE10" s="2">
        <f t="shared" si="3"/>
        <v>1454.9648922568581</v>
      </c>
      <c r="AF10" s="2">
        <f t="shared" si="4"/>
        <v>1880.9491873854108</v>
      </c>
      <c r="AG10" s="2">
        <f t="shared" si="5"/>
        <v>2000</v>
      </c>
      <c r="AH10" s="2">
        <f>AH14*0.25</f>
        <v>2005.3704300000002</v>
      </c>
      <c r="AI10" s="2">
        <f t="shared" ref="AI10:AP10" si="12">AI14*0.25</f>
        <v>2105.6389515000001</v>
      </c>
      <c r="AJ10" s="2">
        <f t="shared" si="12"/>
        <v>2210.9208990750003</v>
      </c>
      <c r="AK10" s="2">
        <f t="shared" si="12"/>
        <v>2321.4669440287503</v>
      </c>
      <c r="AL10" s="2">
        <f t="shared" si="12"/>
        <v>2437.5402912301879</v>
      </c>
      <c r="AM10" s="2">
        <f t="shared" si="12"/>
        <v>2559.4173057916973</v>
      </c>
      <c r="AN10" s="2">
        <f t="shared" si="12"/>
        <v>2687.3881710812825</v>
      </c>
      <c r="AO10" s="2">
        <f t="shared" si="12"/>
        <v>2821.7575796353467</v>
      </c>
      <c r="AP10" s="2">
        <f t="shared" si="12"/>
        <v>2962.8454586171142</v>
      </c>
    </row>
    <row r="11" spans="1:42" x14ac:dyDescent="0.3">
      <c r="B11" s="1" t="s">
        <v>74</v>
      </c>
      <c r="C11" s="1">
        <v>49</v>
      </c>
      <c r="D11" s="1">
        <v>53</v>
      </c>
      <c r="E11" s="1">
        <v>60</v>
      </c>
      <c r="F11" s="1">
        <v>60</v>
      </c>
      <c r="G11" s="1">
        <v>58</v>
      </c>
      <c r="H11" s="1">
        <v>59</v>
      </c>
      <c r="I11" s="1">
        <v>58</v>
      </c>
      <c r="J11" s="1">
        <v>58</v>
      </c>
      <c r="K11" s="2">
        <v>55.8</v>
      </c>
      <c r="L11" s="2">
        <v>50.8</v>
      </c>
      <c r="M11" s="2">
        <v>52</v>
      </c>
      <c r="N11" s="2">
        <v>50.8</v>
      </c>
      <c r="O11" s="2">
        <v>48.7</v>
      </c>
      <c r="P11" s="2">
        <v>51.8</v>
      </c>
      <c r="Q11" s="2">
        <v>53.7</v>
      </c>
      <c r="R11" s="2">
        <v>52.9</v>
      </c>
      <c r="S11" s="2">
        <v>52</v>
      </c>
      <c r="T11" s="2">
        <v>50.6</v>
      </c>
      <c r="U11" s="2">
        <v>53.4</v>
      </c>
      <c r="V11" s="23">
        <v>52</v>
      </c>
      <c r="W11" s="23">
        <v>51</v>
      </c>
      <c r="X11" s="23">
        <v>50</v>
      </c>
      <c r="Y11" s="23">
        <v>53</v>
      </c>
      <c r="Z11" s="23">
        <v>52</v>
      </c>
      <c r="AD11" s="2">
        <f t="shared" si="2"/>
        <v>209.39999999999998</v>
      </c>
      <c r="AE11" s="2">
        <f t="shared" si="3"/>
        <v>207.1</v>
      </c>
      <c r="AF11" s="2">
        <f t="shared" si="4"/>
        <v>208</v>
      </c>
      <c r="AG11" s="2">
        <f t="shared" si="5"/>
        <v>206</v>
      </c>
      <c r="AH11" s="2">
        <v>205</v>
      </c>
      <c r="AI11" s="2">
        <v>203</v>
      </c>
      <c r="AJ11" s="2">
        <v>200</v>
      </c>
      <c r="AK11" s="2">
        <v>195</v>
      </c>
      <c r="AL11" s="2">
        <v>190</v>
      </c>
      <c r="AM11" s="2">
        <v>185</v>
      </c>
      <c r="AN11" s="2">
        <v>180</v>
      </c>
      <c r="AO11" s="2">
        <v>175</v>
      </c>
      <c r="AP11" s="2">
        <v>170</v>
      </c>
    </row>
    <row r="12" spans="1:42" x14ac:dyDescent="0.3">
      <c r="B12" s="1" t="s">
        <v>76</v>
      </c>
      <c r="K12" s="2">
        <v>100</v>
      </c>
      <c r="L12" s="2">
        <v>100</v>
      </c>
      <c r="M12" s="2">
        <v>100</v>
      </c>
      <c r="N12" s="2">
        <v>100</v>
      </c>
      <c r="O12" s="2">
        <v>100</v>
      </c>
      <c r="P12" s="2">
        <v>100</v>
      </c>
      <c r="Q12" s="2">
        <v>100</v>
      </c>
      <c r="R12" s="2">
        <v>100</v>
      </c>
      <c r="S12" s="2">
        <v>100</v>
      </c>
      <c r="T12" s="2">
        <v>100</v>
      </c>
      <c r="U12" s="2">
        <v>100</v>
      </c>
      <c r="V12" s="2">
        <v>100</v>
      </c>
      <c r="W12" s="2">
        <v>100</v>
      </c>
      <c r="X12" s="2">
        <v>100</v>
      </c>
      <c r="Y12" s="2">
        <v>100</v>
      </c>
      <c r="Z12" s="2">
        <v>100</v>
      </c>
      <c r="AD12" s="2">
        <f t="shared" si="2"/>
        <v>400</v>
      </c>
      <c r="AE12" s="2">
        <f t="shared" si="3"/>
        <v>400</v>
      </c>
      <c r="AF12" s="2">
        <f t="shared" si="4"/>
        <v>400</v>
      </c>
      <c r="AG12" s="2">
        <f t="shared" si="5"/>
        <v>400</v>
      </c>
      <c r="AH12" s="2">
        <f>AH14*0.06</f>
        <v>481.28890320000005</v>
      </c>
      <c r="AI12" s="2">
        <f>AI14*0.07</f>
        <v>589.57890642000007</v>
      </c>
      <c r="AJ12" s="2">
        <f>AJ14*0.06</f>
        <v>530.62101577800001</v>
      </c>
      <c r="AK12" s="2">
        <f>AK14*0.06</f>
        <v>557.15206656690009</v>
      </c>
      <c r="AL12" s="2">
        <f>AL14*0.09</f>
        <v>877.51450484286761</v>
      </c>
      <c r="AM12" s="2">
        <f>AM14*0.08</f>
        <v>819.01353785334322</v>
      </c>
      <c r="AN12" s="2">
        <f>AN14*0.08</f>
        <v>859.96421474601038</v>
      </c>
      <c r="AO12" s="2">
        <f t="shared" ref="AO12:AP12" si="13">AO14*0.08</f>
        <v>902.96242548331099</v>
      </c>
      <c r="AP12" s="2">
        <f t="shared" si="13"/>
        <v>948.11054675747653</v>
      </c>
    </row>
    <row r="13" spans="1:42" x14ac:dyDescent="0.3">
      <c r="B13" s="1" t="s">
        <v>101</v>
      </c>
      <c r="K13" s="2">
        <v>30</v>
      </c>
      <c r="L13" s="2">
        <v>35</v>
      </c>
      <c r="M13" s="2">
        <v>40</v>
      </c>
      <c r="N13" s="16">
        <v>45</v>
      </c>
      <c r="O13" s="16">
        <v>48.1</v>
      </c>
      <c r="P13" s="16">
        <v>53.2</v>
      </c>
      <c r="Q13" s="16">
        <v>61.6</v>
      </c>
      <c r="R13" s="16">
        <v>62</v>
      </c>
      <c r="S13" s="16">
        <v>64</v>
      </c>
      <c r="T13" s="16">
        <v>70</v>
      </c>
      <c r="U13" s="16">
        <v>77</v>
      </c>
      <c r="V13" s="24">
        <v>79</v>
      </c>
      <c r="W13" s="24">
        <v>80</v>
      </c>
      <c r="X13" s="24">
        <v>84</v>
      </c>
      <c r="Y13" s="24">
        <f>Y44*Y60*3</f>
        <v>93.506399999999999</v>
      </c>
      <c r="Z13" s="24">
        <v>98</v>
      </c>
      <c r="AA13" s="16"/>
      <c r="AD13" s="2">
        <f t="shared" si="2"/>
        <v>150</v>
      </c>
      <c r="AE13" s="2">
        <f>SUM(O13:R13)</f>
        <v>224.9</v>
      </c>
      <c r="AF13" s="2">
        <f t="shared" si="4"/>
        <v>290</v>
      </c>
      <c r="AG13" s="2">
        <f t="shared" si="5"/>
        <v>355.50639999999999</v>
      </c>
      <c r="AH13" s="2">
        <f>AH14*0.06</f>
        <v>481.28890320000005</v>
      </c>
      <c r="AI13" s="2">
        <f>AI14*0.07</f>
        <v>589.57890642000007</v>
      </c>
      <c r="AJ13" s="2">
        <f>AJ14*0.08</f>
        <v>707.49468770400006</v>
      </c>
      <c r="AK13" s="2">
        <f>AK14*0.09</f>
        <v>835.72809985035008</v>
      </c>
      <c r="AL13" s="2">
        <f>AL14*0.1</f>
        <v>975.01611649207518</v>
      </c>
      <c r="AM13" s="2">
        <f>AM14*0.11</f>
        <v>1126.1436145483469</v>
      </c>
      <c r="AN13" s="2">
        <f>AN14*0.12</f>
        <v>1289.9463221190156</v>
      </c>
      <c r="AO13" s="2">
        <f t="shared" ref="AO13:AP13" si="14">AO14*0.12</f>
        <v>1354.4436382249664</v>
      </c>
      <c r="AP13" s="2">
        <f t="shared" si="14"/>
        <v>1422.1658201362147</v>
      </c>
    </row>
    <row r="14" spans="1:42" s="4" customFormat="1" x14ac:dyDescent="0.3">
      <c r="A14" s="3"/>
      <c r="B14" s="3" t="s">
        <v>75</v>
      </c>
      <c r="C14" s="3"/>
      <c r="D14" s="3"/>
      <c r="E14" s="3"/>
      <c r="F14" s="3"/>
      <c r="G14" s="3"/>
      <c r="H14" s="3"/>
      <c r="I14" s="3"/>
      <c r="J14" s="3"/>
      <c r="K14" s="4">
        <f t="shared" ref="K14:Z14" si="15">SUM(K4:K13)</f>
        <v>1397.8999999999999</v>
      </c>
      <c r="L14" s="4">
        <f t="shared" si="15"/>
        <v>1432.2</v>
      </c>
      <c r="M14" s="4">
        <f t="shared" si="15"/>
        <v>1481.049</v>
      </c>
      <c r="N14" s="4">
        <f t="shared" si="15"/>
        <v>1496.1322699999998</v>
      </c>
      <c r="O14" s="4">
        <f t="shared" si="15"/>
        <v>1522.9410921000001</v>
      </c>
      <c r="P14" s="4">
        <f t="shared" si="15"/>
        <v>1607.3731804829999</v>
      </c>
      <c r="Q14" s="4">
        <f t="shared" si="15"/>
        <v>1705.4331308140902</v>
      </c>
      <c r="R14" s="4">
        <f t="shared" si="15"/>
        <v>1716.2329011144109</v>
      </c>
      <c r="S14" s="4">
        <f t="shared" si="15"/>
        <v>1736.2923263128873</v>
      </c>
      <c r="T14" s="4">
        <f t="shared" si="15"/>
        <v>1772.6396688328477</v>
      </c>
      <c r="U14" s="4">
        <f t="shared" si="15"/>
        <v>1848.4122077356446</v>
      </c>
      <c r="V14" s="4">
        <f t="shared" si="15"/>
        <v>1830</v>
      </c>
      <c r="W14" s="4">
        <f t="shared" si="15"/>
        <v>1855</v>
      </c>
      <c r="X14" s="4">
        <f t="shared" si="15"/>
        <v>1887</v>
      </c>
      <c r="Y14" s="4">
        <f t="shared" si="15"/>
        <v>1974.5064</v>
      </c>
      <c r="Z14" s="4">
        <f t="shared" si="15"/>
        <v>1923</v>
      </c>
      <c r="AD14" s="4">
        <f>SUM(AD4:AD13)</f>
        <v>5807.2812699999995</v>
      </c>
      <c r="AE14" s="4">
        <f>SUM(AE4:AE13)</f>
        <v>6551.9803045115004</v>
      </c>
      <c r="AF14" s="4">
        <f>SUM(AF4:AF13)</f>
        <v>7187.3442028813788</v>
      </c>
      <c r="AG14" s="4">
        <f>SUM(AG4:AG13)</f>
        <v>7639.5064000000002</v>
      </c>
      <c r="AH14" s="4">
        <f>AG14*1.05</f>
        <v>8021.4817200000007</v>
      </c>
      <c r="AI14" s="4">
        <f t="shared" ref="AI14:AP14" si="16">AH14*1.05</f>
        <v>8422.5558060000003</v>
      </c>
      <c r="AJ14" s="4">
        <f t="shared" si="16"/>
        <v>8843.6835963000012</v>
      </c>
      <c r="AK14" s="4">
        <f t="shared" si="16"/>
        <v>9285.8677761150011</v>
      </c>
      <c r="AL14" s="4">
        <f t="shared" si="16"/>
        <v>9750.1611649207516</v>
      </c>
      <c r="AM14" s="4">
        <f t="shared" si="16"/>
        <v>10237.669223166789</v>
      </c>
      <c r="AN14" s="4">
        <f t="shared" si="16"/>
        <v>10749.55268432513</v>
      </c>
      <c r="AO14" s="4">
        <f t="shared" si="16"/>
        <v>11287.030318541387</v>
      </c>
      <c r="AP14" s="4">
        <f t="shared" si="16"/>
        <v>11851.381834468457</v>
      </c>
    </row>
    <row r="16" spans="1:42" x14ac:dyDescent="0.3">
      <c r="B16" s="1" t="s">
        <v>24</v>
      </c>
      <c r="K16" s="5">
        <f t="shared" ref="K16:K24" si="17">K4/$K$14</f>
        <v>0.3154732098147221</v>
      </c>
      <c r="L16" s="5">
        <f t="shared" ref="L16:L24" si="18">L4/$L$14</f>
        <v>0.31357352325094262</v>
      </c>
      <c r="M16" s="5">
        <f t="shared" ref="M16:M24" si="19">M4/$M$14</f>
        <v>0.31072570860248377</v>
      </c>
      <c r="N16" s="5">
        <f t="shared" ref="N16:N24" si="20">N4/$N$14</f>
        <v>0.29689888314487062</v>
      </c>
      <c r="O16" s="5">
        <f t="shared" ref="O16:O24" si="21">O4/$O$14</f>
        <v>0.28963694149966263</v>
      </c>
      <c r="P16" s="5">
        <f t="shared" ref="P16:P24" si="22">P4/$P$14</f>
        <v>0.29532656495945597</v>
      </c>
      <c r="Q16" s="5">
        <f t="shared" ref="Q16:Q24" si="23">Q4/$Q$14</f>
        <v>0.29816472473316324</v>
      </c>
      <c r="R16" s="5">
        <f t="shared" ref="R16:R24" si="24">R4/$R$14</f>
        <v>0.28737358413286901</v>
      </c>
      <c r="S16" s="5">
        <f t="shared" ref="S16:S24" si="25">S4/$S$14</f>
        <v>0.27731505386681737</v>
      </c>
      <c r="T16" s="5">
        <f t="shared" ref="T16:T24" si="26">T4/$T$14</f>
        <v>0.27072619914682305</v>
      </c>
      <c r="U16" s="5">
        <f t="shared" ref="U16:U24" si="27">U4/$U$14</f>
        <v>0.27223364890910007</v>
      </c>
      <c r="V16" s="5">
        <f t="shared" ref="V16:V24" si="28">V4/$V$14</f>
        <v>0.26612021857923496</v>
      </c>
      <c r="W16" s="5">
        <f t="shared" ref="W16:W24" si="29">W4/$W$14</f>
        <v>0.26361185983827495</v>
      </c>
      <c r="X16" s="5">
        <f t="shared" ref="X16:X24" si="30">X4/$X$14</f>
        <v>0.26285108638049814</v>
      </c>
      <c r="Y16" s="5">
        <f t="shared" ref="Y16:Y24" si="31">Y4/$Y$14</f>
        <v>0.27551189502348539</v>
      </c>
      <c r="Z16" s="5">
        <f t="shared" ref="Z16:Z24" si="32">Z4/$Z$14</f>
        <v>0.25741029641185648</v>
      </c>
      <c r="AA16" s="5"/>
      <c r="AD16" s="5">
        <f t="shared" ref="AD16:AD24" si="33">AD4/$AD$14</f>
        <v>0.30900862496023035</v>
      </c>
      <c r="AE16" s="5">
        <f t="shared" ref="AE16:AE24" si="34">AE4/$AE$14</f>
        <v>0.29265960990140127</v>
      </c>
      <c r="AF16" s="5">
        <f t="shared" ref="AF16:AF24" si="35">AF4/$AF$14</f>
        <v>0.271532842300444</v>
      </c>
      <c r="AG16" s="5">
        <f>AG4/$AG$14</f>
        <v>0.26493858294300271</v>
      </c>
      <c r="AH16" s="5">
        <f t="shared" ref="AH16:AH24" si="36">AH4/$AH$14</f>
        <v>0.26</v>
      </c>
      <c r="AI16" s="5">
        <f t="shared" ref="AI16:AI24" si="37">AI4/$AI$14</f>
        <v>0.25</v>
      </c>
      <c r="AJ16" s="5">
        <f t="shared" ref="AJ16:AJ24" si="38">AJ4/$AJ$14</f>
        <v>0.25</v>
      </c>
      <c r="AK16" s="5">
        <f t="shared" ref="AK16:AK24" si="39">AK4/$AK$14</f>
        <v>0.25</v>
      </c>
      <c r="AL16" s="5">
        <f t="shared" ref="AL16:AL24" si="40">AL4/$AL$14</f>
        <v>0.25</v>
      </c>
      <c r="AM16" s="5">
        <f t="shared" ref="AM16:AM24" si="41">AM4/$AM$14</f>
        <v>0.25</v>
      </c>
      <c r="AN16" s="5">
        <f t="shared" ref="AN16:AN24" si="42">AN4/$AN$14</f>
        <v>0.25</v>
      </c>
      <c r="AO16" s="5">
        <f t="shared" ref="AO16:AO24" si="43">AO4/$AO$14</f>
        <v>0.25</v>
      </c>
      <c r="AP16" s="5">
        <f t="shared" ref="AP16:AP24" si="44">AP4/$AP$14</f>
        <v>0.25</v>
      </c>
    </row>
    <row r="17" spans="2:42" x14ac:dyDescent="0.3">
      <c r="B17" s="1" t="s">
        <v>25</v>
      </c>
      <c r="K17" s="5">
        <f t="shared" si="17"/>
        <v>0.1111667501251878</v>
      </c>
      <c r="L17" s="5">
        <f t="shared" si="18"/>
        <v>0.11841921519340873</v>
      </c>
      <c r="M17" s="5">
        <f t="shared" si="19"/>
        <v>0.12194059750892779</v>
      </c>
      <c r="N17" s="5">
        <f t="shared" si="20"/>
        <v>0.12752883139135823</v>
      </c>
      <c r="O17" s="5">
        <f t="shared" si="21"/>
        <v>0.12758208509042041</v>
      </c>
      <c r="P17" s="5">
        <f t="shared" si="22"/>
        <v>0.1294036770835619</v>
      </c>
      <c r="Q17" s="5">
        <f t="shared" si="23"/>
        <v>0.13005493794654005</v>
      </c>
      <c r="R17" s="5">
        <f t="shared" si="24"/>
        <v>0.12859560019895414</v>
      </c>
      <c r="S17" s="5">
        <f t="shared" si="25"/>
        <v>0.12428782684207516</v>
      </c>
      <c r="T17" s="5">
        <f t="shared" si="26"/>
        <v>0.12298043637009257</v>
      </c>
      <c r="U17" s="5">
        <f t="shared" si="27"/>
        <v>0.11912927164106485</v>
      </c>
      <c r="V17" s="5">
        <f t="shared" si="28"/>
        <v>0.11475409836065574</v>
      </c>
      <c r="W17" s="5">
        <f t="shared" si="29"/>
        <v>0.11752021563342319</v>
      </c>
      <c r="X17" s="5">
        <f t="shared" si="30"/>
        <v>0.12347641759406465</v>
      </c>
      <c r="Y17" s="5">
        <f t="shared" si="31"/>
        <v>0.1250945552772075</v>
      </c>
      <c r="Z17" s="5">
        <f t="shared" si="32"/>
        <v>0.12584503380135206</v>
      </c>
      <c r="AA17" s="5"/>
      <c r="AD17" s="5">
        <f t="shared" si="33"/>
        <v>0.11991842096534101</v>
      </c>
      <c r="AE17" s="5">
        <f t="shared" si="34"/>
        <v>0.12893811652918058</v>
      </c>
      <c r="AF17" s="5">
        <f t="shared" si="35"/>
        <v>0.12021130136687007</v>
      </c>
      <c r="AG17" s="5">
        <f t="shared" ref="AG16:AG24" si="45">AG5/$AG$14</f>
        <v>0.1230445987976396</v>
      </c>
      <c r="AH17" s="5">
        <f t="shared" si="36"/>
        <v>0.12</v>
      </c>
      <c r="AI17" s="5">
        <f t="shared" si="37"/>
        <v>0.12</v>
      </c>
      <c r="AJ17" s="5">
        <f t="shared" si="38"/>
        <v>0.11999999999999998</v>
      </c>
      <c r="AK17" s="5">
        <f t="shared" si="39"/>
        <v>0.12000000000000001</v>
      </c>
      <c r="AL17" s="5">
        <f t="shared" si="40"/>
        <v>0.12000000000000001</v>
      </c>
      <c r="AM17" s="5">
        <f t="shared" si="41"/>
        <v>0.11999999999999998</v>
      </c>
      <c r="AN17" s="5">
        <f t="shared" si="42"/>
        <v>0.12</v>
      </c>
      <c r="AO17" s="5">
        <f t="shared" si="43"/>
        <v>0.12</v>
      </c>
      <c r="AP17" s="5">
        <f t="shared" si="44"/>
        <v>0.12</v>
      </c>
    </row>
    <row r="18" spans="2:42" x14ac:dyDescent="0.3">
      <c r="B18" s="1" t="s">
        <v>26</v>
      </c>
      <c r="K18" s="5">
        <f t="shared" si="17"/>
        <v>4.6498318906931832E-2</v>
      </c>
      <c r="L18" s="5">
        <f t="shared" si="18"/>
        <v>4.6850998463901686E-2</v>
      </c>
      <c r="M18" s="5">
        <f t="shared" si="19"/>
        <v>5.0234664754508468E-2</v>
      </c>
      <c r="N18" s="5">
        <f t="shared" si="20"/>
        <v>5.1599715845979319E-2</v>
      </c>
      <c r="O18" s="5">
        <f t="shared" si="21"/>
        <v>5.4368485051398914E-2</v>
      </c>
      <c r="P18" s="5">
        <f t="shared" si="22"/>
        <v>5.6178615580027118E-2</v>
      </c>
      <c r="Q18" s="5">
        <f t="shared" si="23"/>
        <v>6.2916568267194523E-2</v>
      </c>
      <c r="R18" s="5">
        <f t="shared" si="24"/>
        <v>6.7648161228357845E-2</v>
      </c>
      <c r="S18" s="5">
        <f t="shared" si="25"/>
        <v>7.1301357567418469E-2</v>
      </c>
      <c r="T18" s="5">
        <f t="shared" si="26"/>
        <v>7.5367827059836551E-2</v>
      </c>
      <c r="U18" s="5">
        <f t="shared" si="27"/>
        <v>7.8662107614036469E-2</v>
      </c>
      <c r="V18" s="5">
        <f t="shared" si="28"/>
        <v>8.0327868852459017E-2</v>
      </c>
      <c r="W18" s="5">
        <f t="shared" si="29"/>
        <v>8.6792452830188674E-2</v>
      </c>
      <c r="X18" s="5">
        <f t="shared" si="30"/>
        <v>9.2739798622151565E-2</v>
      </c>
      <c r="Y18" s="5">
        <f t="shared" si="31"/>
        <v>9.6733036671848724E-2</v>
      </c>
      <c r="Z18" s="5">
        <f t="shared" si="32"/>
        <v>0.10036401456058243</v>
      </c>
      <c r="AA18" s="5"/>
      <c r="AD18" s="5">
        <f t="shared" si="33"/>
        <v>4.8852464141107464E-2</v>
      </c>
      <c r="AE18" s="5">
        <f t="shared" si="34"/>
        <v>6.0516054928764329E-2</v>
      </c>
      <c r="AF18" s="5">
        <f t="shared" si="35"/>
        <v>7.6495571170723572E-2</v>
      </c>
      <c r="AG18" s="5">
        <f t="shared" si="45"/>
        <v>9.4246926738617565E-2</v>
      </c>
      <c r="AH18" s="5">
        <f t="shared" si="36"/>
        <v>0.1</v>
      </c>
      <c r="AI18" s="5">
        <f t="shared" si="37"/>
        <v>0.11</v>
      </c>
      <c r="AJ18" s="5">
        <f t="shared" si="38"/>
        <v>0.11999999999999998</v>
      </c>
      <c r="AK18" s="5">
        <f t="shared" si="39"/>
        <v>0.12000000000000001</v>
      </c>
      <c r="AL18" s="5">
        <f t="shared" si="40"/>
        <v>0.12000000000000001</v>
      </c>
      <c r="AM18" s="5">
        <f t="shared" si="41"/>
        <v>0.11999999999999998</v>
      </c>
      <c r="AN18" s="5">
        <f t="shared" si="42"/>
        <v>0.12</v>
      </c>
      <c r="AO18" s="5">
        <f t="shared" si="43"/>
        <v>0.12</v>
      </c>
      <c r="AP18" s="5">
        <f t="shared" si="44"/>
        <v>0.12</v>
      </c>
    </row>
    <row r="19" spans="2:42" x14ac:dyDescent="0.3">
      <c r="B19" s="1" t="s">
        <v>77</v>
      </c>
      <c r="K19" s="5">
        <f t="shared" si="17"/>
        <v>0.13641891408541384</v>
      </c>
      <c r="L19" s="5">
        <f t="shared" si="18"/>
        <v>0.12868314481217707</v>
      </c>
      <c r="M19" s="5">
        <f t="shared" si="19"/>
        <v>0.12153547924477853</v>
      </c>
      <c r="N19" s="5">
        <f t="shared" si="20"/>
        <v>0.11723562382622763</v>
      </c>
      <c r="O19" s="5">
        <f t="shared" si="21"/>
        <v>0.11484357530784627</v>
      </c>
      <c r="P19" s="5">
        <f t="shared" si="22"/>
        <v>0.10856221947635362</v>
      </c>
      <c r="Q19" s="5">
        <f t="shared" si="23"/>
        <v>0.10214413972176409</v>
      </c>
      <c r="R19" s="5">
        <f t="shared" si="24"/>
        <v>9.7772277813251054E-2</v>
      </c>
      <c r="S19" s="5">
        <f t="shared" si="25"/>
        <v>9.7103464344642593E-2</v>
      </c>
      <c r="T19" s="5">
        <f t="shared" si="26"/>
        <v>9.076858812820135E-2</v>
      </c>
      <c r="U19" s="5">
        <f t="shared" si="27"/>
        <v>8.5695170880766003E-2</v>
      </c>
      <c r="V19" s="5">
        <f t="shared" si="28"/>
        <v>8.4699453551912565E-2</v>
      </c>
      <c r="W19" s="5">
        <f t="shared" si="29"/>
        <v>8.409703504043127E-2</v>
      </c>
      <c r="X19" s="5">
        <f t="shared" si="30"/>
        <v>7.8961314255431903E-2</v>
      </c>
      <c r="Y19" s="5">
        <f t="shared" si="31"/>
        <v>7.3942530649685409E-2</v>
      </c>
      <c r="Z19" s="5">
        <f t="shared" si="32"/>
        <v>7.4362974518980759E-2</v>
      </c>
      <c r="AA19" s="5"/>
      <c r="AD19" s="5">
        <f t="shared" si="33"/>
        <v>0.12577313996709513</v>
      </c>
      <c r="AE19" s="5">
        <f t="shared" si="34"/>
        <v>0.10552534773706847</v>
      </c>
      <c r="AF19" s="5">
        <f t="shared" si="35"/>
        <v>8.9448895426806438E-2</v>
      </c>
      <c r="AG19" s="5">
        <f t="shared" si="45"/>
        <v>7.7753714559359491E-2</v>
      </c>
      <c r="AH19" s="5">
        <f t="shared" si="36"/>
        <v>7.0000000000000007E-2</v>
      </c>
      <c r="AI19" s="5">
        <f t="shared" si="37"/>
        <v>0.06</v>
      </c>
      <c r="AJ19" s="5">
        <f t="shared" si="38"/>
        <v>0.05</v>
      </c>
      <c r="AK19" s="5">
        <f t="shared" si="39"/>
        <v>4.4999999999999998E-2</v>
      </c>
      <c r="AL19" s="5">
        <f t="shared" si="40"/>
        <v>0.04</v>
      </c>
      <c r="AM19" s="5">
        <f t="shared" si="41"/>
        <v>0.04</v>
      </c>
      <c r="AN19" s="5">
        <f t="shared" si="42"/>
        <v>0.04</v>
      </c>
      <c r="AO19" s="5">
        <f t="shared" si="43"/>
        <v>0.04</v>
      </c>
      <c r="AP19" s="5">
        <f t="shared" si="44"/>
        <v>0.04</v>
      </c>
    </row>
    <row r="20" spans="2:42" x14ac:dyDescent="0.3">
      <c r="B20" s="1" t="s">
        <v>78</v>
      </c>
      <c r="K20" s="5">
        <f t="shared" si="17"/>
        <v>3.576793762071679E-2</v>
      </c>
      <c r="L20" s="5">
        <f t="shared" si="18"/>
        <v>3.4911325233905881E-2</v>
      </c>
      <c r="M20" s="5">
        <f t="shared" si="19"/>
        <v>3.3759855345771812E-2</v>
      </c>
      <c r="N20" s="5">
        <f t="shared" si="20"/>
        <v>3.3419505081592825E-2</v>
      </c>
      <c r="O20" s="5">
        <f t="shared" si="21"/>
        <v>3.2831210779830262E-2</v>
      </c>
      <c r="P20" s="5">
        <f t="shared" si="22"/>
        <v>3.1106653145086996E-2</v>
      </c>
      <c r="Q20" s="5">
        <f t="shared" si="23"/>
        <v>2.9318065362159612E-2</v>
      </c>
      <c r="R20" s="5">
        <f t="shared" si="24"/>
        <v>2.9133575033745845E-2</v>
      </c>
      <c r="S20" s="5">
        <f t="shared" si="25"/>
        <v>2.8796994171009074E-2</v>
      </c>
      <c r="T20" s="5">
        <f t="shared" si="26"/>
        <v>2.820652210323224E-2</v>
      </c>
      <c r="U20" s="5">
        <f t="shared" si="27"/>
        <v>2.7050243333575124E-2</v>
      </c>
      <c r="V20" s="5">
        <f t="shared" si="28"/>
        <v>2.7322404371584699E-2</v>
      </c>
      <c r="W20" s="5">
        <f t="shared" si="29"/>
        <v>2.6954177897574125E-2</v>
      </c>
      <c r="X20" s="5">
        <f t="shared" si="30"/>
        <v>2.6497085320614733E-2</v>
      </c>
      <c r="Y20" s="5">
        <f t="shared" si="31"/>
        <v>2.5322784469070346E-2</v>
      </c>
      <c r="Z20" s="5">
        <f t="shared" si="32"/>
        <v>2.6001040041601663E-2</v>
      </c>
      <c r="AA20" s="5"/>
      <c r="AD20" s="5">
        <f t="shared" si="33"/>
        <v>3.4439523539730323E-2</v>
      </c>
      <c r="AE20" s="5">
        <f t="shared" si="34"/>
        <v>3.0525122284370407E-2</v>
      </c>
      <c r="AF20" s="5">
        <f t="shared" si="35"/>
        <v>2.7826690131219925E-2</v>
      </c>
      <c r="AG20" s="5">
        <f t="shared" si="45"/>
        <v>2.6179701871838212E-2</v>
      </c>
      <c r="AH20" s="5">
        <f t="shared" si="36"/>
        <v>3.1166311752188345E-2</v>
      </c>
      <c r="AI20" s="5">
        <f t="shared" si="37"/>
        <v>2.9682201668750807E-2</v>
      </c>
      <c r="AJ20" s="5">
        <f t="shared" si="38"/>
        <v>2.8268763494048384E-2</v>
      </c>
      <c r="AK20" s="5">
        <f t="shared" si="39"/>
        <v>2.6922631899093698E-2</v>
      </c>
      <c r="AL20" s="5">
        <f t="shared" si="40"/>
        <v>0</v>
      </c>
      <c r="AM20" s="5">
        <f t="shared" si="41"/>
        <v>0</v>
      </c>
      <c r="AN20" s="5">
        <f t="shared" si="42"/>
        <v>0</v>
      </c>
      <c r="AO20" s="5">
        <f t="shared" si="43"/>
        <v>0</v>
      </c>
      <c r="AP20" s="5">
        <f t="shared" si="44"/>
        <v>0</v>
      </c>
    </row>
    <row r="21" spans="2:42" x14ac:dyDescent="0.3">
      <c r="B21" s="1" t="s">
        <v>28</v>
      </c>
      <c r="K21" s="5">
        <f t="shared" si="17"/>
        <v>4.2921525144860154E-2</v>
      </c>
      <c r="L21" s="5">
        <f t="shared" si="18"/>
        <v>4.1055718475073312E-2</v>
      </c>
      <c r="M21" s="5">
        <f t="shared" si="19"/>
        <v>3.8907558088895101E-2</v>
      </c>
      <c r="N21" s="5">
        <f t="shared" si="20"/>
        <v>3.774500499210541E-2</v>
      </c>
      <c r="O21" s="5">
        <f t="shared" si="21"/>
        <v>3.6338956173077037E-2</v>
      </c>
      <c r="P21" s="5">
        <f t="shared" si="22"/>
        <v>3.3741540836025909E-2</v>
      </c>
      <c r="Q21" s="5">
        <f t="shared" si="23"/>
        <v>3.11654217872902E-2</v>
      </c>
      <c r="R21" s="5">
        <f t="shared" si="24"/>
        <v>3.0349920433864717E-2</v>
      </c>
      <c r="S21" s="5">
        <f t="shared" si="25"/>
        <v>2.9399301362637281E-2</v>
      </c>
      <c r="T21" s="5">
        <f t="shared" si="26"/>
        <v>2.8220549617253381E-2</v>
      </c>
      <c r="U21" s="5">
        <f t="shared" si="27"/>
        <v>2.652242189706645E-2</v>
      </c>
      <c r="V21" s="5">
        <f t="shared" si="28"/>
        <v>2.7322404371584699E-2</v>
      </c>
      <c r="W21" s="5">
        <f t="shared" si="29"/>
        <v>2.6954177897574125E-2</v>
      </c>
      <c r="X21" s="5">
        <f t="shared" si="30"/>
        <v>2.6497085320614733E-2</v>
      </c>
      <c r="Y21" s="5">
        <f t="shared" si="31"/>
        <v>2.5322784469070346E-2</v>
      </c>
      <c r="Z21" s="5">
        <f t="shared" si="32"/>
        <v>2.6001040041601663E-2</v>
      </c>
      <c r="AA21" s="5"/>
      <c r="AD21" s="5">
        <f t="shared" si="33"/>
        <v>4.0104053716688667E-2</v>
      </c>
      <c r="AE21" s="5">
        <f t="shared" si="34"/>
        <v>3.2786333638202117E-2</v>
      </c>
      <c r="AF21" s="5">
        <f t="shared" si="35"/>
        <v>2.7839909965039881E-2</v>
      </c>
      <c r="AG21" s="5">
        <f t="shared" si="45"/>
        <v>2.6179701871838212E-2</v>
      </c>
      <c r="AH21" s="5">
        <f t="shared" si="36"/>
        <v>2.2439744461575609E-2</v>
      </c>
      <c r="AI21" s="5">
        <f t="shared" si="37"/>
        <v>1.8996609068000516E-2</v>
      </c>
      <c r="AJ21" s="5">
        <f t="shared" si="38"/>
        <v>1.5830507556667095E-2</v>
      </c>
      <c r="AK21" s="5">
        <f t="shared" si="39"/>
        <v>1.2922863311564975E-2</v>
      </c>
      <c r="AL21" s="5">
        <f t="shared" si="40"/>
        <v>1.0256240723464266E-2</v>
      </c>
      <c r="AM21" s="5">
        <f t="shared" si="41"/>
        <v>7.8142786464489647E-3</v>
      </c>
      <c r="AN21" s="5">
        <f t="shared" si="42"/>
        <v>5.5816276046064027E-3</v>
      </c>
      <c r="AO21" s="5">
        <f t="shared" si="43"/>
        <v>3.5438905426072396E-3</v>
      </c>
      <c r="AP21" s="5">
        <f t="shared" si="44"/>
        <v>1.6875669250510663E-3</v>
      </c>
    </row>
    <row r="22" spans="2:42" x14ac:dyDescent="0.3">
      <c r="B22" s="1" t="s">
        <v>79</v>
      </c>
      <c r="K22" s="5">
        <f t="shared" si="17"/>
        <v>0.17883968810358397</v>
      </c>
      <c r="L22" s="5">
        <f t="shared" si="18"/>
        <v>0.18677559000139646</v>
      </c>
      <c r="M22" s="5">
        <f t="shared" si="19"/>
        <v>0.19325829192687077</v>
      </c>
      <c r="N22" s="5">
        <f t="shared" si="20"/>
        <v>0.20470165381834859</v>
      </c>
      <c r="O22" s="5">
        <f t="shared" si="21"/>
        <v>0.21517510046835253</v>
      </c>
      <c r="P22" s="5">
        <f t="shared" si="22"/>
        <v>0.2181434510246319</v>
      </c>
      <c r="Q22" s="5">
        <f t="shared" si="23"/>
        <v>0.21999255273242893</v>
      </c>
      <c r="R22" s="5">
        <f t="shared" si="24"/>
        <v>0.23391077566391774</v>
      </c>
      <c r="S22" s="5">
        <f t="shared" si="25"/>
        <v>0.24739298702664086</v>
      </c>
      <c r="T22" s="5">
        <f t="shared" si="26"/>
        <v>0.25928270205510029</v>
      </c>
      <c r="U22" s="5">
        <f t="shared" si="27"/>
        <v>0.2660596144432768</v>
      </c>
      <c r="V22" s="5">
        <f t="shared" si="28"/>
        <v>0.27322404371584702</v>
      </c>
      <c r="W22" s="5">
        <f t="shared" si="29"/>
        <v>0.26954177897574122</v>
      </c>
      <c r="X22" s="5">
        <f t="shared" si="30"/>
        <v>0.26497085320614733</v>
      </c>
      <c r="Y22" s="5">
        <f t="shared" si="31"/>
        <v>0.25322784469070347</v>
      </c>
      <c r="Z22" s="5">
        <f t="shared" si="32"/>
        <v>0.26001040041601664</v>
      </c>
      <c r="AA22" s="5"/>
      <c r="AD22" s="5">
        <f t="shared" si="33"/>
        <v>0.19113690182945112</v>
      </c>
      <c r="AE22" s="5">
        <f t="shared" si="34"/>
        <v>0.22206490627803202</v>
      </c>
      <c r="AF22" s="5">
        <f t="shared" si="35"/>
        <v>0.26170295094971874</v>
      </c>
      <c r="AG22" s="5">
        <f>AG10/$AG$14</f>
        <v>0.26179701871838212</v>
      </c>
      <c r="AH22" s="5">
        <f t="shared" si="36"/>
        <v>0.25</v>
      </c>
      <c r="AI22" s="5">
        <f t="shared" si="37"/>
        <v>0.25</v>
      </c>
      <c r="AJ22" s="5">
        <f t="shared" si="38"/>
        <v>0.25</v>
      </c>
      <c r="AK22" s="5">
        <f t="shared" si="39"/>
        <v>0.25</v>
      </c>
      <c r="AL22" s="5">
        <f t="shared" si="40"/>
        <v>0.25</v>
      </c>
      <c r="AM22" s="5">
        <f t="shared" si="41"/>
        <v>0.25</v>
      </c>
      <c r="AN22" s="5">
        <f t="shared" si="42"/>
        <v>0.25</v>
      </c>
      <c r="AO22" s="5">
        <f t="shared" si="43"/>
        <v>0.25</v>
      </c>
      <c r="AP22" s="5">
        <f t="shared" si="44"/>
        <v>0.25</v>
      </c>
    </row>
    <row r="23" spans="2:42" x14ac:dyDescent="0.3">
      <c r="B23" s="1" t="s">
        <v>27</v>
      </c>
      <c r="K23" s="5">
        <f t="shared" si="17"/>
        <v>3.9917018384719942E-2</v>
      </c>
      <c r="L23" s="5">
        <f t="shared" si="18"/>
        <v>3.5469906437648371E-2</v>
      </c>
      <c r="M23" s="5">
        <f t="shared" si="19"/>
        <v>3.5110249559602687E-2</v>
      </c>
      <c r="N23" s="5">
        <f t="shared" si="20"/>
        <v>3.3954217162898308E-2</v>
      </c>
      <c r="O23" s="5">
        <f t="shared" si="21"/>
        <v>3.1977599299554682E-2</v>
      </c>
      <c r="P23" s="5">
        <f t="shared" si="22"/>
        <v>3.2226492658310124E-2</v>
      </c>
      <c r="Q23" s="5">
        <f t="shared" si="23"/>
        <v>3.1487602198959422E-2</v>
      </c>
      <c r="R23" s="5">
        <f t="shared" si="24"/>
        <v>3.0823322385703102E-2</v>
      </c>
      <c r="S23" s="5">
        <f t="shared" si="25"/>
        <v>2.9948873937849438E-2</v>
      </c>
      <c r="T23" s="5">
        <f t="shared" si="26"/>
        <v>2.8545000368471029E-2</v>
      </c>
      <c r="U23" s="5">
        <f t="shared" si="27"/>
        <v>2.8889659880258232E-2</v>
      </c>
      <c r="V23" s="5">
        <f t="shared" si="28"/>
        <v>2.8415300546448089E-2</v>
      </c>
      <c r="W23" s="5">
        <f t="shared" si="29"/>
        <v>2.7493261455525605E-2</v>
      </c>
      <c r="X23" s="5">
        <f t="shared" si="30"/>
        <v>2.6497085320614733E-2</v>
      </c>
      <c r="Y23" s="5">
        <f t="shared" si="31"/>
        <v>2.6842151537214566E-2</v>
      </c>
      <c r="Z23" s="5">
        <f t="shared" si="32"/>
        <v>2.704108164326573E-2</v>
      </c>
      <c r="AA23" s="5"/>
      <c r="AD23" s="5">
        <f t="shared" si="33"/>
        <v>3.605818114609765E-2</v>
      </c>
      <c r="AE23" s="5">
        <f t="shared" si="34"/>
        <v>3.1608764125465552E-2</v>
      </c>
      <c r="AF23" s="5">
        <f t="shared" si="35"/>
        <v>2.8939757736468723E-2</v>
      </c>
      <c r="AG23" s="5">
        <f>AG11/$AG$14</f>
        <v>2.6965092927993359E-2</v>
      </c>
      <c r="AH23" s="5">
        <f t="shared" si="36"/>
        <v>2.5556375636794443E-2</v>
      </c>
      <c r="AI23" s="5">
        <f t="shared" si="37"/>
        <v>2.4101947755025655E-2</v>
      </c>
      <c r="AJ23" s="5">
        <f t="shared" si="38"/>
        <v>2.2615010795238706E-2</v>
      </c>
      <c r="AK23" s="5">
        <f t="shared" si="39"/>
        <v>2.0999652881293084E-2</v>
      </c>
      <c r="AL23" s="5">
        <f t="shared" si="40"/>
        <v>1.9486857374582105E-2</v>
      </c>
      <c r="AM23" s="5">
        <f t="shared" si="41"/>
        <v>1.8070519369913229E-2</v>
      </c>
      <c r="AN23" s="5">
        <f t="shared" si="42"/>
        <v>1.6744882813819209E-2</v>
      </c>
      <c r="AO23" s="5">
        <f t="shared" si="43"/>
        <v>1.5504521123906673E-2</v>
      </c>
      <c r="AP23" s="5">
        <f t="shared" si="44"/>
        <v>1.4344318862934064E-2</v>
      </c>
    </row>
    <row r="24" spans="2:42" x14ac:dyDescent="0.3">
      <c r="B24" s="1" t="s">
        <v>80</v>
      </c>
      <c r="K24" s="5">
        <f t="shared" si="17"/>
        <v>7.153587524143358E-2</v>
      </c>
      <c r="L24" s="5">
        <f t="shared" si="18"/>
        <v>6.9822650467811762E-2</v>
      </c>
      <c r="M24" s="5">
        <f t="shared" si="19"/>
        <v>6.7519710691543625E-2</v>
      </c>
      <c r="N24" s="5">
        <f t="shared" si="20"/>
        <v>6.683901016318565E-2</v>
      </c>
      <c r="O24" s="5">
        <f t="shared" si="21"/>
        <v>6.5662421559660525E-2</v>
      </c>
      <c r="P24" s="5">
        <f t="shared" si="22"/>
        <v>6.2213306290173992E-2</v>
      </c>
      <c r="Q24" s="5">
        <f t="shared" si="23"/>
        <v>5.8636130724319224E-2</v>
      </c>
      <c r="R24" s="5">
        <f t="shared" si="24"/>
        <v>5.826715006749169E-2</v>
      </c>
      <c r="S24" s="5">
        <f t="shared" si="25"/>
        <v>5.7593988342018149E-2</v>
      </c>
      <c r="T24" s="5">
        <f t="shared" si="26"/>
        <v>5.641304420646448E-2</v>
      </c>
      <c r="U24" s="5">
        <f t="shared" si="27"/>
        <v>5.4100486667150248E-2</v>
      </c>
      <c r="V24" s="5">
        <f t="shared" si="28"/>
        <v>5.4644808743169397E-2</v>
      </c>
      <c r="W24" s="5">
        <f t="shared" si="29"/>
        <v>5.3908355795148251E-2</v>
      </c>
      <c r="X24" s="5">
        <f t="shared" si="30"/>
        <v>5.2994170641229466E-2</v>
      </c>
      <c r="Y24" s="5">
        <f t="shared" si="31"/>
        <v>5.0645568938140692E-2</v>
      </c>
      <c r="Z24" s="5">
        <f t="shared" si="32"/>
        <v>5.2002080083203325E-2</v>
      </c>
      <c r="AA24" s="5"/>
      <c r="AD24" s="5">
        <f t="shared" si="33"/>
        <v>6.8879047079460645E-2</v>
      </c>
      <c r="AE24" s="5">
        <f t="shared" si="34"/>
        <v>6.1050244568740815E-2</v>
      </c>
      <c r="AF24" s="5">
        <f t="shared" si="35"/>
        <v>5.565338026243985E-2</v>
      </c>
      <c r="AG24" s="5">
        <f>AG12/$AG$14</f>
        <v>5.2359403743676425E-2</v>
      </c>
      <c r="AH24" s="5">
        <f t="shared" si="36"/>
        <v>0.06</v>
      </c>
      <c r="AI24" s="5">
        <f t="shared" si="37"/>
        <v>7.0000000000000007E-2</v>
      </c>
      <c r="AJ24" s="5">
        <f t="shared" si="38"/>
        <v>5.9999999999999991E-2</v>
      </c>
      <c r="AK24" s="5">
        <f t="shared" si="39"/>
        <v>6.0000000000000005E-2</v>
      </c>
      <c r="AL24" s="5">
        <f t="shared" si="40"/>
        <v>0.09</v>
      </c>
      <c r="AM24" s="5">
        <f t="shared" si="41"/>
        <v>0.08</v>
      </c>
      <c r="AN24" s="5">
        <f t="shared" si="42"/>
        <v>0.08</v>
      </c>
      <c r="AO24" s="5">
        <f t="shared" si="43"/>
        <v>0.08</v>
      </c>
      <c r="AP24" s="5">
        <f t="shared" si="44"/>
        <v>0.08</v>
      </c>
    </row>
    <row r="25" spans="2:42" x14ac:dyDescent="0.3">
      <c r="B25" s="1" t="s">
        <v>134</v>
      </c>
      <c r="K25" s="5">
        <f t="shared" ref="K25:Z25" si="46">K13/K14</f>
        <v>2.1460762572430077E-2</v>
      </c>
      <c r="L25" s="5">
        <f t="shared" si="46"/>
        <v>2.4437927663734114E-2</v>
      </c>
      <c r="M25" s="5">
        <f t="shared" si="46"/>
        <v>2.7007884276617451E-2</v>
      </c>
      <c r="N25" s="5">
        <f t="shared" si="46"/>
        <v>3.007755457343354E-2</v>
      </c>
      <c r="O25" s="5">
        <f t="shared" si="46"/>
        <v>3.1583624770196717E-2</v>
      </c>
      <c r="P25" s="5">
        <f t="shared" si="46"/>
        <v>3.309747894637257E-2</v>
      </c>
      <c r="Q25" s="5">
        <f t="shared" si="46"/>
        <v>3.611985652618064E-2</v>
      </c>
      <c r="R25" s="5">
        <f t="shared" si="46"/>
        <v>3.6125633041844844E-2</v>
      </c>
      <c r="S25" s="5">
        <f t="shared" si="46"/>
        <v>3.6860152538891612E-2</v>
      </c>
      <c r="T25" s="5">
        <f t="shared" si="46"/>
        <v>3.9489130944525136E-2</v>
      </c>
      <c r="U25" s="5">
        <f t="shared" si="46"/>
        <v>4.165737473370569E-2</v>
      </c>
      <c r="V25" s="5">
        <f t="shared" si="46"/>
        <v>4.3169398907103827E-2</v>
      </c>
      <c r="W25" s="5">
        <f t="shared" si="46"/>
        <v>4.3126684636118601E-2</v>
      </c>
      <c r="X25" s="5">
        <f t="shared" si="46"/>
        <v>4.4515103338632747E-2</v>
      </c>
      <c r="Y25" s="5">
        <f t="shared" si="46"/>
        <v>4.7356848273573587E-2</v>
      </c>
      <c r="Z25" s="5">
        <f t="shared" si="46"/>
        <v>5.0962038481539261E-2</v>
      </c>
      <c r="AA25" s="5"/>
      <c r="AD25" s="5">
        <f t="shared" ref="AD25:AP25" si="47">AD13/AD14</f>
        <v>2.5829642654797744E-2</v>
      </c>
      <c r="AE25" s="5">
        <f t="shared" si="47"/>
        <v>3.4325500008774525E-2</v>
      </c>
      <c r="AF25" s="5">
        <f t="shared" si="47"/>
        <v>4.0348700690268892E-2</v>
      </c>
      <c r="AG25" s="5">
        <f>AG13/AG14</f>
        <v>4.6535257827652318E-2</v>
      </c>
      <c r="AH25" s="5">
        <f t="shared" si="47"/>
        <v>0.06</v>
      </c>
      <c r="AI25" s="5">
        <f t="shared" si="47"/>
        <v>7.0000000000000007E-2</v>
      </c>
      <c r="AJ25" s="5">
        <f t="shared" si="47"/>
        <v>0.08</v>
      </c>
      <c r="AK25" s="5">
        <f t="shared" si="47"/>
        <v>0.09</v>
      </c>
      <c r="AL25" s="5">
        <f t="shared" si="47"/>
        <v>0.1</v>
      </c>
      <c r="AM25" s="5">
        <f t="shared" si="47"/>
        <v>0.11000000000000001</v>
      </c>
      <c r="AN25" s="5">
        <f t="shared" si="47"/>
        <v>0.12</v>
      </c>
      <c r="AO25" s="5">
        <f t="shared" si="47"/>
        <v>0.12</v>
      </c>
      <c r="AP25" s="5">
        <f t="shared" si="47"/>
        <v>0.12</v>
      </c>
    </row>
    <row r="26" spans="2:42" x14ac:dyDescent="0.3"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>
        <f>SUM(V16:V25)</f>
        <v>1</v>
      </c>
      <c r="W26" s="5">
        <f>SUM(W16:W25)</f>
        <v>1</v>
      </c>
      <c r="X26" s="5">
        <f>SUM(X16:X25)</f>
        <v>1</v>
      </c>
      <c r="Y26" s="5">
        <f>SUM(Y16:Y25)</f>
        <v>0.99999999999999989</v>
      </c>
      <c r="Z26" s="5">
        <f>SUM(Z16:Z25)</f>
        <v>0.99999999999999989</v>
      </c>
      <c r="AA26" s="5"/>
      <c r="AD26" s="5"/>
      <c r="AE26" s="5"/>
      <c r="AF26" s="5"/>
      <c r="AG26" s="5">
        <f t="shared" ref="AG26" si="48">SUM(AG16:AG25)</f>
        <v>0.99999999999999989</v>
      </c>
      <c r="AH26" s="5">
        <f t="shared" ref="AG26:AP26" si="49">SUM(AH16:AH25)</f>
        <v>0.99916243185055853</v>
      </c>
      <c r="AI26" s="5">
        <f t="shared" si="49"/>
        <v>1.0027807584917769</v>
      </c>
      <c r="AJ26" s="5">
        <f t="shared" si="49"/>
        <v>0.99671428184595423</v>
      </c>
      <c r="AK26" s="5">
        <f t="shared" si="49"/>
        <v>0.9958451480919519</v>
      </c>
      <c r="AL26" s="5">
        <f t="shared" si="49"/>
        <v>0.9997430980980464</v>
      </c>
      <c r="AM26" s="5">
        <f t="shared" si="49"/>
        <v>0.9958847980163622</v>
      </c>
      <c r="AN26" s="5">
        <f t="shared" si="49"/>
        <v>1.0023265104184258</v>
      </c>
      <c r="AO26" s="5">
        <f t="shared" si="49"/>
        <v>0.99904841166651392</v>
      </c>
      <c r="AP26" s="5">
        <f t="shared" si="49"/>
        <v>0.99603188578798518</v>
      </c>
    </row>
    <row r="27" spans="2:42" x14ac:dyDescent="0.3">
      <c r="V27" s="5"/>
      <c r="W27" s="5"/>
      <c r="X27" s="5"/>
      <c r="Y27" s="5"/>
      <c r="Z27" s="5"/>
      <c r="AA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2:42" x14ac:dyDescent="0.3">
      <c r="B28" s="1" t="s">
        <v>29</v>
      </c>
      <c r="K28" s="5">
        <f t="shared" ref="K28:Z28" si="50">K16+K18+K19</f>
        <v>0.49839044280706779</v>
      </c>
      <c r="L28" s="5">
        <f t="shared" si="50"/>
        <v>0.48910766652702137</v>
      </c>
      <c r="M28" s="5">
        <f t="shared" si="50"/>
        <v>0.4824958526017708</v>
      </c>
      <c r="N28" s="5">
        <f t="shared" si="50"/>
        <v>0.46573422281707755</v>
      </c>
      <c r="O28" s="5">
        <f t="shared" si="50"/>
        <v>0.45884900185890781</v>
      </c>
      <c r="P28" s="5">
        <f t="shared" si="50"/>
        <v>0.46006740001583674</v>
      </c>
      <c r="Q28" s="5">
        <f t="shared" si="50"/>
        <v>0.4632254327221218</v>
      </c>
      <c r="R28" s="5">
        <f t="shared" si="50"/>
        <v>0.45279402317447792</v>
      </c>
      <c r="S28" s="5">
        <f t="shared" si="50"/>
        <v>0.44571987577887839</v>
      </c>
      <c r="T28" s="5">
        <f t="shared" si="50"/>
        <v>0.43686261433486095</v>
      </c>
      <c r="U28" s="5">
        <f t="shared" si="50"/>
        <v>0.43659092740390254</v>
      </c>
      <c r="V28" s="5">
        <f t="shared" si="50"/>
        <v>0.43114754098360653</v>
      </c>
      <c r="W28" s="5">
        <f t="shared" si="50"/>
        <v>0.43450134770889487</v>
      </c>
      <c r="X28" s="5">
        <f t="shared" si="50"/>
        <v>0.43455219925808158</v>
      </c>
      <c r="Y28" s="5">
        <f t="shared" si="50"/>
        <v>0.44618746234501955</v>
      </c>
      <c r="Z28" s="5">
        <f t="shared" si="50"/>
        <v>0.43213728549141966</v>
      </c>
      <c r="AA28" s="5"/>
      <c r="AD28" s="5">
        <f t="shared" ref="AD28:AP28" si="51">AD16+AD18+AD19</f>
        <v>0.4836342290684329</v>
      </c>
      <c r="AE28" s="5">
        <f t="shared" si="51"/>
        <v>0.45870101256723406</v>
      </c>
      <c r="AF28" s="5">
        <f t="shared" si="51"/>
        <v>0.43747730889797404</v>
      </c>
      <c r="AG28" s="5">
        <f t="shared" si="51"/>
        <v>0.43693922424097975</v>
      </c>
      <c r="AH28" s="5">
        <f t="shared" si="51"/>
        <v>0.43</v>
      </c>
      <c r="AI28" s="5">
        <f t="shared" si="51"/>
        <v>0.42</v>
      </c>
      <c r="AJ28" s="5">
        <f t="shared" si="51"/>
        <v>0.42</v>
      </c>
      <c r="AK28" s="5">
        <f t="shared" si="51"/>
        <v>0.41499999999999998</v>
      </c>
      <c r="AL28" s="5">
        <f t="shared" si="51"/>
        <v>0.41</v>
      </c>
      <c r="AM28" s="5">
        <f t="shared" si="51"/>
        <v>0.41</v>
      </c>
      <c r="AN28" s="5">
        <f t="shared" si="51"/>
        <v>0.41</v>
      </c>
      <c r="AO28" s="5">
        <f t="shared" si="51"/>
        <v>0.41</v>
      </c>
      <c r="AP28" s="5">
        <f t="shared" si="51"/>
        <v>0.41</v>
      </c>
    </row>
    <row r="29" spans="2:42" x14ac:dyDescent="0.3">
      <c r="B29" s="1" t="s">
        <v>58</v>
      </c>
      <c r="K29" s="5">
        <f t="shared" ref="K29:Z29" si="52">K23+K17</f>
        <v>0.15108376850990773</v>
      </c>
      <c r="L29" s="5">
        <f t="shared" si="52"/>
        <v>0.15388912163105711</v>
      </c>
      <c r="M29" s="5">
        <f t="shared" si="52"/>
        <v>0.15705084706853048</v>
      </c>
      <c r="N29" s="5">
        <f t="shared" si="52"/>
        <v>0.16148304855425655</v>
      </c>
      <c r="O29" s="5">
        <f t="shared" si="52"/>
        <v>0.15955968438997509</v>
      </c>
      <c r="P29" s="5">
        <f t="shared" si="52"/>
        <v>0.16163016974187203</v>
      </c>
      <c r="Q29" s="5">
        <f t="shared" si="52"/>
        <v>0.16154254014549946</v>
      </c>
      <c r="R29" s="5">
        <f t="shared" si="52"/>
        <v>0.15941892258465723</v>
      </c>
      <c r="S29" s="5">
        <f t="shared" si="52"/>
        <v>0.1542367007799246</v>
      </c>
      <c r="T29" s="5">
        <f t="shared" si="52"/>
        <v>0.15152543673856358</v>
      </c>
      <c r="U29" s="5">
        <f t="shared" si="52"/>
        <v>0.14801893152132309</v>
      </c>
      <c r="V29" s="5">
        <f t="shared" si="52"/>
        <v>0.14316939890710384</v>
      </c>
      <c r="W29" s="5">
        <f t="shared" si="52"/>
        <v>0.14501347708894879</v>
      </c>
      <c r="X29" s="5">
        <f t="shared" si="52"/>
        <v>0.14997350291467937</v>
      </c>
      <c r="Y29" s="5">
        <f t="shared" si="52"/>
        <v>0.15193670681442206</v>
      </c>
      <c r="Z29" s="5">
        <f t="shared" si="52"/>
        <v>0.1528861154446178</v>
      </c>
      <c r="AA29" s="5"/>
      <c r="AD29" s="5">
        <f t="shared" ref="AD29:AP29" si="53">AD23+AD17</f>
        <v>0.15597660211143866</v>
      </c>
      <c r="AE29" s="5">
        <f t="shared" si="53"/>
        <v>0.16054688065464612</v>
      </c>
      <c r="AF29" s="5">
        <f t="shared" si="53"/>
        <v>0.14915105910333878</v>
      </c>
      <c r="AG29" s="5">
        <f t="shared" si="53"/>
        <v>0.15000969172563294</v>
      </c>
      <c r="AH29" s="5">
        <f t="shared" si="53"/>
        <v>0.14555637563679444</v>
      </c>
      <c r="AI29" s="5">
        <f t="shared" si="53"/>
        <v>0.14410194775502566</v>
      </c>
      <c r="AJ29" s="5">
        <f t="shared" si="53"/>
        <v>0.14261501079523869</v>
      </c>
      <c r="AK29" s="5">
        <f t="shared" si="53"/>
        <v>0.1409996528812931</v>
      </c>
      <c r="AL29" s="5">
        <f t="shared" si="53"/>
        <v>0.13948685737458211</v>
      </c>
      <c r="AM29" s="5">
        <f t="shared" si="53"/>
        <v>0.13807051936991321</v>
      </c>
      <c r="AN29" s="5">
        <f t="shared" si="53"/>
        <v>0.13674488281381919</v>
      </c>
      <c r="AO29" s="5">
        <f t="shared" si="53"/>
        <v>0.13550452112390668</v>
      </c>
      <c r="AP29" s="5">
        <f t="shared" si="53"/>
        <v>0.13434431886293405</v>
      </c>
    </row>
    <row r="30" spans="2:42" x14ac:dyDescent="0.3">
      <c r="B30" s="1" t="s">
        <v>30</v>
      </c>
      <c r="K30" s="5">
        <f>K24+K22+K21+K20</f>
        <v>0.32906502611059446</v>
      </c>
      <c r="L30" s="5">
        <f t="shared" ref="L30:Z30" si="54">L24+L22+L21+L20</f>
        <v>0.33256528417818743</v>
      </c>
      <c r="M30" s="5">
        <f t="shared" si="54"/>
        <v>0.33344541605308131</v>
      </c>
      <c r="N30" s="5">
        <f t="shared" si="54"/>
        <v>0.34270517405523249</v>
      </c>
      <c r="O30" s="5">
        <f t="shared" si="54"/>
        <v>0.35000768898092033</v>
      </c>
      <c r="P30" s="5">
        <f t="shared" si="54"/>
        <v>0.34520495129591883</v>
      </c>
      <c r="Q30" s="5">
        <f t="shared" si="54"/>
        <v>0.33911217060619803</v>
      </c>
      <c r="R30" s="5">
        <f t="shared" si="54"/>
        <v>0.35166142119902</v>
      </c>
      <c r="S30" s="5">
        <f t="shared" si="54"/>
        <v>0.3631832709023054</v>
      </c>
      <c r="T30" s="5">
        <f t="shared" si="54"/>
        <v>0.37212281798205038</v>
      </c>
      <c r="U30" s="5">
        <f t="shared" si="54"/>
        <v>0.37373276634106861</v>
      </c>
      <c r="V30" s="5">
        <f t="shared" si="54"/>
        <v>0.38251366120218577</v>
      </c>
      <c r="W30" s="5">
        <f t="shared" si="54"/>
        <v>0.37735849056603776</v>
      </c>
      <c r="X30" s="5">
        <f t="shared" si="54"/>
        <v>0.37095919448860626</v>
      </c>
      <c r="Y30" s="5">
        <f t="shared" si="54"/>
        <v>0.35451898256698483</v>
      </c>
      <c r="Z30" s="5">
        <f t="shared" si="54"/>
        <v>0.36401456058242326</v>
      </c>
      <c r="AA30" s="5"/>
      <c r="AD30" s="5" t="e">
        <f>AD24+#REF!+AD21+AD22+AD20</f>
        <v>#REF!</v>
      </c>
      <c r="AE30" s="5" t="e">
        <f>AE24+#REF!+AE21+AE22+AE20</f>
        <v>#REF!</v>
      </c>
      <c r="AF30" s="5" t="e">
        <f>AF24+#REF!+AF21+AF22+AF20</f>
        <v>#REF!</v>
      </c>
      <c r="AG30" s="5" t="e">
        <f>AG24+#REF!+AG21+AG22+AG20</f>
        <v>#REF!</v>
      </c>
      <c r="AH30" s="5" t="e">
        <f>AH24+#REF!+AH21+AH22+AH20</f>
        <v>#REF!</v>
      </c>
      <c r="AI30" s="5" t="e">
        <f>AI24+#REF!+AI21+AI22+AI20</f>
        <v>#REF!</v>
      </c>
      <c r="AJ30" s="5" t="e">
        <f>AJ24+#REF!+AJ21+AJ22+AJ20</f>
        <v>#REF!</v>
      </c>
      <c r="AK30" s="5" t="e">
        <f>AK24+#REF!+AK21+AK22+AK20</f>
        <v>#REF!</v>
      </c>
      <c r="AL30" s="5" t="e">
        <f>AL24+#REF!+AL21+AL22+AL20</f>
        <v>#REF!</v>
      </c>
      <c r="AM30" s="5" t="e">
        <f>AM24+#REF!+AM21+AM22+AM20</f>
        <v>#REF!</v>
      </c>
      <c r="AN30" s="5" t="e">
        <f>AN24+#REF!+AN21+AN22+AN20</f>
        <v>#REF!</v>
      </c>
      <c r="AO30" s="5" t="e">
        <f>AO24+#REF!+AO21+AO22+AO20</f>
        <v>#REF!</v>
      </c>
      <c r="AP30" s="5" t="e">
        <f>AP24+#REF!+AP21+AP22+AP20</f>
        <v>#REF!</v>
      </c>
    </row>
    <row r="31" spans="2:42" x14ac:dyDescent="0.3">
      <c r="B31" s="1" t="s">
        <v>101</v>
      </c>
      <c r="K31" s="5">
        <f>K25</f>
        <v>2.1460762572430077E-2</v>
      </c>
      <c r="L31" s="5">
        <f t="shared" ref="L31:Z31" si="55">L25</f>
        <v>2.4437927663734114E-2</v>
      </c>
      <c r="M31" s="5">
        <f t="shared" si="55"/>
        <v>2.7007884276617451E-2</v>
      </c>
      <c r="N31" s="5">
        <f t="shared" si="55"/>
        <v>3.007755457343354E-2</v>
      </c>
      <c r="O31" s="5">
        <f t="shared" si="55"/>
        <v>3.1583624770196717E-2</v>
      </c>
      <c r="P31" s="5">
        <f t="shared" si="55"/>
        <v>3.309747894637257E-2</v>
      </c>
      <c r="Q31" s="5">
        <f t="shared" si="55"/>
        <v>3.611985652618064E-2</v>
      </c>
      <c r="R31" s="5">
        <f t="shared" si="55"/>
        <v>3.6125633041844844E-2</v>
      </c>
      <c r="S31" s="5">
        <f t="shared" si="55"/>
        <v>3.6860152538891612E-2</v>
      </c>
      <c r="T31" s="5">
        <f t="shared" si="55"/>
        <v>3.9489130944525136E-2</v>
      </c>
      <c r="U31" s="5">
        <f t="shared" si="55"/>
        <v>4.165737473370569E-2</v>
      </c>
      <c r="V31" s="5">
        <f t="shared" si="55"/>
        <v>4.3169398907103827E-2</v>
      </c>
      <c r="W31" s="5">
        <f t="shared" si="55"/>
        <v>4.3126684636118601E-2</v>
      </c>
      <c r="X31" s="5">
        <f t="shared" si="55"/>
        <v>4.4515103338632747E-2</v>
      </c>
      <c r="Y31" s="5">
        <f t="shared" si="55"/>
        <v>4.7356848273573587E-2</v>
      </c>
      <c r="Z31" s="5">
        <f t="shared" si="55"/>
        <v>5.0962038481539261E-2</v>
      </c>
      <c r="AA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2:42" x14ac:dyDescent="0.3">
      <c r="K32" s="5"/>
    </row>
    <row r="33" spans="1:42" x14ac:dyDescent="0.3">
      <c r="B33" s="1" t="s">
        <v>81</v>
      </c>
      <c r="N33" s="5"/>
      <c r="O33" s="5">
        <f t="shared" ref="O33:Z33" si="56">O14/K14-1</f>
        <v>8.9449239645182255E-2</v>
      </c>
      <c r="P33" s="5">
        <f t="shared" si="56"/>
        <v>0.12231055752199405</v>
      </c>
      <c r="Q33" s="5">
        <f t="shared" si="56"/>
        <v>0.15150351596340861</v>
      </c>
      <c r="R33" s="5">
        <f t="shared" si="56"/>
        <v>0.14711308319979688</v>
      </c>
      <c r="S33" s="5">
        <f t="shared" si="56"/>
        <v>0.14009158681160461</v>
      </c>
      <c r="T33" s="5">
        <f t="shared" si="56"/>
        <v>0.10281774659210563</v>
      </c>
      <c r="U33" s="5">
        <f t="shared" si="56"/>
        <v>8.383739845214766E-2</v>
      </c>
      <c r="V33" s="5">
        <f>V14/R14-1</f>
        <v>6.6288846235097898E-2</v>
      </c>
      <c r="W33" s="5">
        <f t="shared" si="56"/>
        <v>6.8368483744436714E-2</v>
      </c>
      <c r="X33" s="5">
        <f t="shared" si="56"/>
        <v>6.4514144175984889E-2</v>
      </c>
      <c r="Y33" s="5">
        <f t="shared" si="56"/>
        <v>6.821757167402831E-2</v>
      </c>
      <c r="Z33" s="5">
        <f t="shared" si="56"/>
        <v>5.0819672131147575E-2</v>
      </c>
      <c r="AA33" s="5"/>
      <c r="AE33" s="5">
        <f t="shared" ref="AE33:AP33" si="57">AE14/AD14-1</f>
        <v>0.12823539964536645</v>
      </c>
      <c r="AF33" s="5">
        <f t="shared" si="57"/>
        <v>9.697280346407422E-2</v>
      </c>
      <c r="AG33" s="5">
        <f t="shared" si="57"/>
        <v>6.2910886741357253E-2</v>
      </c>
      <c r="AH33" s="5">
        <f t="shared" si="57"/>
        <v>5.0000000000000044E-2</v>
      </c>
      <c r="AI33" s="5">
        <f t="shared" si="57"/>
        <v>5.0000000000000044E-2</v>
      </c>
      <c r="AJ33" s="5">
        <f t="shared" si="57"/>
        <v>5.0000000000000044E-2</v>
      </c>
      <c r="AK33" s="5">
        <f t="shared" si="57"/>
        <v>5.0000000000000044E-2</v>
      </c>
      <c r="AL33" s="5">
        <f t="shared" si="57"/>
        <v>5.0000000000000044E-2</v>
      </c>
      <c r="AM33" s="5">
        <f t="shared" si="57"/>
        <v>5.0000000000000044E-2</v>
      </c>
      <c r="AN33" s="5">
        <f t="shared" si="57"/>
        <v>5.0000000000000044E-2</v>
      </c>
      <c r="AO33" s="5">
        <f t="shared" si="57"/>
        <v>5.0000000000000044E-2</v>
      </c>
      <c r="AP33" s="5">
        <f t="shared" si="57"/>
        <v>5.0000000000000044E-2</v>
      </c>
    </row>
    <row r="35" spans="1:42" x14ac:dyDescent="0.3">
      <c r="B35" s="1" t="s">
        <v>110</v>
      </c>
      <c r="K35" s="18">
        <v>10.686</v>
      </c>
      <c r="L35" s="18">
        <v>10.89</v>
      </c>
      <c r="M35" s="18">
        <v>11.103</v>
      </c>
      <c r="N35" s="18">
        <v>10.83</v>
      </c>
      <c r="O35" s="18">
        <v>10.653</v>
      </c>
      <c r="P35" s="18">
        <v>10.468999999999999</v>
      </c>
      <c r="Q35" s="18">
        <v>10.412000000000001</v>
      </c>
      <c r="R35" s="18">
        <v>9.968</v>
      </c>
      <c r="S35" s="18">
        <v>9.7129999999999992</v>
      </c>
      <c r="T35" s="18">
        <v>9.6340000000000003</v>
      </c>
      <c r="U35" s="18">
        <v>9.9450000000000003</v>
      </c>
      <c r="V35" s="18">
        <f>R35*0.97</f>
        <v>9.6689600000000002</v>
      </c>
      <c r="W35" s="18">
        <f>S35*0.98</f>
        <v>9.5187399999999993</v>
      </c>
      <c r="X35" s="18">
        <f t="shared" ref="X35:Z35" si="58">T35*0.98</f>
        <v>9.441320000000001</v>
      </c>
      <c r="Y35" s="18">
        <f t="shared" si="58"/>
        <v>9.7461000000000002</v>
      </c>
      <c r="Z35" s="18">
        <f t="shared" si="58"/>
        <v>9.4755807999999995</v>
      </c>
    </row>
    <row r="36" spans="1:42" x14ac:dyDescent="0.3">
      <c r="B36" s="1" t="s">
        <v>111</v>
      </c>
      <c r="C36" s="17">
        <v>0.93830000000000002</v>
      </c>
      <c r="D36" s="17">
        <v>1.0792999999999999</v>
      </c>
      <c r="E36" s="17">
        <v>1.2821</v>
      </c>
      <c r="F36" s="17">
        <v>1.2686999999999999</v>
      </c>
      <c r="G36" s="17">
        <v>1.3528</v>
      </c>
      <c r="H36" s="17">
        <v>1.4730000000000001</v>
      </c>
      <c r="I36" s="17">
        <v>1.5326</v>
      </c>
      <c r="J36" s="17">
        <v>1.6407</v>
      </c>
      <c r="K36" s="17">
        <v>1.7751999999999999</v>
      </c>
      <c r="L36" s="17">
        <v>1.925</v>
      </c>
      <c r="M36" s="17">
        <v>2.0880000000000001</v>
      </c>
      <c r="N36" s="17">
        <v>2.2210000000000001</v>
      </c>
      <c r="O36" s="17">
        <v>2.319</v>
      </c>
      <c r="P36" s="17">
        <v>2.4580000000000002</v>
      </c>
      <c r="Q36" s="17">
        <v>2.605</v>
      </c>
      <c r="R36" s="17">
        <v>2.6880000000000002</v>
      </c>
      <c r="S36" s="17">
        <v>2.73</v>
      </c>
      <c r="T36" s="17">
        <v>2.8170000000000002</v>
      </c>
      <c r="U36" s="17">
        <v>2.8690000000000002</v>
      </c>
      <c r="V36" s="18">
        <f>R36*1.07</f>
        <v>2.8761600000000005</v>
      </c>
      <c r="W36" s="18">
        <f t="shared" ref="W36:Z36" si="59">S36*1.07</f>
        <v>2.9211</v>
      </c>
      <c r="X36" s="18">
        <f t="shared" si="59"/>
        <v>3.0141900000000001</v>
      </c>
      <c r="Y36" s="18">
        <f t="shared" si="59"/>
        <v>3.0698300000000005</v>
      </c>
      <c r="Z36" s="18">
        <f t="shared" si="59"/>
        <v>3.0774912000000008</v>
      </c>
    </row>
    <row r="37" spans="1:42" x14ac:dyDescent="0.3">
      <c r="B37" s="1" t="s">
        <v>112</v>
      </c>
      <c r="K37" s="18">
        <v>0.94099999999999995</v>
      </c>
      <c r="L37" s="18">
        <v>0.96199999999999997</v>
      </c>
      <c r="M37" s="18">
        <v>0.998</v>
      </c>
      <c r="N37" s="18">
        <v>1.0209999999999999</v>
      </c>
      <c r="O37" s="18">
        <v>1.085</v>
      </c>
      <c r="P37" s="18">
        <v>1.1930000000000001</v>
      </c>
      <c r="Q37" s="18">
        <v>1.327</v>
      </c>
      <c r="R37" s="18">
        <v>1.3620000000000001</v>
      </c>
      <c r="S37" s="18">
        <v>1.4239999999999999</v>
      </c>
      <c r="T37" s="18">
        <v>1.484</v>
      </c>
      <c r="U37" s="18">
        <v>1.6020000000000001</v>
      </c>
      <c r="V37" s="18">
        <f>R37*1.12</f>
        <v>1.5254400000000004</v>
      </c>
      <c r="W37" s="18">
        <f t="shared" ref="W37:Z37" si="60">S37*1.12</f>
        <v>1.5948800000000001</v>
      </c>
      <c r="X37" s="18">
        <f t="shared" si="60"/>
        <v>1.6620800000000002</v>
      </c>
      <c r="Y37" s="18">
        <f t="shared" si="60"/>
        <v>1.7942400000000003</v>
      </c>
      <c r="Z37" s="18">
        <f t="shared" si="60"/>
        <v>1.7084928000000006</v>
      </c>
    </row>
    <row r="38" spans="1:42" x14ac:dyDescent="0.3">
      <c r="B38" s="1" t="s">
        <v>113</v>
      </c>
      <c r="K38" s="18">
        <v>3.7069999999999999</v>
      </c>
      <c r="L38" s="18">
        <v>3.5720000000000001</v>
      </c>
      <c r="M38" s="18">
        <v>3.4159999999999999</v>
      </c>
      <c r="N38" s="18">
        <v>3.25</v>
      </c>
      <c r="O38" s="18">
        <v>3.2120000000000002</v>
      </c>
      <c r="P38" s="18">
        <v>3.109</v>
      </c>
      <c r="Q38" s="18">
        <v>3.056</v>
      </c>
      <c r="R38" s="18">
        <v>2.887</v>
      </c>
      <c r="S38" s="18">
        <v>2.839</v>
      </c>
      <c r="T38" s="18">
        <v>2.718</v>
      </c>
      <c r="U38" s="18">
        <v>2.621</v>
      </c>
      <c r="V38" s="18">
        <f>R38*0.91</f>
        <v>2.62717</v>
      </c>
      <c r="W38" s="18">
        <f t="shared" ref="W38:Z38" si="61">S38*0.91</f>
        <v>2.5834899999999998</v>
      </c>
      <c r="X38" s="18">
        <f t="shared" si="61"/>
        <v>2.4733800000000001</v>
      </c>
      <c r="Y38" s="18">
        <f t="shared" si="61"/>
        <v>2.3851100000000001</v>
      </c>
      <c r="Z38" s="18">
        <f t="shared" si="61"/>
        <v>2.3907247000000003</v>
      </c>
    </row>
    <row r="39" spans="1:42" x14ac:dyDescent="0.3">
      <c r="B39" s="1" t="s">
        <v>114</v>
      </c>
      <c r="K39" s="19">
        <v>0.5</v>
      </c>
      <c r="L39" s="19">
        <v>0.5</v>
      </c>
      <c r="M39" s="19">
        <v>0.5</v>
      </c>
      <c r="N39" s="19">
        <v>0.5</v>
      </c>
      <c r="O39" s="19">
        <v>0.5</v>
      </c>
      <c r="P39" s="19">
        <v>0.5</v>
      </c>
      <c r="Q39" s="19">
        <v>0.5</v>
      </c>
      <c r="R39" s="19">
        <v>0.5</v>
      </c>
      <c r="S39" s="19">
        <v>0.5</v>
      </c>
      <c r="T39" s="19">
        <v>0.5</v>
      </c>
      <c r="U39" s="19">
        <v>0.5</v>
      </c>
      <c r="V39" s="19">
        <v>0.5</v>
      </c>
      <c r="W39" s="19">
        <v>0.5</v>
      </c>
      <c r="X39" s="19">
        <v>0.5</v>
      </c>
      <c r="Y39" s="19">
        <v>0.5</v>
      </c>
      <c r="Z39" s="19">
        <v>0.5</v>
      </c>
    </row>
    <row r="40" spans="1:42" x14ac:dyDescent="0.3">
      <c r="B40" s="1" t="s">
        <v>115</v>
      </c>
      <c r="K40" s="19">
        <v>1</v>
      </c>
      <c r="L40" s="19">
        <v>1</v>
      </c>
      <c r="M40" s="19">
        <v>1</v>
      </c>
      <c r="N40" s="19">
        <v>1</v>
      </c>
      <c r="O40" s="19">
        <v>1</v>
      </c>
      <c r="P40" s="19">
        <v>1</v>
      </c>
      <c r="Q40" s="19">
        <v>1</v>
      </c>
      <c r="R40" s="19">
        <v>1</v>
      </c>
      <c r="S40" s="19">
        <v>1</v>
      </c>
      <c r="T40" s="19">
        <v>1</v>
      </c>
      <c r="U40" s="19">
        <v>1</v>
      </c>
      <c r="V40" s="19">
        <v>1</v>
      </c>
      <c r="W40" s="19">
        <v>1</v>
      </c>
      <c r="X40" s="19">
        <v>1</v>
      </c>
      <c r="Y40" s="19">
        <v>1</v>
      </c>
      <c r="Z40" s="19">
        <v>1</v>
      </c>
    </row>
    <row r="41" spans="1:42" x14ac:dyDescent="0.3">
      <c r="B41" s="1" t="s">
        <v>116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</row>
    <row r="42" spans="1:42" x14ac:dyDescent="0.3">
      <c r="B42" s="1" t="s">
        <v>117</v>
      </c>
      <c r="C42" s="17">
        <v>1.2181999999999999</v>
      </c>
      <c r="D42" s="17">
        <v>1.3529</v>
      </c>
      <c r="E42" s="17">
        <v>1.4577</v>
      </c>
      <c r="F42" s="17">
        <v>1.4246000000000001</v>
      </c>
      <c r="G42" s="17">
        <v>1.4504999999999999</v>
      </c>
      <c r="H42" s="17">
        <v>1.4542999999999999</v>
      </c>
      <c r="I42" s="17">
        <v>1.3333999999999999</v>
      </c>
      <c r="J42" s="17">
        <v>1.3382000000000001</v>
      </c>
      <c r="K42" s="17">
        <v>1.232</v>
      </c>
      <c r="L42" s="17">
        <v>1.0960000000000001</v>
      </c>
      <c r="M42" s="17">
        <v>1.202</v>
      </c>
      <c r="N42" s="17">
        <v>1.1879999999999999</v>
      </c>
      <c r="O42" s="17">
        <v>1.141</v>
      </c>
      <c r="P42" s="17">
        <v>1.175</v>
      </c>
      <c r="Q42" s="17">
        <v>1.216</v>
      </c>
      <c r="R42" s="17">
        <v>1.2809999999999999</v>
      </c>
      <c r="S42" s="17">
        <v>1.294</v>
      </c>
      <c r="T42" s="17">
        <v>1.321</v>
      </c>
      <c r="U42" s="17">
        <v>1.3859999999999999</v>
      </c>
      <c r="V42" s="18">
        <f>R42*1.02</f>
        <v>1.3066199999999999</v>
      </c>
      <c r="W42" s="18">
        <f t="shared" ref="W42:Z42" si="62">S42*1.02</f>
        <v>1.3198800000000002</v>
      </c>
      <c r="X42" s="18">
        <f t="shared" si="62"/>
        <v>1.3474200000000001</v>
      </c>
      <c r="Y42" s="18">
        <f t="shared" si="62"/>
        <v>1.4137199999999999</v>
      </c>
      <c r="Z42" s="18">
        <f t="shared" si="62"/>
        <v>1.3327523999999999</v>
      </c>
    </row>
    <row r="43" spans="1:42" x14ac:dyDescent="0.3">
      <c r="B43" s="1" t="s">
        <v>118</v>
      </c>
      <c r="K43" s="19">
        <v>1</v>
      </c>
      <c r="L43" s="19">
        <v>1</v>
      </c>
      <c r="M43" s="19">
        <v>1</v>
      </c>
      <c r="N43" s="19">
        <v>1</v>
      </c>
      <c r="O43" s="19">
        <v>1</v>
      </c>
      <c r="P43" s="19">
        <v>1</v>
      </c>
      <c r="Q43" s="19">
        <v>1</v>
      </c>
      <c r="R43" s="19">
        <v>1</v>
      </c>
      <c r="S43" s="19">
        <v>1</v>
      </c>
      <c r="T43" s="19">
        <v>1</v>
      </c>
      <c r="U43" s="19">
        <v>1</v>
      </c>
      <c r="V43" s="19">
        <v>1</v>
      </c>
      <c r="W43" s="19">
        <v>1</v>
      </c>
      <c r="X43" s="19">
        <v>1</v>
      </c>
      <c r="Y43" s="19">
        <v>1</v>
      </c>
      <c r="Z43" s="19">
        <v>1</v>
      </c>
    </row>
    <row r="44" spans="1:42" x14ac:dyDescent="0.3">
      <c r="B44" s="1" t="s">
        <v>119</v>
      </c>
      <c r="K44" s="19">
        <v>0.65</v>
      </c>
      <c r="L44" s="19">
        <v>0.7</v>
      </c>
      <c r="M44" s="19">
        <v>0.75</v>
      </c>
      <c r="N44" s="17">
        <v>0.79400000000000004</v>
      </c>
      <c r="O44" s="17">
        <v>0.86599999999999999</v>
      </c>
      <c r="P44" s="17">
        <v>0.92900000000000005</v>
      </c>
      <c r="Q44" s="17">
        <v>0.96199999999999997</v>
      </c>
      <c r="R44" s="17">
        <v>0.93700000000000006</v>
      </c>
      <c r="S44" s="17">
        <v>1</v>
      </c>
      <c r="T44" s="17">
        <v>1.1000000000000001</v>
      </c>
      <c r="U44" s="17">
        <v>1.1100000000000001</v>
      </c>
      <c r="V44" s="18">
        <f>R44*1.2</f>
        <v>1.1244000000000001</v>
      </c>
      <c r="W44" s="18">
        <f t="shared" ref="W44:Z44" si="63">S44*1.2</f>
        <v>1.2</v>
      </c>
      <c r="X44" s="18">
        <f t="shared" si="63"/>
        <v>1.32</v>
      </c>
      <c r="Y44" s="18">
        <f t="shared" si="63"/>
        <v>1.3320000000000001</v>
      </c>
      <c r="Z44" s="18">
        <f t="shared" si="63"/>
        <v>1.34928</v>
      </c>
    </row>
    <row r="46" spans="1:42" s="4" customFormat="1" x14ac:dyDescent="0.3">
      <c r="A46" s="3"/>
      <c r="B46" s="3" t="s">
        <v>120</v>
      </c>
      <c r="C46" s="3"/>
      <c r="D46" s="3"/>
      <c r="E46" s="3"/>
      <c r="F46" s="3"/>
      <c r="G46" s="3"/>
      <c r="H46" s="3"/>
      <c r="I46" s="3"/>
      <c r="J46" s="3"/>
      <c r="K46" s="20">
        <f t="shared" ref="K46:Z46" si="64">SUM(K35:K44)</f>
        <v>21.491199999999999</v>
      </c>
      <c r="L46" s="20">
        <f t="shared" si="64"/>
        <v>21.645</v>
      </c>
      <c r="M46" s="20">
        <f t="shared" si="64"/>
        <v>22.056999999999995</v>
      </c>
      <c r="N46" s="20">
        <f t="shared" si="64"/>
        <v>21.803999999999998</v>
      </c>
      <c r="O46" s="20">
        <f t="shared" si="64"/>
        <v>21.776000000000003</v>
      </c>
      <c r="P46" s="20">
        <f t="shared" si="64"/>
        <v>21.832999999999998</v>
      </c>
      <c r="Q46" s="20">
        <f t="shared" si="64"/>
        <v>22.078000000000003</v>
      </c>
      <c r="R46" s="20">
        <f t="shared" si="64"/>
        <v>21.623000000000001</v>
      </c>
      <c r="S46" s="20">
        <f t="shared" si="64"/>
        <v>21.5</v>
      </c>
      <c r="T46" s="20">
        <f t="shared" si="64"/>
        <v>21.574000000000002</v>
      </c>
      <c r="U46" s="20">
        <f t="shared" si="64"/>
        <v>22.032999999999998</v>
      </c>
      <c r="V46" s="20">
        <f t="shared" si="64"/>
        <v>21.62875</v>
      </c>
      <c r="W46" s="20">
        <f t="shared" si="64"/>
        <v>21.638090000000002</v>
      </c>
      <c r="X46" s="20">
        <f t="shared" si="64"/>
        <v>21.758389999999999</v>
      </c>
      <c r="Y46" s="20">
        <f t="shared" si="64"/>
        <v>22.241000000000003</v>
      </c>
      <c r="Z46" s="20">
        <f t="shared" si="64"/>
        <v>21.834321900000003</v>
      </c>
    </row>
    <row r="48" spans="1:42" x14ac:dyDescent="0.3">
      <c r="B48" s="1" t="s">
        <v>121</v>
      </c>
      <c r="N48" s="5"/>
      <c r="O48" s="5">
        <f>O46/K46-1</f>
        <v>1.3251935675997917E-2</v>
      </c>
      <c r="P48" s="5">
        <f t="shared" ref="P48:T48" si="65">P46/L46-1</f>
        <v>8.6856086856086367E-3</v>
      </c>
      <c r="Q48" s="5">
        <f t="shared" si="65"/>
        <v>9.5207870517333149E-4</v>
      </c>
      <c r="R48" s="5">
        <f t="shared" si="65"/>
        <v>-8.3012291322691611E-3</v>
      </c>
      <c r="S48" s="5">
        <f t="shared" si="65"/>
        <v>-1.2674504041146339E-2</v>
      </c>
      <c r="T48" s="5">
        <f t="shared" si="65"/>
        <v>-1.1862776530939256E-2</v>
      </c>
      <c r="U48" s="5">
        <f>U46/Q46-1</f>
        <v>-2.0382281003716862E-3</v>
      </c>
      <c r="V48" s="5">
        <f t="shared" ref="V48:Z48" si="66">V46/R46-1</f>
        <v>2.6592054756502392E-4</v>
      </c>
      <c r="W48" s="5">
        <f t="shared" si="66"/>
        <v>6.4227906976745963E-3</v>
      </c>
      <c r="X48" s="5">
        <f t="shared" si="66"/>
        <v>8.546861963474317E-3</v>
      </c>
      <c r="Y48" s="5">
        <f t="shared" si="66"/>
        <v>9.4403848772297572E-3</v>
      </c>
      <c r="Z48" s="5">
        <f t="shared" si="66"/>
        <v>9.5045668381206205E-3</v>
      </c>
    </row>
    <row r="51" spans="1:26" x14ac:dyDescent="0.3">
      <c r="B51" s="1" t="s">
        <v>122</v>
      </c>
      <c r="K51" s="18">
        <v>13.76</v>
      </c>
      <c r="L51" s="18">
        <v>13.75</v>
      </c>
      <c r="M51" s="18">
        <v>13.82</v>
      </c>
      <c r="N51" s="18">
        <v>13.67</v>
      </c>
      <c r="O51" s="18">
        <v>13.8</v>
      </c>
      <c r="P51" s="18">
        <v>15.11</v>
      </c>
      <c r="Q51" s="18">
        <v>16.28</v>
      </c>
      <c r="R51" s="18">
        <v>16.489999999999998</v>
      </c>
      <c r="S51" s="18">
        <v>16.52</v>
      </c>
      <c r="T51" s="18">
        <v>16.600000000000001</v>
      </c>
      <c r="U51" s="18">
        <v>16.87</v>
      </c>
      <c r="V51" s="18">
        <v>17</v>
      </c>
      <c r="W51" s="18">
        <v>17.100000000000001</v>
      </c>
      <c r="X51" s="18">
        <v>17.399999999999999</v>
      </c>
      <c r="Y51" s="18">
        <v>17.75</v>
      </c>
      <c r="Z51" s="18">
        <v>17.8</v>
      </c>
    </row>
    <row r="52" spans="1:26" x14ac:dyDescent="0.3">
      <c r="B52" s="1" t="s">
        <v>123</v>
      </c>
      <c r="K52" s="18">
        <v>29.18</v>
      </c>
      <c r="L52" s="18">
        <v>29.37</v>
      </c>
      <c r="M52" s="18">
        <v>28.83</v>
      </c>
      <c r="N52" s="18">
        <v>28.64</v>
      </c>
      <c r="O52" s="18">
        <v>27.93</v>
      </c>
      <c r="P52" s="18">
        <v>28.21</v>
      </c>
      <c r="Q52" s="18">
        <v>28.38</v>
      </c>
      <c r="R52" s="18">
        <v>27.37</v>
      </c>
      <c r="S52" s="18">
        <v>26.35</v>
      </c>
      <c r="T52" s="18">
        <v>25.8</v>
      </c>
      <c r="U52" s="18">
        <v>25.58</v>
      </c>
      <c r="V52" s="18">
        <v>25.25</v>
      </c>
      <c r="W52" s="18">
        <v>25</v>
      </c>
      <c r="X52" s="18">
        <v>24.8</v>
      </c>
      <c r="Y52" s="18">
        <v>24.4</v>
      </c>
      <c r="Z52" s="18">
        <v>24</v>
      </c>
    </row>
    <row r="53" spans="1:26" x14ac:dyDescent="0.3">
      <c r="B53" s="1" t="s">
        <v>124</v>
      </c>
      <c r="K53" s="18">
        <v>23.03</v>
      </c>
      <c r="L53" s="18">
        <v>23.25</v>
      </c>
      <c r="M53" s="18">
        <v>24.85</v>
      </c>
      <c r="N53" s="18">
        <v>25.2</v>
      </c>
      <c r="O53" s="18">
        <v>25.44</v>
      </c>
      <c r="P53" s="18">
        <v>25.23</v>
      </c>
      <c r="Q53" s="18">
        <v>26.95</v>
      </c>
      <c r="R53" s="18">
        <v>28.41</v>
      </c>
      <c r="S53" s="18">
        <v>28.98</v>
      </c>
      <c r="T53" s="18">
        <v>30.01</v>
      </c>
      <c r="U53" s="18">
        <v>30.25</v>
      </c>
      <c r="V53" s="18">
        <v>30.5</v>
      </c>
      <c r="W53" s="18">
        <v>30.8</v>
      </c>
      <c r="X53" s="18">
        <v>31.2</v>
      </c>
      <c r="Y53" s="18">
        <v>31.45</v>
      </c>
      <c r="Z53" s="18">
        <v>32</v>
      </c>
    </row>
    <row r="54" spans="1:26" x14ac:dyDescent="0.3">
      <c r="B54" s="1" t="s">
        <v>125</v>
      </c>
      <c r="K54" s="18">
        <v>17.149999999999999</v>
      </c>
      <c r="L54" s="18">
        <v>17.2</v>
      </c>
      <c r="M54" s="18">
        <v>17.559999999999999</v>
      </c>
      <c r="N54" s="18">
        <v>17.989999999999998</v>
      </c>
      <c r="O54" s="18">
        <v>18.149999999999999</v>
      </c>
      <c r="P54" s="18">
        <v>18.71</v>
      </c>
      <c r="Q54" s="18">
        <v>19</v>
      </c>
      <c r="R54" s="18">
        <v>19.37</v>
      </c>
      <c r="S54" s="18">
        <v>19.8</v>
      </c>
      <c r="T54" s="18">
        <v>19.73</v>
      </c>
      <c r="U54" s="18">
        <v>20.14</v>
      </c>
      <c r="V54" s="18">
        <v>20.149999999999999</v>
      </c>
      <c r="W54" s="18">
        <v>20.3</v>
      </c>
      <c r="X54" s="18">
        <v>20.350000000000001</v>
      </c>
      <c r="Y54" s="18">
        <v>20.399999999999999</v>
      </c>
      <c r="Z54" s="18">
        <v>20.45</v>
      </c>
    </row>
    <row r="55" spans="1:26" x14ac:dyDescent="0.3">
      <c r="B55" s="1" t="s">
        <v>126</v>
      </c>
      <c r="U55" s="18"/>
    </row>
    <row r="56" spans="1:26" x14ac:dyDescent="0.3">
      <c r="B56" s="1" t="s">
        <v>127</v>
      </c>
    </row>
    <row r="57" spans="1:26" x14ac:dyDescent="0.3">
      <c r="B57" s="1" t="s">
        <v>128</v>
      </c>
    </row>
    <row r="58" spans="1:26" x14ac:dyDescent="0.3">
      <c r="B58" s="1" t="s">
        <v>129</v>
      </c>
      <c r="K58" s="18">
        <v>15.1</v>
      </c>
      <c r="L58" s="18">
        <v>15.45</v>
      </c>
      <c r="M58" s="18">
        <v>14.42</v>
      </c>
      <c r="N58" s="18">
        <v>14.25</v>
      </c>
      <c r="O58" s="18">
        <v>14.23</v>
      </c>
      <c r="P58" s="18">
        <v>14.7</v>
      </c>
      <c r="Q58" s="18">
        <v>14.72</v>
      </c>
      <c r="R58" s="18">
        <v>13.77</v>
      </c>
      <c r="S58" s="18">
        <v>13.4</v>
      </c>
      <c r="T58" s="18">
        <v>12.77</v>
      </c>
      <c r="U58" s="18">
        <v>12.84</v>
      </c>
      <c r="V58" s="18">
        <v>12.75</v>
      </c>
      <c r="W58" s="18">
        <v>12.6</v>
      </c>
      <c r="X58" s="18">
        <v>12.5</v>
      </c>
      <c r="Y58" s="18">
        <v>12.25</v>
      </c>
      <c r="Z58" s="18">
        <v>12</v>
      </c>
    </row>
    <row r="59" spans="1:26" x14ac:dyDescent="0.3">
      <c r="B59" s="1" t="s">
        <v>130</v>
      </c>
    </row>
    <row r="60" spans="1:26" x14ac:dyDescent="0.3">
      <c r="B60" s="1" t="s">
        <v>131</v>
      </c>
      <c r="K60" s="19">
        <v>17.5</v>
      </c>
      <c r="L60" s="19">
        <v>18</v>
      </c>
      <c r="M60" s="19">
        <v>18.5</v>
      </c>
      <c r="N60" s="18">
        <v>18.89</v>
      </c>
      <c r="O60" s="18">
        <v>18.510000000000002</v>
      </c>
      <c r="P60" s="18">
        <v>19.09</v>
      </c>
      <c r="Q60" s="18">
        <v>21.34</v>
      </c>
      <c r="R60" s="18">
        <v>22.06</v>
      </c>
      <c r="S60" s="18">
        <v>21.33</v>
      </c>
      <c r="T60" s="18">
        <v>21.21</v>
      </c>
      <c r="U60" s="18">
        <v>23.12</v>
      </c>
      <c r="V60" s="18">
        <v>23</v>
      </c>
      <c r="W60" s="18">
        <v>23.25</v>
      </c>
      <c r="X60" s="18">
        <v>23</v>
      </c>
      <c r="Y60" s="18">
        <v>23.4</v>
      </c>
      <c r="Z60" s="18">
        <v>23.5</v>
      </c>
    </row>
    <row r="62" spans="1:26" s="4" customFormat="1" x14ac:dyDescent="0.3">
      <c r="A62" s="3"/>
      <c r="B62" s="3" t="s">
        <v>132</v>
      </c>
      <c r="C62" s="3"/>
      <c r="D62" s="3"/>
      <c r="E62" s="3"/>
      <c r="F62" s="3"/>
      <c r="G62" s="3"/>
      <c r="H62" s="3"/>
      <c r="I62" s="3"/>
      <c r="J62" s="3"/>
      <c r="K62" s="20">
        <f t="shared" ref="K62:Z62" si="67">AVERAGE(K51:K60)</f>
        <v>19.286666666666665</v>
      </c>
      <c r="L62" s="20">
        <f t="shared" si="67"/>
        <v>19.503333333333334</v>
      </c>
      <c r="M62" s="20">
        <f t="shared" si="67"/>
        <v>19.663333333333334</v>
      </c>
      <c r="N62" s="20">
        <f t="shared" si="67"/>
        <v>19.773333333333333</v>
      </c>
      <c r="O62" s="20">
        <f t="shared" si="67"/>
        <v>19.676666666666666</v>
      </c>
      <c r="P62" s="20">
        <f t="shared" si="67"/>
        <v>20.175000000000001</v>
      </c>
      <c r="Q62" s="20">
        <f t="shared" si="67"/>
        <v>21.111666666666668</v>
      </c>
      <c r="R62" s="20">
        <f t="shared" si="67"/>
        <v>21.245000000000001</v>
      </c>
      <c r="S62" s="20">
        <f t="shared" si="67"/>
        <v>21.063333333333336</v>
      </c>
      <c r="T62" s="20">
        <f t="shared" si="67"/>
        <v>21.02</v>
      </c>
      <c r="U62" s="20">
        <f t="shared" si="67"/>
        <v>21.466666666666669</v>
      </c>
      <c r="V62" s="20">
        <f t="shared" si="67"/>
        <v>21.441666666666666</v>
      </c>
      <c r="W62" s="20">
        <f t="shared" si="67"/>
        <v>21.508333333333336</v>
      </c>
      <c r="X62" s="20">
        <f t="shared" si="67"/>
        <v>21.541666666666668</v>
      </c>
      <c r="Y62" s="20">
        <f t="shared" si="67"/>
        <v>21.608333333333334</v>
      </c>
      <c r="Z62" s="20">
        <f t="shared" si="67"/>
        <v>21.625</v>
      </c>
    </row>
    <row r="64" spans="1:26" x14ac:dyDescent="0.3">
      <c r="B64" s="1" t="s">
        <v>133</v>
      </c>
      <c r="O64" s="5">
        <f t="shared" ref="O64:T64" si="68">O62/K62-1</f>
        <v>2.0221223643276831E-2</v>
      </c>
      <c r="P64" s="5">
        <f t="shared" si="68"/>
        <v>3.4438557511536461E-2</v>
      </c>
      <c r="Q64" s="5">
        <f t="shared" si="68"/>
        <v>7.365655195795906E-2</v>
      </c>
      <c r="R64" s="5">
        <f t="shared" si="68"/>
        <v>7.4426837491571085E-2</v>
      </c>
      <c r="S64" s="5">
        <f t="shared" si="68"/>
        <v>7.0472641029984961E-2</v>
      </c>
      <c r="T64" s="5">
        <f t="shared" si="68"/>
        <v>4.1883519206939113E-2</v>
      </c>
      <c r="U64" s="5">
        <f>U62/Q62-1</f>
        <v>1.6815346964553557E-2</v>
      </c>
      <c r="V64" s="5">
        <f t="shared" ref="V64:Z64" si="69">V62/R62-1</f>
        <v>9.25708009727777E-3</v>
      </c>
      <c r="W64" s="5">
        <f t="shared" si="69"/>
        <v>2.1126760563380254E-2</v>
      </c>
      <c r="X64" s="5">
        <f t="shared" si="69"/>
        <v>2.4817633999365762E-2</v>
      </c>
      <c r="Y64" s="5">
        <f t="shared" si="69"/>
        <v>6.5993788819875832E-3</v>
      </c>
      <c r="Z64" s="5">
        <f t="shared" si="69"/>
        <v>8.5503303536726971E-3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Universe</vt:lpstr>
      <vt:lpstr>Top Dating Apps</vt:lpstr>
      <vt:lpstr>Market 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Grenci</dc:creator>
  <cp:lastModifiedBy>Michael Grenci</cp:lastModifiedBy>
  <dcterms:created xsi:type="dcterms:W3CDTF">2024-12-28T01:20:48Z</dcterms:created>
  <dcterms:modified xsi:type="dcterms:W3CDTF">2024-12-31T20:16:53Z</dcterms:modified>
</cp:coreProperties>
</file>