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Technology\"/>
    </mc:Choice>
  </mc:AlternateContent>
  <xr:revisionPtr revIDLastSave="0" documentId="13_ncr:1_{70E2BB1A-09CA-48A1-8A14-2777A667063A}" xr6:coauthVersionLast="47" xr6:coauthVersionMax="47" xr10:uidLastSave="{00000000-0000-0000-0000-000000000000}"/>
  <bookViews>
    <workbookView xWindow="-110" yWindow="-110" windowWidth="38620" windowHeight="21100" xr2:uid="{CFF17B62-4CC5-4E25-AF9B-C6214E179514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1" l="1"/>
  <c r="CY10" i="1"/>
  <c r="CY11" i="1"/>
  <c r="CY12" i="1"/>
  <c r="CY13" i="1"/>
  <c r="CY14" i="1"/>
  <c r="CY15" i="1"/>
  <c r="CY16" i="1"/>
  <c r="CY17" i="1"/>
  <c r="CY18" i="1"/>
  <c r="CY19" i="1"/>
  <c r="CY20" i="1"/>
  <c r="CY21" i="1"/>
  <c r="CY22" i="1"/>
  <c r="CY23" i="1"/>
  <c r="CY24" i="1"/>
  <c r="CY25" i="1"/>
  <c r="CR10" i="1"/>
  <c r="CR11" i="1"/>
  <c r="CR12" i="1"/>
  <c r="CR13" i="1"/>
  <c r="CR14" i="1"/>
  <c r="CR15" i="1"/>
  <c r="CR16" i="1"/>
  <c r="CR17" i="1"/>
  <c r="CR18" i="1"/>
  <c r="CR19" i="1"/>
  <c r="CR20" i="1"/>
  <c r="CR21" i="1"/>
  <c r="CR22" i="1"/>
  <c r="CR23" i="1"/>
  <c r="CR24" i="1"/>
  <c r="CR25" i="1"/>
  <c r="CR26" i="1"/>
  <c r="CR27" i="1"/>
  <c r="CR28" i="1"/>
  <c r="CR29" i="1"/>
  <c r="CR30" i="1"/>
  <c r="CR31" i="1"/>
  <c r="CR32" i="1"/>
  <c r="CR33" i="1"/>
  <c r="CR34" i="1"/>
  <c r="CR35" i="1"/>
  <c r="CR36" i="1"/>
  <c r="CR37" i="1"/>
  <c r="CR38" i="1"/>
  <c r="CR39" i="1"/>
  <c r="CR40" i="1"/>
  <c r="CR41" i="1"/>
  <c r="CR42" i="1"/>
  <c r="CL10" i="1"/>
  <c r="CL11" i="1"/>
  <c r="CL12" i="1"/>
  <c r="CL13" i="1"/>
  <c r="CL14" i="1"/>
  <c r="CL15" i="1"/>
  <c r="CL16" i="1"/>
  <c r="CL17" i="1"/>
  <c r="CL18" i="1"/>
  <c r="CL19" i="1"/>
  <c r="CL20" i="1"/>
  <c r="CL21" i="1"/>
  <c r="CL22" i="1"/>
  <c r="CL23" i="1"/>
  <c r="CL24" i="1"/>
  <c r="CE10" i="1"/>
  <c r="CE11" i="1"/>
  <c r="CE12" i="1"/>
  <c r="CE13" i="1"/>
  <c r="CE14" i="1"/>
  <c r="CE15" i="1"/>
  <c r="CE16" i="1"/>
  <c r="CE17" i="1"/>
  <c r="CE18" i="1"/>
  <c r="CE19" i="1"/>
  <c r="CE20" i="1"/>
  <c r="CE21" i="1"/>
  <c r="CE22" i="1"/>
  <c r="CE23" i="1"/>
  <c r="CE24" i="1"/>
  <c r="CE25" i="1"/>
  <c r="CE26" i="1"/>
  <c r="CE27" i="1"/>
  <c r="CE28" i="1"/>
  <c r="CE29" i="1"/>
  <c r="BX10" i="1"/>
  <c r="BX11" i="1"/>
  <c r="BX12" i="1"/>
  <c r="BX13" i="1"/>
  <c r="BX14" i="1"/>
  <c r="BX15" i="1"/>
  <c r="BX16" i="1"/>
  <c r="BX17" i="1"/>
  <c r="BX18" i="1"/>
  <c r="BX19" i="1"/>
  <c r="BX20" i="1"/>
  <c r="BX21" i="1"/>
  <c r="BQ10" i="1"/>
  <c r="BQ11" i="1"/>
  <c r="BQ12" i="1"/>
  <c r="BQ13" i="1"/>
  <c r="BQ14" i="1"/>
  <c r="BQ15" i="1"/>
  <c r="BQ16" i="1"/>
  <c r="BQ17" i="1"/>
  <c r="BQ18" i="1"/>
  <c r="BQ19" i="1"/>
  <c r="BQ20" i="1"/>
  <c r="BQ21" i="1"/>
  <c r="BQ22" i="1"/>
  <c r="BQ23" i="1"/>
  <c r="BQ24" i="1"/>
  <c r="BQ25" i="1"/>
  <c r="BQ26" i="1"/>
  <c r="BQ27" i="1"/>
  <c r="BQ28" i="1"/>
  <c r="BQ29" i="1"/>
  <c r="BQ30" i="1"/>
  <c r="BQ31" i="1"/>
  <c r="BQ32" i="1"/>
  <c r="BQ33" i="1"/>
  <c r="BQ34" i="1"/>
  <c r="BQ35" i="1"/>
  <c r="BQ36" i="1"/>
  <c r="BQ37" i="1"/>
  <c r="BQ38" i="1"/>
  <c r="BQ39" i="1"/>
  <c r="BQ40" i="1"/>
  <c r="BQ41" i="1"/>
  <c r="BJ10" i="1"/>
  <c r="BJ11" i="1"/>
  <c r="BJ12" i="1"/>
  <c r="BJ13" i="1"/>
  <c r="BJ14" i="1"/>
  <c r="BJ15" i="1"/>
  <c r="BJ16" i="1"/>
  <c r="BJ17" i="1"/>
  <c r="BJ18" i="1"/>
  <c r="BJ19" i="1"/>
  <c r="BJ20" i="1"/>
  <c r="BJ21" i="1"/>
  <c r="BJ22" i="1"/>
  <c r="BJ23" i="1"/>
  <c r="BJ24" i="1"/>
  <c r="BJ25" i="1"/>
  <c r="BJ26" i="1"/>
  <c r="BJ27" i="1"/>
  <c r="BJ28" i="1"/>
  <c r="BC10" i="1"/>
  <c r="BC11" i="1"/>
  <c r="BC12" i="1"/>
  <c r="BC13" i="1"/>
  <c r="BC14" i="1"/>
  <c r="BC15" i="1"/>
  <c r="BC16" i="1"/>
  <c r="BC17" i="1"/>
  <c r="BC18" i="1"/>
  <c r="BC19" i="1"/>
  <c r="BC20" i="1"/>
  <c r="BC21" i="1"/>
  <c r="BC22" i="1"/>
  <c r="BC23" i="1"/>
  <c r="BC24" i="1"/>
  <c r="BC25" i="1"/>
  <c r="BC26" i="1"/>
  <c r="BC27" i="1"/>
  <c r="BC28" i="1"/>
  <c r="BC29" i="1"/>
  <c r="BC30" i="1"/>
  <c r="BC31" i="1"/>
  <c r="AP10" i="1"/>
  <c r="AP11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32" i="1"/>
  <c r="AP33" i="1"/>
  <c r="AP34" i="1"/>
  <c r="AP35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</calcChain>
</file>

<file path=xl/sharedStrings.xml><?xml version="1.0" encoding="utf-8"?>
<sst xmlns="http://schemas.openxmlformats.org/spreadsheetml/2006/main" count="568" uniqueCount="539">
  <si>
    <t xml:space="preserve">Screening Criteria </t>
  </si>
  <si>
    <t xml:space="preserve">300M+ Market Cap </t>
  </si>
  <si>
    <t xml:space="preserve">Volume &gt; 100K </t>
  </si>
  <si>
    <t>Symbol</t>
  </si>
  <si>
    <t>Description</t>
  </si>
  <si>
    <t>ADBE</t>
  </si>
  <si>
    <t>CRM</t>
  </si>
  <si>
    <t>SAP</t>
  </si>
  <si>
    <t>INTU</t>
  </si>
  <si>
    <t>SNPS</t>
  </si>
  <si>
    <t>CDNS</t>
  </si>
  <si>
    <t>ROP</t>
  </si>
  <si>
    <t>WDAY</t>
  </si>
  <si>
    <t>ADSK</t>
  </si>
  <si>
    <t>PLTR</t>
  </si>
  <si>
    <t>TEAM</t>
  </si>
  <si>
    <t>DDOG</t>
  </si>
  <si>
    <t>ANSS</t>
  </si>
  <si>
    <t>HUBS</t>
  </si>
  <si>
    <t>FICO</t>
  </si>
  <si>
    <t>PTC</t>
  </si>
  <si>
    <t>ZM</t>
  </si>
  <si>
    <t>SPLK</t>
  </si>
  <si>
    <t>TYL</t>
  </si>
  <si>
    <t>NICE</t>
  </si>
  <si>
    <t>U</t>
  </si>
  <si>
    <t>DT</t>
  </si>
  <si>
    <t>BSY</t>
  </si>
  <si>
    <t>AZPN</t>
  </si>
  <si>
    <t>MANH</t>
  </si>
  <si>
    <t>BKI</t>
  </si>
  <si>
    <t>APP</t>
  </si>
  <si>
    <t>BILL</t>
  </si>
  <si>
    <t>OTEX</t>
  </si>
  <si>
    <t>DOCU</t>
  </si>
  <si>
    <t>PCOR</t>
  </si>
  <si>
    <t>DBX</t>
  </si>
  <si>
    <t>NTNX</t>
  </si>
  <si>
    <t>CFLT</t>
  </si>
  <si>
    <t>CCCS</t>
  </si>
  <si>
    <t>GWRE</t>
  </si>
  <si>
    <t>SPSC</t>
  </si>
  <si>
    <t>ESTC</t>
  </si>
  <si>
    <t>NEWR</t>
  </si>
  <si>
    <t>DV</t>
  </si>
  <si>
    <t>SMAR</t>
  </si>
  <si>
    <t>FIVN</t>
  </si>
  <si>
    <t>INFA</t>
  </si>
  <si>
    <t>WK</t>
  </si>
  <si>
    <t>MSTR</t>
  </si>
  <si>
    <t>BOX</t>
  </si>
  <si>
    <t>FRSH</t>
  </si>
  <si>
    <t>NCR</t>
  </si>
  <si>
    <t>IOT</t>
  </si>
  <si>
    <t>BLKB</t>
  </si>
  <si>
    <t>PEGA</t>
  </si>
  <si>
    <t>AUR</t>
  </si>
  <si>
    <t>AI</t>
  </si>
  <si>
    <t>OPRA</t>
  </si>
  <si>
    <t>PWSC</t>
  </si>
  <si>
    <t>ALTR</t>
  </si>
  <si>
    <t>NCNO</t>
  </si>
  <si>
    <t>BL</t>
  </si>
  <si>
    <t>ENV</t>
  </si>
  <si>
    <t>ALRM</t>
  </si>
  <si>
    <t>HCP</t>
  </si>
  <si>
    <t>ESMT</t>
  </si>
  <si>
    <t>ASAN</t>
  </si>
  <si>
    <t>BRZE</t>
  </si>
  <si>
    <t>ACIW</t>
  </si>
  <si>
    <t>RIOT</t>
  </si>
  <si>
    <t>RNG</t>
  </si>
  <si>
    <t>MARA</t>
  </si>
  <si>
    <t>LSPD</t>
  </si>
  <si>
    <t>INTA</t>
  </si>
  <si>
    <t>VRNT</t>
  </si>
  <si>
    <t>SPT</t>
  </si>
  <si>
    <t>PD</t>
  </si>
  <si>
    <t>IDCC</t>
  </si>
  <si>
    <t>JAMF</t>
  </si>
  <si>
    <t>RAMP</t>
  </si>
  <si>
    <t>YOU</t>
  </si>
  <si>
    <t>QTWO</t>
  </si>
  <si>
    <t>AYX</t>
  </si>
  <si>
    <t>CXM</t>
  </si>
  <si>
    <t>SPNS</t>
  </si>
  <si>
    <t>PRO</t>
  </si>
  <si>
    <t>ETWO</t>
  </si>
  <si>
    <t>CLBT</t>
  </si>
  <si>
    <t>CWAN</t>
  </si>
  <si>
    <t>ZETA</t>
  </si>
  <si>
    <t>ALKT</t>
  </si>
  <si>
    <t>AVPT</t>
  </si>
  <si>
    <t>PGY</t>
  </si>
  <si>
    <t>FORG</t>
  </si>
  <si>
    <t>VERX</t>
  </si>
  <si>
    <t>MODN</t>
  </si>
  <si>
    <t>SEMR</t>
  </si>
  <si>
    <t>YEXT</t>
  </si>
  <si>
    <t>API</t>
  </si>
  <si>
    <t>CRNC</t>
  </si>
  <si>
    <t>EVBG</t>
  </si>
  <si>
    <t>CLSK</t>
  </si>
  <si>
    <t>AMPL</t>
  </si>
  <si>
    <t>APPS</t>
  </si>
  <si>
    <t>CIFR</t>
  </si>
  <si>
    <t>MTTR</t>
  </si>
  <si>
    <t>WKME</t>
  </si>
  <si>
    <t>TUYA</t>
  </si>
  <si>
    <t>WEAV</t>
  </si>
  <si>
    <t>OLO</t>
  </si>
  <si>
    <t>APLD</t>
  </si>
  <si>
    <t>ARBK</t>
  </si>
  <si>
    <t>ENFN</t>
  </si>
  <si>
    <t>LAW</t>
  </si>
  <si>
    <t>XNET</t>
  </si>
  <si>
    <t>HUT</t>
  </si>
  <si>
    <t>MITK</t>
  </si>
  <si>
    <t>DOMO</t>
  </si>
  <si>
    <t>WULF</t>
  </si>
  <si>
    <t>RSKD</t>
  </si>
  <si>
    <t>SMWB</t>
  </si>
  <si>
    <t>NN</t>
  </si>
  <si>
    <t>EBIX</t>
  </si>
  <si>
    <t>SOUN</t>
  </si>
  <si>
    <t>EGHT</t>
  </si>
  <si>
    <t>MTLS</t>
  </si>
  <si>
    <t>BITF</t>
  </si>
  <si>
    <t>HIVE</t>
  </si>
  <si>
    <t>AMSWA</t>
  </si>
  <si>
    <t>CGNT</t>
  </si>
  <si>
    <t>LPSN</t>
  </si>
  <si>
    <t>BLND</t>
  </si>
  <si>
    <t>EXFY</t>
  </si>
  <si>
    <t>ONTF</t>
  </si>
  <si>
    <t>Application Software</t>
  </si>
  <si>
    <t>MSFT</t>
  </si>
  <si>
    <t>ORCL</t>
  </si>
  <si>
    <t>NOW</t>
  </si>
  <si>
    <t>VMW</t>
  </si>
  <si>
    <t>PANW</t>
  </si>
  <si>
    <t>FTNT</t>
  </si>
  <si>
    <t>CRWD</t>
  </si>
  <si>
    <t>ZS</t>
  </si>
  <si>
    <t>CHKP</t>
  </si>
  <si>
    <t>GEN</t>
  </si>
  <si>
    <t>MNDY</t>
  </si>
  <si>
    <t>PATH</t>
  </si>
  <si>
    <t>CYBR</t>
  </si>
  <si>
    <t>QLYS</t>
  </si>
  <si>
    <t>TENB</t>
  </si>
  <si>
    <t>DLB</t>
  </si>
  <si>
    <t>TDC</t>
  </si>
  <si>
    <t>GTLB</t>
  </si>
  <si>
    <t>S</t>
  </si>
  <si>
    <t>VRNS</t>
  </si>
  <si>
    <t>CVLT</t>
  </si>
  <si>
    <t>RPD</t>
  </si>
  <si>
    <t>FROG</t>
  </si>
  <si>
    <t>BB</t>
  </si>
  <si>
    <t>PRGS</t>
  </si>
  <si>
    <t>NABL</t>
  </si>
  <si>
    <t>APPN</t>
  </si>
  <si>
    <t>SWI</t>
  </si>
  <si>
    <t>ZUO</t>
  </si>
  <si>
    <t>ATEN</t>
  </si>
  <si>
    <t>ADEA</t>
  </si>
  <si>
    <t>XPER</t>
  </si>
  <si>
    <t>OSPN</t>
  </si>
  <si>
    <t>Systems Software</t>
  </si>
  <si>
    <t>SHOP</t>
  </si>
  <si>
    <t>SNOW</t>
  </si>
  <si>
    <t>MDB</t>
  </si>
  <si>
    <t>VRSN</t>
  </si>
  <si>
    <t>KC</t>
  </si>
  <si>
    <t>NET</t>
  </si>
  <si>
    <t>GDS</t>
  </si>
  <si>
    <t>AKAM</t>
  </si>
  <si>
    <t>OKTA</t>
  </si>
  <si>
    <t>TWLO</t>
  </si>
  <si>
    <t>GDDY</t>
  </si>
  <si>
    <t>WIX</t>
  </si>
  <si>
    <t>CD</t>
  </si>
  <si>
    <t>DOCN</t>
  </si>
  <si>
    <t>SQSP</t>
  </si>
  <si>
    <t>VNET</t>
  </si>
  <si>
    <t>FSLY</t>
  </si>
  <si>
    <t>BIGC</t>
  </si>
  <si>
    <t>RXT</t>
  </si>
  <si>
    <t>CORZQ</t>
  </si>
  <si>
    <t>Internet Services</t>
  </si>
  <si>
    <t>ACN</t>
  </si>
  <si>
    <t>IBM</t>
  </si>
  <si>
    <t>INFY</t>
  </si>
  <si>
    <t>CTSH</t>
  </si>
  <si>
    <t>IT</t>
  </si>
  <si>
    <t>WIT</t>
  </si>
  <si>
    <t>EPAM</t>
  </si>
  <si>
    <t>DOX</t>
  </si>
  <si>
    <t>GLOB</t>
  </si>
  <si>
    <t>CGEMY</t>
  </si>
  <si>
    <t>DXC</t>
  </si>
  <si>
    <t>KD</t>
  </si>
  <si>
    <t>PRFT</t>
  </si>
  <si>
    <t>DAVA</t>
  </si>
  <si>
    <t>TWKS</t>
  </si>
  <si>
    <t>GDYN</t>
  </si>
  <si>
    <t>HCKT</t>
  </si>
  <si>
    <t>Consulting</t>
  </si>
  <si>
    <t>GOOGL</t>
  </si>
  <si>
    <t>GOOG</t>
  </si>
  <si>
    <t>META</t>
  </si>
  <si>
    <t>TCEHY</t>
  </si>
  <si>
    <t>BIDU</t>
  </si>
  <si>
    <t>DUO</t>
  </si>
  <si>
    <t>YY</t>
  </si>
  <si>
    <t>ATHM</t>
  </si>
  <si>
    <t>PINS</t>
  </si>
  <si>
    <t>SNAP</t>
  </si>
  <si>
    <t>MTCH</t>
  </si>
  <si>
    <t>BZ</t>
  </si>
  <si>
    <t>ZI</t>
  </si>
  <si>
    <t>IAC</t>
  </si>
  <si>
    <t>MOMO</t>
  </si>
  <si>
    <t>ZD</t>
  </si>
  <si>
    <t>YELP</t>
  </si>
  <si>
    <t>BMBL</t>
  </si>
  <si>
    <t>WB</t>
  </si>
  <si>
    <t>TRIP</t>
  </si>
  <si>
    <t>ATDRY</t>
  </si>
  <si>
    <t>CARG</t>
  </si>
  <si>
    <t>GETY</t>
  </si>
  <si>
    <t>SSTK</t>
  </si>
  <si>
    <t>CARS</t>
  </si>
  <si>
    <t>ZIP</t>
  </si>
  <si>
    <t>TBLA</t>
  </si>
  <si>
    <t>EB</t>
  </si>
  <si>
    <t>GRND</t>
  </si>
  <si>
    <t>RUM</t>
  </si>
  <si>
    <t>FUBO</t>
  </si>
  <si>
    <t>YALA</t>
  </si>
  <si>
    <t>VMEO</t>
  </si>
  <si>
    <t>QNST</t>
  </si>
  <si>
    <t>VTEX</t>
  </si>
  <si>
    <t>MAX</t>
  </si>
  <si>
    <t>KIND</t>
  </si>
  <si>
    <t>ZH</t>
  </si>
  <si>
    <t>Media</t>
  </si>
  <si>
    <t>NTES</t>
  </si>
  <si>
    <t>ATVI</t>
  </si>
  <si>
    <t>EA</t>
  </si>
  <si>
    <t>TTWO</t>
  </si>
  <si>
    <t>SE</t>
  </si>
  <si>
    <t>RBLX</t>
  </si>
  <si>
    <t>NTDOY</t>
  </si>
  <si>
    <t>BILI</t>
  </si>
  <si>
    <t>PLTK</t>
  </si>
  <si>
    <t>NCTY</t>
  </si>
  <si>
    <t>SCPL</t>
  </si>
  <si>
    <t>MYPS</t>
  </si>
  <si>
    <t xml:space="preserve">Interactive Entertainment </t>
  </si>
  <si>
    <t xml:space="preserve">Universe </t>
  </si>
  <si>
    <t>NFLX</t>
  </si>
  <si>
    <t>DIS</t>
  </si>
  <si>
    <t>WBD</t>
  </si>
  <si>
    <t>SPOT</t>
  </si>
  <si>
    <t>LYV</t>
  </si>
  <si>
    <t>IQ</t>
  </si>
  <si>
    <t>FWONK</t>
  </si>
  <si>
    <t>TME</t>
  </si>
  <si>
    <t>ROKU</t>
  </si>
  <si>
    <t>EDR</t>
  </si>
  <si>
    <t>WWE</t>
  </si>
  <si>
    <t>WMG</t>
  </si>
  <si>
    <t>MSGS</t>
  </si>
  <si>
    <t>CNK</t>
  </si>
  <si>
    <t>APE</t>
  </si>
  <si>
    <t>AMC</t>
  </si>
  <si>
    <t>BATRK</t>
  </si>
  <si>
    <t>MSGE</t>
  </si>
  <si>
    <t>MANU</t>
  </si>
  <si>
    <t>SPHR</t>
  </si>
  <si>
    <t>LGF/B</t>
  </si>
  <si>
    <t>IMAX</t>
  </si>
  <si>
    <t>SEAT</t>
  </si>
  <si>
    <t>LGF/A</t>
  </si>
  <si>
    <t>LIZI</t>
  </si>
  <si>
    <t>MCS</t>
  </si>
  <si>
    <t>Entertainment</t>
  </si>
  <si>
    <t xml:space="preserve">Other </t>
  </si>
  <si>
    <t>AAPL</t>
  </si>
  <si>
    <t>AMZN</t>
  </si>
  <si>
    <t>ADP</t>
  </si>
  <si>
    <t>PAYX</t>
  </si>
  <si>
    <t>PAYC</t>
  </si>
  <si>
    <t>CDAY</t>
  </si>
  <si>
    <t>RCRUY</t>
  </si>
  <si>
    <t>PCTY</t>
  </si>
  <si>
    <t>RHI</t>
  </si>
  <si>
    <t>TNET</t>
  </si>
  <si>
    <t>ALIT</t>
  </si>
  <si>
    <t>PYCR</t>
  </si>
  <si>
    <t>NSP</t>
  </si>
  <si>
    <t>ASGN</t>
  </si>
  <si>
    <t>MAN</t>
  </si>
  <si>
    <t>KFY</t>
  </si>
  <si>
    <t>FA</t>
  </si>
  <si>
    <t>UPWK</t>
  </si>
  <si>
    <t>STER</t>
  </si>
  <si>
    <t>FVRR</t>
  </si>
  <si>
    <t>HRT</t>
  </si>
  <si>
    <t>KELYA</t>
  </si>
  <si>
    <t>HSII</t>
  </si>
  <si>
    <t>TBI</t>
  </si>
  <si>
    <t>Human Resources</t>
  </si>
  <si>
    <t>WPP</t>
  </si>
  <si>
    <t>TTD</t>
  </si>
  <si>
    <t>OMC</t>
  </si>
  <si>
    <t>IPG</t>
  </si>
  <si>
    <t>PUBGY</t>
  </si>
  <si>
    <t>IAS</t>
  </si>
  <si>
    <t>CRTO</t>
  </si>
  <si>
    <t>PERI</t>
  </si>
  <si>
    <t>MGNI</t>
  </si>
  <si>
    <t>ADV</t>
  </si>
  <si>
    <t>TTGT</t>
  </si>
  <si>
    <t>THRY</t>
  </si>
  <si>
    <t>CCO</t>
  </si>
  <si>
    <t>STGW</t>
  </si>
  <si>
    <t>PUBM</t>
  </si>
  <si>
    <t>BOC</t>
  </si>
  <si>
    <t>CDLX</t>
  </si>
  <si>
    <t>GAMB</t>
  </si>
  <si>
    <t>QUOT</t>
  </si>
  <si>
    <t xml:space="preserve">Advertising </t>
  </si>
  <si>
    <t>CSCO</t>
  </si>
  <si>
    <t>V</t>
  </si>
  <si>
    <t>MA</t>
  </si>
  <si>
    <t>FI</t>
  </si>
  <si>
    <t>PYPL</t>
  </si>
  <si>
    <t>FIS</t>
  </si>
  <si>
    <t>GPN</t>
  </si>
  <si>
    <t>SQ</t>
  </si>
  <si>
    <t>FLT</t>
  </si>
  <si>
    <t>JKHY</t>
  </si>
  <si>
    <t>TOST</t>
  </si>
  <si>
    <t>WEX</t>
  </si>
  <si>
    <t>DLO</t>
  </si>
  <si>
    <t>WU</t>
  </si>
  <si>
    <t>RELY</t>
  </si>
  <si>
    <t>EEFT</t>
  </si>
  <si>
    <t>STNE</t>
  </si>
  <si>
    <t>FLYW</t>
  </si>
  <si>
    <t>AFRM</t>
  </si>
  <si>
    <t>FOUR</t>
  </si>
  <si>
    <t>MQ</t>
  </si>
  <si>
    <t>EVTC</t>
  </si>
  <si>
    <t>PAYO</t>
  </si>
  <si>
    <t>AVDX</t>
  </si>
  <si>
    <t>PAGS</t>
  </si>
  <si>
    <t>NVEI</t>
  </si>
  <si>
    <t>GB</t>
  </si>
  <si>
    <t>PSFE</t>
  </si>
  <si>
    <t>RPAY</t>
  </si>
  <si>
    <t>IMXI</t>
  </si>
  <si>
    <t>CTLP</t>
  </si>
  <si>
    <t>IIIV</t>
  </si>
  <si>
    <t>ADYEY</t>
  </si>
  <si>
    <t xml:space="preserve">Payment Processing </t>
  </si>
  <si>
    <t>SPGI</t>
  </si>
  <si>
    <t>CME</t>
  </si>
  <si>
    <t>ICE</t>
  </si>
  <si>
    <t>MCO</t>
  </si>
  <si>
    <t>MSCI</t>
  </si>
  <si>
    <t>NDAQ</t>
  </si>
  <si>
    <t>FDS</t>
  </si>
  <si>
    <t>COIN</t>
  </si>
  <si>
    <t>TW</t>
  </si>
  <si>
    <t>MKTX</t>
  </si>
  <si>
    <t>DFIN</t>
  </si>
  <si>
    <t>LPRO</t>
  </si>
  <si>
    <t xml:space="preserve">Financial Exchanges </t>
  </si>
  <si>
    <t>NU</t>
  </si>
  <si>
    <t>RELX</t>
  </si>
  <si>
    <t>TRI</t>
  </si>
  <si>
    <t>VRSK</t>
  </si>
  <si>
    <t>EFX</t>
  </si>
  <si>
    <t>J</t>
  </si>
  <si>
    <t>BAH</t>
  </si>
  <si>
    <t>TRU</t>
  </si>
  <si>
    <t>LDOS</t>
  </si>
  <si>
    <t>KBR</t>
  </si>
  <si>
    <t>FCN</t>
  </si>
  <si>
    <t>SAIC</t>
  </si>
  <si>
    <t>CLVT</t>
  </si>
  <si>
    <t>DNB</t>
  </si>
  <si>
    <t>EXPO</t>
  </si>
  <si>
    <t>CBZ</t>
  </si>
  <si>
    <t>LZ</t>
  </si>
  <si>
    <t>NVEE</t>
  </si>
  <si>
    <t>PL</t>
  </si>
  <si>
    <t>INOD</t>
  </si>
  <si>
    <t>NOTE</t>
  </si>
  <si>
    <t xml:space="preserve">Research </t>
  </si>
  <si>
    <t>BEKE</t>
  </si>
  <si>
    <t>CSGP</t>
  </si>
  <si>
    <t>CBRE</t>
  </si>
  <si>
    <t>Z</t>
  </si>
  <si>
    <t>JLL</t>
  </si>
  <si>
    <t>EXPI</t>
  </si>
  <si>
    <t>ZG</t>
  </si>
  <si>
    <t>OPEN</t>
  </si>
  <si>
    <t>CWK</t>
  </si>
  <si>
    <t>COMP</t>
  </si>
  <si>
    <t>MMI</t>
  </si>
  <si>
    <t>RDFN</t>
  </si>
  <si>
    <t>NMRK</t>
  </si>
  <si>
    <t>HOUS</t>
  </si>
  <si>
    <t>REAX</t>
  </si>
  <si>
    <t xml:space="preserve">Real Estate </t>
  </si>
  <si>
    <t>CVS</t>
  </si>
  <si>
    <t>CI</t>
  </si>
  <si>
    <t>LH</t>
  </si>
  <si>
    <t>DGX</t>
  </si>
  <si>
    <t>DVA</t>
  </si>
  <si>
    <t>AGL</t>
  </si>
  <si>
    <t>FMS</t>
  </si>
  <si>
    <t>RCM</t>
  </si>
  <si>
    <t>OPCH</t>
  </si>
  <si>
    <t>GH</t>
  </si>
  <si>
    <t>AMN</t>
  </si>
  <si>
    <t>PRVA</t>
  </si>
  <si>
    <t>PINC</t>
  </si>
  <si>
    <t>AMED</t>
  </si>
  <si>
    <t>LFST</t>
  </si>
  <si>
    <t>AMEH</t>
  </si>
  <si>
    <t>RDNT</t>
  </si>
  <si>
    <t>NEO</t>
  </si>
  <si>
    <t>ADUS</t>
  </si>
  <si>
    <t>AGTI</t>
  </si>
  <si>
    <t>HIMS</t>
  </si>
  <si>
    <t>OPK</t>
  </si>
  <si>
    <t>MD</t>
  </si>
  <si>
    <t>DCGO</t>
  </si>
  <si>
    <t>ACCD</t>
  </si>
  <si>
    <t>FLGT</t>
  </si>
  <si>
    <t>CCRN</t>
  </si>
  <si>
    <t>EHAB</t>
  </si>
  <si>
    <t>MODV</t>
  </si>
  <si>
    <t>CSTL</t>
  </si>
  <si>
    <t>ME</t>
  </si>
  <si>
    <t>AVAH</t>
  </si>
  <si>
    <t>VMD</t>
  </si>
  <si>
    <t xml:space="preserve">Health Care Services </t>
  </si>
  <si>
    <t>VEEV</t>
  </si>
  <si>
    <t>TDOC</t>
  </si>
  <si>
    <t>EVH</t>
  </si>
  <si>
    <t>DOCS</t>
  </si>
  <si>
    <t>CERT</t>
  </si>
  <si>
    <t>SDGR</t>
  </si>
  <si>
    <t>PHR</t>
  </si>
  <si>
    <t>MDRX</t>
  </si>
  <si>
    <t>MPLN</t>
  </si>
  <si>
    <t>NXGN</t>
  </si>
  <si>
    <t>DH</t>
  </si>
  <si>
    <t>AHI</t>
  </si>
  <si>
    <t>HCAT</t>
  </si>
  <si>
    <t>GDRX</t>
  </si>
  <si>
    <t>SHCR</t>
  </si>
  <si>
    <t>AMWL</t>
  </si>
  <si>
    <t>Health Care Technology</t>
  </si>
  <si>
    <t>MBLY</t>
  </si>
  <si>
    <t>CDW</t>
  </si>
  <si>
    <t>BR</t>
  </si>
  <si>
    <t>SSNC</t>
  </si>
  <si>
    <t>XP</t>
  </si>
  <si>
    <t>TRMB</t>
  </si>
  <si>
    <t>HOOD</t>
  </si>
  <si>
    <t>FFIV</t>
  </si>
  <si>
    <t>JNPR</t>
  </si>
  <si>
    <t>NATI</t>
  </si>
  <si>
    <t>CACI</t>
  </si>
  <si>
    <t>YMM</t>
  </si>
  <si>
    <t>APPF</t>
  </si>
  <si>
    <t>PSN</t>
  </si>
  <si>
    <t>DUOL</t>
  </si>
  <si>
    <t>NSIT</t>
  </si>
  <si>
    <t>EXLS</t>
  </si>
  <si>
    <t>MMYT</t>
  </si>
  <si>
    <t>SRAD</t>
  </si>
  <si>
    <t>LU</t>
  </si>
  <si>
    <t>OMCL</t>
  </si>
  <si>
    <t>UPST</t>
  </si>
  <si>
    <t>COUR</t>
  </si>
  <si>
    <t>VIAV</t>
  </si>
  <si>
    <t>RXO</t>
  </si>
  <si>
    <t>CRDO</t>
  </si>
  <si>
    <t>NTCT</t>
  </si>
  <si>
    <t>AGYS</t>
  </si>
  <si>
    <t>SABR</t>
  </si>
  <si>
    <t>CSGS</t>
  </si>
  <si>
    <t>CRSR</t>
  </si>
  <si>
    <t>UDMY</t>
  </si>
  <si>
    <t>MLNK</t>
  </si>
  <si>
    <t>ECX</t>
  </si>
  <si>
    <t>GENI</t>
  </si>
  <si>
    <t>SOS</t>
  </si>
  <si>
    <t>TTEC</t>
  </si>
  <si>
    <t>PDFS</t>
  </si>
  <si>
    <t>EH</t>
  </si>
  <si>
    <t>ANGI</t>
  </si>
  <si>
    <t>VZIO</t>
  </si>
  <si>
    <t>HKD</t>
  </si>
  <si>
    <t>AVID</t>
  </si>
  <si>
    <t>SLP</t>
  </si>
  <si>
    <t>DDD</t>
  </si>
  <si>
    <t>ARCE</t>
  </si>
  <si>
    <t>AVTA</t>
  </si>
  <si>
    <t>NRDY</t>
  </si>
  <si>
    <t>DMRC</t>
  </si>
  <si>
    <t>BASE</t>
  </si>
  <si>
    <t>NRDS</t>
  </si>
  <si>
    <t>CINT</t>
  </si>
  <si>
    <t>MKTW</t>
  </si>
  <si>
    <t>QD</t>
  </si>
  <si>
    <t>HEPS</t>
  </si>
  <si>
    <t>RBBN</t>
  </si>
  <si>
    <t>DAO</t>
  </si>
  <si>
    <t>SOI</t>
  </si>
  <si>
    <t>FRGE</t>
  </si>
  <si>
    <t>SIFY</t>
  </si>
  <si>
    <t>TRVG</t>
  </si>
  <si>
    <t>DSP</t>
  </si>
  <si>
    <t>NTGR</t>
  </si>
  <si>
    <t>JMIA</t>
  </si>
  <si>
    <t>AIXI</t>
  </si>
  <si>
    <t>BAND</t>
  </si>
  <si>
    <t>PSQH</t>
  </si>
  <si>
    <t>Technology Software &amp;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</si>
</sst>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tos.rtd">
      <tp t="s">
        <v>FANGDD NETWORK GROUP LTD ADR</v>
        <stp/>
        <stp>DESCRIPTION</stp>
        <stp>DUO</stp>
        <tr r="AB15" s="1"/>
      </tp>
      <tp t="s">
        <v>DAVITA INC COM</v>
        <stp/>
        <stp>DESCRIPTION</stp>
        <stp>DVA</stp>
        <tr r="CR14" s="1"/>
      </tp>
      <tp t="s">
        <v>DXC TECHNOLOGY COMPANY COM</v>
        <stp/>
        <stp>DESCRIPTION</stp>
        <stp>DXC</stp>
        <tr r="V20" s="1"/>
      </tp>
      <tp t="s">
        <v>QUEST DIAGNOSTICS INC COM</v>
        <stp/>
        <stp>DESCRIPTION</stp>
        <stp>DGX</stp>
        <tr r="CR13" s="1"/>
      </tp>
      <tp t="s">
        <v>DROPBOX INC COM CL A</v>
        <stp/>
        <stp>DESCRIPTION</stp>
        <stp>DBX</stp>
        <tr r="C41" s="1"/>
      </tp>
      <tp t="s">
        <v>DOLBY LABORATORIES INC COM CL A</v>
        <stp/>
        <stp>DESCRIPTION</stp>
        <stp>DLB</stp>
        <tr r="J25" s="1"/>
      </tp>
      <tp t="s">
        <v>DLOCAL LTD COM CL A</v>
        <stp/>
        <stp>DESCRIPTION</stp>
        <stp>DLO</stp>
        <tr r="BQ21" s="1"/>
      </tp>
      <tp t="s">
        <v>DUN &amp; BRADSTREET HLDGS INC COM</v>
        <stp/>
        <stp>DESCRIPTION</stp>
        <stp>DNB</stp>
        <tr r="CE22" s="1"/>
      </tp>
      <tp t="s">
        <v>AMDOCS LTD COM</v>
        <stp/>
        <stp>DESCRIPTION</stp>
        <stp>DOX</stp>
        <tr r="V17" s="1"/>
      </tp>
      <tp t="s">
        <v>WALT DISNEY COMPANY (THE) COM</v>
        <stp/>
        <stp>DESCRIPTION</stp>
        <stp>DIS</stp>
        <tr r="AP11" s="1"/>
      </tp>
      <tp t="s">
        <v>OPEN TEXT CO COM</v>
        <stp/>
        <stp>DESCRIPTION</stp>
        <stp>OTEX</stp>
        <tr r="C38" s="1"/>
      </tp>
      <tp t="s">
        <v>VTEX COM CL A</v>
        <stp/>
        <stp>DESCRIPTION</stp>
        <stp>VTEX</stp>
        <tr r="AB44" s="1"/>
      </tp>
      <tp t="s">
        <v>STERLING CHECK CORP COM</v>
        <stp/>
        <stp>DESCRIPTION</stp>
        <stp>STER</stp>
        <tr r="BC26" s="1"/>
      </tp>
      <tp t="s">
        <v>NETEASE INC ADR SPONSORED</v>
        <stp/>
        <stp>DESCRIPTION</stp>
        <stp>NTES</stp>
        <tr r="AI10" s="1"/>
      </tp>
      <tp t="s">
        <v>A10 NETWORKS INC COM</v>
        <stp/>
        <stp>DESCRIPTION</stp>
        <stp>ATEN</stp>
        <tr r="J39" s="1"/>
      </tp>
      <tp t="s">
        <v>STAGWELL INC COM CL A</v>
        <stp/>
        <stp>DESCRIPTION</stp>
        <stp>STGW</stp>
        <tr r="BJ23" s="1"/>
      </tp>
      <tp t="s">
        <v>TECHTARGET INC COM</v>
        <stp/>
        <stp>DESCRIPTION</stp>
        <stp>TTGT</stp>
        <tr r="BJ20" s="1"/>
      </tp>
      <tp t="s">
        <v>MATCH GROUP INC COM</v>
        <stp/>
        <stp>DESCRIPTION</stp>
        <stp>MTCH</stp>
        <tr r="AB20" s="1"/>
      </tp>
      <tp t="s">
        <v>MATERIALISE NV ADR</v>
        <stp/>
        <stp>DESCRIPTION</stp>
        <stp>MTLS</stp>
        <tr r="C131" s="1"/>
      </tp>
      <tp t="s">
        <v>CANTALOUPE INC COM</v>
        <stp/>
        <stp>DESCRIPTION</stp>
        <stp>CTLP</stp>
        <tr r="BQ39" s="1"/>
      </tp>
      <tp t="s">
        <v>GITLAB INC COM</v>
        <stp/>
        <stp>DESCRIPTION</stp>
        <stp>GTLB</stp>
        <tr r="J27" s="1"/>
      </tp>
      <tp t="s">
        <v>NUTANIX INC COM CL A</v>
        <stp/>
        <stp>DESCRIPTION</stp>
        <stp>NTNX</stp>
        <tr r="C42" s="1"/>
      </tp>
      <tp t="s">
        <v>FORTINET INC COM</v>
        <stp/>
        <stp>DESCRIPTION</stp>
        <stp>FTNT</stp>
        <tr r="J15" s="1"/>
      </tp>
      <tp t="s">
        <v>STONECO LTD COM</v>
        <stp/>
        <stp>DESCRIPTION</stp>
        <stp>STNE</stp>
        <tr r="BQ25" s="1"/>
      </tp>
      <tp t="s">
        <v>AUTOHOME INC ADR</v>
        <stp/>
        <stp>DESCRIPTION</stp>
        <stp>ATHM</stp>
        <tr r="AB17" s="1"/>
      </tp>
      <tp t="s">
        <v>MATTERPORT INC COM CL A</v>
        <stp/>
        <stp>DESCRIPTION</stp>
        <stp>MTTR</stp>
        <tr r="C111" s="1"/>
      </tp>
      <tp t="s">
        <v>ACTIVISION BLIZZARD INC COM</v>
        <stp/>
        <stp>DESCRIPTION</stp>
        <stp>ATVI</stp>
        <tr r="AI11" s="1"/>
      </tp>
      <tp t="s">
        <v>E2OPEN PARENT HOLDINGS INC COM CL A</v>
        <stp/>
        <stp>DESCRIPTION</stp>
        <stp>ETWO</stp>
        <tr r="C92" s="1"/>
      </tp>
      <tp t="s">
        <v>TAKE-TWO INTERACTIVE SOFTWARE COM</v>
        <stp/>
        <stp>DESCRIPTION</stp>
        <stp>TTWO</stp>
        <tr r="AI13" s="1"/>
      </tp>
      <tp t="s">
        <v>Q2 HLDGS INC COM</v>
        <stp/>
        <stp>DESCRIPTION</stp>
        <stp>QTWO</stp>
        <tr r="C87" s="1"/>
      </tp>
      <tp t="s">
        <v>COGNIZANT TECHNOLO COM CL A</v>
        <stp/>
        <stp>DESCRIPTION</stp>
        <stp>CTSH</stp>
        <tr r="V13" s="1"/>
      </tp>
      <tp t="s">
        <v>EVOLENT HEALTH INC COM CL A</v>
        <stp/>
        <stp>DESCRIPTION</stp>
        <stp>EVH</stp>
        <tr r="CY12" s="1"/>
      </tp>
      <tp t="s">
        <v>ENDEAVOR GROUP HOLDINGS INC COM CL A</v>
        <stp/>
        <stp>DESCRIPTION</stp>
        <stp>EDR</stp>
        <tr r="AP19" s="1"/>
      </tp>
      <tp t="s">
        <v>EQUIFAX INC COM</v>
        <stp/>
        <stp>DESCRIPTION</stp>
        <stp>EFX</stp>
        <tr r="CE13" s="1"/>
      </tp>
      <tp t="s">
        <v>ENVESTNET INC COM</v>
        <stp/>
        <stp>DESCRIPTION</stp>
        <stp>ENV</stp>
        <tr r="C68" s="1"/>
      </tp>
      <tp t="s">
        <v>HUBSPOT INC COM</v>
        <stp/>
        <stp>DESCRIPTION</stp>
        <stp>HUBS</stp>
        <tr r="C23" s="1"/>
      </tp>
      <tp t="s">
        <v>FUBOTV INC COM</v>
        <stp/>
        <stp>DESCRIPTION</stp>
        <stp>FUBO</stp>
        <tr r="AB40" s="1"/>
      </tp>
      <tp t="s">
        <v>PUBMATIC INC COM CL A</v>
        <stp/>
        <stp>DESCRIPTION</stp>
        <stp>PUBM</stp>
        <tr r="BJ24" s="1"/>
      </tp>
      <tp t="s">
        <v>TERAWULF INC O COM</v>
        <stp/>
        <stp>DESCRIPTION</stp>
        <stp>WULF</stp>
        <tr r="C124" s="1"/>
      </tp>
      <tp t="s">
        <v>QUOTIENT TECHNOLOGY INC COM</v>
        <stp/>
        <stp>DESCRIPTION</stp>
        <stp>QUOT</stp>
        <tr r="BJ28" s="1"/>
      </tp>
      <tp t="s">
        <v>TUYA INC ADR</v>
        <stp/>
        <stp>DESCRIPTION</stp>
        <stp>TUYA</stp>
        <tr r="C113" s="1"/>
      </tp>
      <tp t="s">
        <v>FACTSET RESEARCH SYSTEMS COM</v>
        <stp/>
        <stp>DESCRIPTION</stp>
        <stp>FDS</stp>
        <tr r="BX16" s="1"/>
      </tp>
      <tp t="s">
        <v>FTI CONSULTING INC COM</v>
        <stp/>
        <stp>DESCRIPTION</stp>
        <stp>FCN</stp>
        <tr r="CE19" s="1"/>
      </tp>
      <tp t="s">
        <v>FLEETCOR TECHNOLOGIES INC COM</v>
        <stp/>
        <stp>DESCRIPTION</stp>
        <stp>FLT</stp>
        <tr r="BQ17" s="1"/>
      </tp>
      <tp t="s">
        <v>FRESENIUS MEDICAL CARE AG &amp; CO ADR SPONSORED</v>
        <stp/>
        <stp>DESCRIPTION</stp>
        <stp>FMS</stp>
        <tr r="CR16" s="1"/>
      </tp>
      <tp t="s">
        <v>FIDELITY NATIONAL INFORMATION COM</v>
        <stp/>
        <stp>DESCRIPTION</stp>
        <stp>FIS</stp>
        <tr r="BQ14" s="1"/>
      </tp>
      <tp t="s">
        <v>AVIDXCHANGE HLDGS INC COM</v>
        <stp/>
        <stp>DESCRIPTION</stp>
        <stp>AVDX</stp>
        <tr r="BQ32" s="1"/>
      </tp>
      <tp t="s">
        <v>NUVEI CORPORATION COM</v>
        <stp/>
        <stp>DESCRIPTION</stp>
        <stp>NVEI</stp>
        <tr r="BQ34" s="1"/>
      </tp>
      <tp t="s">
        <v>NV5 GLOBAL IN COM</v>
        <stp/>
        <stp>DESCRIPTION</stp>
        <stp>NVEE</stp>
        <tr r="CE26" s="1"/>
      </tp>
      <tp t="s">
        <v>AVEANNA HEALTHCARE HLDGS INC COM</v>
        <stp/>
        <stp>DESCRIPTION</stp>
        <stp>AVAH</stp>
        <tr r="CR41" s="1"/>
      </tp>
      <tp t="s">
        <v>EVERBRIDGE INC COM</v>
        <stp/>
        <stp>DESCRIPTION</stp>
        <stp>EVBG</stp>
        <tr r="C106" s="1"/>
      </tp>
      <tp t="s">
        <v>COMMVAULT SYSTEMS INC COM</v>
        <stp/>
        <stp>DESCRIPTION</stp>
        <stp>CVLT</stp>
        <tr r="J30" s="1"/>
      </tp>
      <tp t="s">
        <v>EVERTEC INC COM</v>
        <stp/>
        <stp>DESCRIPTION</stp>
        <stp>EVTC</stp>
        <tr r="BQ30" s="1"/>
      </tp>
      <tp t="s">
        <v>AVEPOINT INC COM CL A</v>
        <stp/>
        <stp>DESCRIPTION</stp>
        <stp>AVPT</stp>
        <tr r="C97" s="1"/>
      </tp>
      <tp t="s">
        <v>FIVERR INTERNATIONAL LTD COM</v>
        <stp/>
        <stp>DESCRIPTION</stp>
        <stp>FVRR</stp>
        <tr r="BC27" s="1"/>
      </tp>
      <tp t="s">
        <v>GLOBAL PAYMENTS INC COM</v>
        <stp/>
        <stp>DESCRIPTION</stp>
        <stp>GPN</stp>
        <tr r="BQ15" s="1"/>
      </tp>
      <tp t="s">
        <v>GDS HOLDINGS LTD ADR</v>
        <stp/>
        <stp>DESCRIPTION</stp>
        <stp>GDS</stp>
        <tr r="P16" s="1"/>
      </tp>
      <tp t="s">
        <v>GEN DIGITAL INC COM</v>
        <stp/>
        <stp>DESCRIPTION</stp>
        <stp>GEN</stp>
        <tr r="J19" s="1"/>
      </tp>
      <tp t="s">
        <v>CLEARWATER ANALYTICS HLDGS INC COM CL A</v>
        <stp/>
        <stp>DESCRIPTION</stp>
        <stp>CWAN</stp>
        <tr r="C94" s="1"/>
      </tp>
      <tp t="s">
        <v>TWILIO INC COM CL A</v>
        <stp/>
        <stp>DESCRIPTION</stp>
        <stp>TWLO</stp>
        <tr r="P19" s="1"/>
      </tp>
      <tp t="s">
        <v>THOUGHTWORKS HLDG INC COM</v>
        <stp/>
        <stp>DESCRIPTION</stp>
        <stp>TWKS</stp>
        <tr r="V24" s="1"/>
      </tp>
      <tp t="s">
        <v>GUIDEWIRE SOFTWARE INC COM</v>
        <stp/>
        <stp>DESCRIPTION</stp>
        <stp>GWRE</stp>
        <tr r="C45" s="1"/>
      </tp>
      <tp t="s">
        <v>POWERSCHOOL HLDGS INC COM CL A</v>
        <stp/>
        <stp>DESCRIPTION</stp>
        <stp>PWSC</stp>
        <tr r="C64" s="1"/>
      </tp>
      <tp t="s">
        <v>XPERI INC COM</v>
        <stp/>
        <stp>DESCRIPTION</stp>
        <stp>XPER</stp>
        <tr r="J41" s="1"/>
      </tp>
      <tp t="s">
        <v>OPENDOOR TECHNOLOGIES INC COM</v>
        <stp/>
        <stp>DESCRIPTION</stp>
        <stp>OPEN</stp>
        <tr r="CL17" s="1"/>
      </tp>
      <tp t="s">
        <v>S&amp;P GLOBAL INC COM</v>
        <stp/>
        <stp>DESCRIPTION</stp>
        <stp>SPGI</stp>
        <tr r="BX10" s="1"/>
      </tp>
      <tp t="s">
        <v>REPAY HLDGS CORP COM CL A</v>
        <stp/>
        <stp>DESCRIPTION</stp>
        <stp>RPAY</stp>
        <tr r="BQ37" s="1"/>
      </tp>
      <tp t="s">
        <v>EPAM SYS INC COM</v>
        <stp/>
        <stp>DESCRIPTION</stp>
        <stp>EPAM</stp>
        <tr r="V16" s="1"/>
      </tp>
      <tp t="s">
        <v>OPTION CARE HEALTH INC COM</v>
        <stp/>
        <stp>DESCRIPTION</stp>
        <stp>OPCH</stp>
        <tr r="CR18" s="1"/>
      </tp>
      <tp t="s">
        <v>MULTIPLAN CORPORATION COM</v>
        <stp/>
        <stp>DESCRIPTION</stp>
        <stp>MPLN</stp>
        <tr r="CY18" s="1"/>
      </tp>
      <tp t="s">
        <v>SPLUNK INC COM</v>
        <stp/>
        <stp>DESCRIPTION</stp>
        <stp>SPLK</stp>
        <tr r="C27" s="1"/>
      </tp>
      <tp t="s">
        <v>APPLIED DIGITAL CORP COM</v>
        <stp/>
        <stp>DESCRIPTION</stp>
        <stp>APLD</stp>
        <tr r="C116" s="1"/>
      </tp>
      <tp t="s">
        <v>SAPIENS INTERNATIONAL CORP NV COM</v>
        <stp/>
        <stp>DESCRIPTION</stp>
        <stp>SPNS</stp>
        <tr r="C90" s="1"/>
      </tp>
      <tp t="s">
        <v>SPOTIFY TECHNOLOGY S.A. COM</v>
        <stp/>
        <stp>DESCRIPTION</stp>
        <stp>SPOT</stp>
        <tr r="AP13" s="1"/>
      </tp>
      <tp t="s">
        <v>SPHERE ENTERTAINMENT CO COM CL A</v>
        <stp/>
        <stp>DESCRIPTION</stp>
        <stp>SPHR</stp>
        <tr r="AP29" s="1"/>
      </tp>
      <tp t="s">
        <v>UPWORK INC COM</v>
        <stp/>
        <stp>DESCRIPTION</stp>
        <stp>UPWK</stp>
        <tr r="BC25" s="1"/>
      </tp>
      <tp t="s">
        <v>DIGITAL TURBINE INC COM</v>
        <stp/>
        <stp>DESCRIPTION</stp>
        <stp>APPS</stp>
        <tr r="C109" s="1"/>
      </tp>
      <tp t="s">
        <v>APPIAN CORPORATION COM CL A</v>
        <stp/>
        <stp>DESCRIPTION</stp>
        <stp>APPN</stp>
        <tr r="J36" s="1"/>
      </tp>
      <tp t="s">
        <v>OPEN LENDING CORPORATION COM</v>
        <stp/>
        <stp>DESCRIPTION</stp>
        <stp>LPRO</stp>
        <tr r="BX21" s="1"/>
      </tp>
      <tp t="s">
        <v>OPERA LIMITED ADR</v>
        <stp/>
        <stp>DESCRIPTION</stp>
        <stp>OPRA</stp>
        <tr r="C63" s="1"/>
      </tp>
      <tp t="s">
        <v>LIVEPERSON INC COM</v>
        <stp/>
        <stp>DESCRIPTION</stp>
        <stp>LPSN</stp>
        <tr r="C136" s="1"/>
      </tp>
      <tp t="s">
        <v>SPS COMMERCE INC COM</v>
        <stp/>
        <stp>DESCRIPTION</stp>
        <stp>SPSC</stp>
        <tr r="C46" s="1"/>
      </tp>
      <tp t="s">
        <v>AURORA INNOVATION INC COM</v>
        <stp/>
        <stp>DESCRIPTION</stp>
        <stp>AUR</stp>
        <tr r="C61" s="1"/>
      </tp>
      <tp t="s">
        <v>AMC ENTERTAINMENT HOLDINGS INC PFD EQT UNIT DEP REP 1/100</v>
        <stp/>
        <stp>DESCRIPTION</stp>
        <stp>APE</stp>
        <tr r="AP24" s="1"/>
      </tp>
      <tp t="s">
        <v>AGORA INC ADR</v>
        <stp/>
        <stp>DESCRIPTION</stp>
        <stp>API</stp>
        <tr r="C104" s="1"/>
      </tp>
      <tp t="s">
        <v>APPLOVIN CORP COM CL A</v>
        <stp/>
        <stp>DESCRIPTION</stp>
        <stp>APP</stp>
        <tr r="C36" s="1"/>
      </tp>
      <tp t="s">
        <v>ALTERYX INC COM CL A</v>
        <stp/>
        <stp>DESCRIPTION</stp>
        <stp>AYX</stp>
        <tr r="C88" s="1"/>
      </tp>
      <tp t="s">
        <v>ADVANTAGE SOLUTIONS INC COM CL A</v>
        <stp/>
        <stp>DESCRIPTION</stp>
        <stp>ADV</stp>
        <tr r="BJ19" s="1"/>
      </tp>
      <tp t="s">
        <v>AUTOMATIC DATA PROCESSING INC COM</v>
        <stp/>
        <stp>DESCRIPTION</stp>
        <stp>ADP</stp>
        <tr r="BC10" s="1"/>
      </tp>
      <tp t="s">
        <v>AGILON HEALTH INC COM</v>
        <stp/>
        <stp>DESCRIPTION</stp>
        <stp>AGL</stp>
        <tr r="CR15" s="1"/>
      </tp>
      <tp t="s">
        <v>ACCENTURE PLC COM</v>
        <stp/>
        <stp>DESCRIPTION</stp>
        <stp>ACN</stp>
        <tr r="V10" s="1"/>
      </tp>
      <tp t="s">
        <v>AMC ENTERTAINMENT HOLDINGS INC COM CL A</v>
        <stp/>
        <stp>DESCRIPTION</stp>
        <stp>AMC</stp>
        <tr r="AP25" s="1"/>
      </tp>
      <tp t="s">
        <v>AMN HEALTHCARE SERVICES INC COM</v>
        <stp/>
        <stp>DESCRIPTION</stp>
        <stp>AMN</stp>
        <tr r="CR20" s="1"/>
      </tp>
      <tp t="s">
        <v>ADVANCED HEALTH INTLGNCE LTD ADR SPONSORED</v>
        <stp/>
        <stp>DESCRIPTION</stp>
        <stp>AHI</stp>
        <tr r="CY21" s="1"/>
      </tp>
      <tp t="s">
        <v>SQUARESPACE INC COM</v>
        <stp/>
        <stp>DESCRIPTION</stp>
        <stp>SQSP</stp>
        <tr r="P24" s="1"/>
      </tp>
      <tp t="s">
        <v>BENTLEY SYSTEMS INC COM CL B</v>
        <stp/>
        <stp>DESCRIPTION</stp>
        <stp>BSY</stp>
        <tr r="C32" s="1"/>
      </tp>
      <tp t="s">
        <v>BOOZ ALLEN HAMILTON HLDG CORP COM CL A</v>
        <stp/>
        <stp>DESCRIPTION</stp>
        <stp>BAH</stp>
        <tr r="CE15" s="1"/>
      </tp>
      <tp t="s">
        <v>BOSTON OMAHA CORPORATION COM CL A</v>
        <stp/>
        <stp>DESCRIPTION</stp>
        <stp>BOC</stp>
        <tr r="BJ25" s="1"/>
      </tp>
      <tp t="s">
        <v>BOX INC COM CL A</v>
        <stp/>
        <stp>DESCRIPTION</stp>
        <stp>BOX</stp>
        <tr r="C55" s="1"/>
      </tp>
      <tp t="s">
        <v>BLACK KNIGHT INC COM</v>
        <stp/>
        <stp>DESCRIPTION</stp>
        <stp>BKI</stp>
        <tr r="C35" s="1"/>
      </tp>
      <tp t="s">
        <v>PERFICIENT INC COM</v>
        <stp/>
        <stp>DESCRIPTION</stp>
        <stp>PRFT</stp>
        <tr r="V22" s="1"/>
      </tp>
      <tp t="s">
        <v>PROGRESS SOFTWARE CORP COM</v>
        <stp/>
        <stp>DESCRIPTION</stp>
        <stp>PRGS</stp>
        <tr r="J34" s="1"/>
      </tp>
      <tp t="s">
        <v>ARGO BLOCKCHAIN PLC ADR SPONSORED</v>
        <stp/>
        <stp>DESCRIPTION</stp>
        <stp>ARBK</stp>
        <tr r="C117" s="1"/>
      </tp>
      <tp t="s">
        <v>ORACLE CORP COM</v>
        <stp/>
        <stp>DESCRIPTION</stp>
        <stp>ORCL</stp>
        <tr r="J11" s="1"/>
      </tp>
      <tp t="s">
        <v>VERINT SYSTEMS INC COM</v>
        <stp/>
        <stp>DESCRIPTION</stp>
        <stp>VRNT</stp>
        <tr r="C80" s="1"/>
      </tp>
      <tp t="s">
        <v>VARONIS SYSTEMS INC COM</v>
        <stp/>
        <stp>DESCRIPTION</stp>
        <stp>VRNS</stp>
        <tr r="J29" s="1"/>
      </tp>
      <tp t="s">
        <v>GRINDR INC COM</v>
        <stp/>
        <stp>DESCRIPTION</stp>
        <stp>GRND</stp>
        <tr r="AB38" s="1"/>
      </tp>
      <tp t="s">
        <v>CERENCE INC COM</v>
        <stp/>
        <stp>DESCRIPTION</stp>
        <stp>CRNC</stp>
        <tr r="C105" s="1"/>
      </tp>
      <tp t="s">
        <v>JFROG LTD COM</v>
        <stp/>
        <stp>DESCRIPTION</stp>
        <stp>FROG</stp>
        <tr r="J32" s="1"/>
      </tp>
      <tp t="s">
        <v>TRIPADVISOR INC COM</v>
        <stp/>
        <stp>DESCRIPTION</stp>
        <stp>TRIP</stp>
        <tr r="AB29" s="1"/>
      </tp>
      <tp t="s">
        <v>CRITEO S.A ADR</v>
        <stp/>
        <stp>DESCRIPTION</stp>
        <stp>CRTO</stp>
        <tr r="BJ16" s="1"/>
      </tp>
      <tp t="s">
        <v>PRIVIA HEALTH GROUP INC COM</v>
        <stp/>
        <stp>DESCRIPTION</stp>
        <stp>PRVA</stp>
        <tr r="CR21" s="1"/>
      </tp>
      <tp t="s">
        <v>CROWDSTRIKE HOLDINGS INC COM CL A</v>
        <stp/>
        <stp>DESCRIPTION</stp>
        <stp>CRWD</stp>
        <tr r="J16" s="1"/>
      </tp>
      <tp t="s">
        <v>VERISIGN COM</v>
        <stp/>
        <stp>DESCRIPTION</stp>
        <stp>VRSN</stp>
        <tr r="P13" s="1"/>
      </tp>
      <tp t="s">
        <v>VERISK ANALYTICS INC COM</v>
        <stp/>
        <stp>DESCRIPTION</stp>
        <stp>VRSK</stp>
        <tr r="CE12" s="1"/>
      </tp>
      <tp t="s">
        <v>FRESHWORKS INC COM</v>
        <stp/>
        <stp>DESCRIPTION</stp>
        <stp>FRSH</stp>
        <tr r="C56" s="1"/>
      </tp>
      <tp t="s">
        <v>BRAZE INC COM CL A</v>
        <stp/>
        <stp>DESCRIPTION</stp>
        <stp>BRZE</stp>
        <tr r="C73" s="1"/>
      </tp>
      <tp t="s">
        <v>CVS HEALTH CORPORATION COM</v>
        <stp/>
        <stp>DESCRIPTION</stp>
        <stp>CVS</stp>
        <tr r="CR10" s="1"/>
      </tp>
      <tp t="s">
        <v>CUSHMAN AND WAKEFIELD PLC COM</v>
        <stp/>
        <stp>DESCRIPTION</stp>
        <stp>CWK</stp>
        <tr r="CL18" s="1"/>
      </tp>
      <tp t="s">
        <v>SALESFORCE INC COM</v>
        <stp/>
        <stp>DESCRIPTION</stp>
        <stp>CRM</stp>
        <tr r="C11" s="1"/>
      </tp>
      <tp t="s">
        <v>SPRINKLR INC COM CL A</v>
        <stp/>
        <stp>DESCRIPTION</stp>
        <stp>CXM</stp>
        <tr r="C89" s="1"/>
      </tp>
      <tp t="s">
        <v>CBIZ INC COM</v>
        <stp/>
        <stp>DESCRIPTION</stp>
        <stp>CBZ</stp>
        <tr r="CE24" s="1"/>
      </tp>
      <tp t="s">
        <v>CLEAR CHANNEL OUTDOOR HLDGS IN COM</v>
        <stp/>
        <stp>DESCRIPTION</stp>
        <stp>CCO</stp>
        <tr r="BJ22" s="1"/>
      </tp>
      <tp t="s">
        <v>CME GROUP INC COM</v>
        <stp/>
        <stp>DESCRIPTION</stp>
        <stp>CME</stp>
        <tr r="BX11" s="1"/>
      </tp>
      <tp t="s">
        <v>CINEMARK HOLDINGS INC COM</v>
        <stp/>
        <stp>DESCRIPTION</stp>
        <stp>CNK</stp>
        <tr r="AP23" s="1"/>
      </tp>
      <tp t="s">
        <v>MICROSOFT CORP COM</v>
        <stp/>
        <stp>DESCRIPTION</stp>
        <stp>MSFT</stp>
        <tr r="J10" s="1"/>
      </tp>
      <tp t="s">
        <v>PAYSAFE LTD COM</v>
        <stp/>
        <stp>DESCRIPTION</stp>
        <stp>PSFE</stp>
        <tr r="BQ36" s="1"/>
      </tp>
      <tp t="s">
        <v>MADISON SQ GARDEN SPORTS CORP COM CL A</v>
        <stp/>
        <stp>DESCRIPTION</stp>
        <stp>MSGS</stp>
        <tr r="AP22" s="1"/>
      </tp>
      <tp t="s">
        <v>COSTAR GROUP INC COM</v>
        <stp/>
        <stp>DESCRIPTION</stp>
        <stp>CSGP</stp>
        <tr r="CL11" s="1"/>
      </tp>
      <tp t="s">
        <v>ASGN INCORPORATED COM</v>
        <stp/>
        <stp>DESCRIPTION</stp>
        <stp>ASGN</stp>
        <tr r="BC21" s="1"/>
      </tp>
      <tp t="s">
        <v>MADISON SQUARE GARDEN ENTERTAI COM CL A</v>
        <stp/>
        <stp>DESCRIPTION</stp>
        <stp>MSGE</stp>
        <tr r="AP27" s="1"/>
      </tp>
      <tp t="s">
        <v>ASANA INC COM CL A</v>
        <stp/>
        <stp>DESCRIPTION</stp>
        <stp>ASAN</stp>
        <tr r="C72" s="1"/>
      </tp>
      <tp t="s">
        <v>MSCI INC COM</v>
        <stp/>
        <stp>DESCRIPTION</stp>
        <stp>MSCI</stp>
        <tr r="BX14" s="1"/>
      </tp>
      <tp t="s">
        <v>FASTLY INC COM CL A</v>
        <stp/>
        <stp>DESCRIPTION</stp>
        <stp>FSLY</stp>
        <tr r="P26" s="1"/>
      </tp>
      <tp t="s">
        <v>ENGAGESMART LLC COM</v>
        <stp/>
        <stp>DESCRIPTION</stp>
        <stp>ESMT</stp>
        <tr r="C71" s="1"/>
      </tp>
      <tp t="s">
        <v>HEIDRICK &amp; STRUGGLES COM</v>
        <stp/>
        <stp>DESCRIPTION</stp>
        <stp>HSII</stp>
        <tr r="BC30" s="1"/>
      </tp>
      <tp t="s">
        <v>RISKIFIED LTD COM CL A</v>
        <stp/>
        <stp>DESCRIPTION</stp>
        <stp>RSKD</stp>
        <tr r="C125" s="1"/>
      </tp>
      <tp t="s">
        <v>MICROSTRATEGY COM CL A</v>
        <stp/>
        <stp>DESCRIPTION</stp>
        <stp>MSTR</stp>
        <tr r="C54" s="1"/>
      </tp>
      <tp t="s">
        <v>CASTLE BIOSCIENCES INC COM</v>
        <stp/>
        <stp>DESCRIPTION</stp>
        <stp>CSTL</stp>
        <tr r="CR39" s="1"/>
      </tp>
      <tp t="s">
        <v>SHUTTERSTOCK INC COM</v>
        <stp/>
        <stp>DESCRIPTION</stp>
        <stp>SSTK</stp>
        <tr r="AB33" s="1"/>
      </tp>
      <tp t="s">
        <v>ELASTIC N V COM</v>
        <stp/>
        <stp>DESCRIPTION</stp>
        <stp>ESTC</stp>
        <tr r="C47" s="1"/>
      </tp>
      <tp t="s">
        <v>ONESPAN INC COM</v>
        <stp/>
        <stp>DESCRIPTION</stp>
        <stp>OSPN</stp>
        <tr r="J42" s="1"/>
      </tp>
      <tp t="s">
        <v>LIGHTSPEED COMMERCE INC COM</v>
        <stp/>
        <stp>DESCRIPTION</stp>
        <stp>LSPD</stp>
        <tr r="C78" s="1"/>
      </tp>
      <tp t="s">
        <v>LIVE NATION ENTERTAINMENT INC COM</v>
        <stp/>
        <stp>DESCRIPTION</stp>
        <stp>LYV</stp>
        <tr r="AP14" s="1"/>
      </tp>
      <tp t="s">
        <v>CS DISCO INC COM</v>
        <stp/>
        <stp>DESCRIPTION</stp>
        <stp>LAW</stp>
        <tr r="C119" s="1"/>
      </tp>
      <tp t="s">
        <v>MONGODB INC COM CL A</v>
        <stp/>
        <stp>DESCRIPTION</stp>
        <stp>MDB</stp>
        <tr r="P12" s="1"/>
      </tp>
      <tp t="s">
        <v>MANPOWERGROUP INC COM</v>
        <stp/>
        <stp>DESCRIPTION</stp>
        <stp>MAN</stp>
        <tr r="BC22" s="1"/>
      </tp>
      <tp t="s">
        <v>MEDIAALPHA INC COM CL A</v>
        <stp/>
        <stp>DESCRIPTION</stp>
        <stp>MAX</stp>
        <tr r="AB45" s="1"/>
      </tp>
      <tp t="s">
        <v>MOODYS CORP COM</v>
        <stp/>
        <stp>DESCRIPTION</stp>
        <stp>MCO</stp>
        <tr r="BX13" s="1"/>
      </tp>
      <tp t="s">
        <v>MARCUS CORP COM</v>
        <stp/>
        <stp>DESCRIPTION</stp>
        <stp>MCS</stp>
        <tr r="AP35" s="1"/>
      </tp>
      <tp t="s">
        <v>MARCUS &amp; MILLICHAP INC COM</v>
        <stp/>
        <stp>DESCRIPTION</stp>
        <stp>MMI</stp>
        <tr r="CL20" s="1"/>
      </tp>
      <tp t="s">
        <v>INSPERITY INC COM</v>
        <stp/>
        <stp>DESCRIPTION</stp>
        <stp>NSP</stp>
        <tr r="BC20" s="1"/>
      </tp>
      <tp t="s">
        <v>NEOGENOMICS INC COM</v>
        <stp/>
        <stp>DESCRIPTION</stp>
        <stp>NEO</stp>
        <tr r="CR27" s="1"/>
      </tp>
      <tp t="s">
        <v>CLOUDFLARE INC COM CL A</v>
        <stp/>
        <stp>DESCRIPTION</stp>
        <stp>NET</stp>
        <tr r="P15" s="1"/>
      </tp>
      <tp t="s">
        <v>NCR CORP COM</v>
        <stp/>
        <stp>DESCRIPTION</stp>
        <stp>NCR</stp>
        <tr r="C57" s="1"/>
      </tp>
      <tp t="s">
        <v>SERVICENOW INC COM</v>
        <stp/>
        <stp>DESCRIPTION</stp>
        <stp>NOW</stp>
        <tr r="J12" s="1"/>
      </tp>
      <tp t="s">
        <v>OPKO HEALTH INC COM</v>
        <stp/>
        <stp>DESCRIPTION</stp>
        <stp>OPK</stp>
        <tr r="CR31" s="1"/>
      </tp>
      <tp t="s">
        <v>OLO INC COM CL A</v>
        <stp/>
        <stp>DESCRIPTION</stp>
        <stp>OLO</stp>
        <tr r="C115" s="1"/>
      </tp>
      <tp t="s">
        <v>OMNICOM GROUP INC COM</v>
        <stp/>
        <stp>DESCRIPTION</stp>
        <stp>OMC</stp>
        <tr r="BJ12" s="1"/>
      </tp>
      <tp t="s">
        <v>HUT 8 MINING CORP COM</v>
        <stp/>
        <stp>DESCRIPTION</stp>
        <stp>HUT</stp>
        <tr r="C121" s="1"/>
      </tp>
      <tp t="s">
        <v>HIRERIGHT HLDGS CORP COM</v>
        <stp/>
        <stp>DESCRIPTION</stp>
        <stp>HRT</stp>
        <tr r="BC28" s="1"/>
      </tp>
      <tp t="s">
        <v>HASHICORP INC COM CL A</v>
        <stp/>
        <stp>DESCRIPTION</stp>
        <stp>HCP</stp>
        <tr r="C70" s="1"/>
      </tp>
      <tp t="s">
        <v>EXPENSIFY INC COM CL A</v>
        <stp/>
        <stp>DESCRIPTION</stp>
        <stp>EXFY</stp>
        <tr r="C138" s="1"/>
      </tp>
      <tp t="s">
        <v>NEXTGEN HEALTHCARE INC COM</v>
        <stp/>
        <stp>DESCRIPTION</stp>
        <stp>NXGN</stp>
        <tr r="CY19" s="1"/>
      </tp>
      <tp t="s">
        <v>EXPONENT INC COM</v>
        <stp/>
        <stp>DESCRIPTION</stp>
        <stp>EXPO</stp>
        <tr r="CE23" s="1"/>
      </tp>
      <tp t="s">
        <v>EXP WORLD HOLDINGS INC COM</v>
        <stp/>
        <stp>DESCRIPTION</stp>
        <stp>EXPI</stp>
        <tr r="CL15" s="1"/>
      </tp>
      <tp t="s">
        <v>INTERPUBLIC GROUP COS INC COM</v>
        <stp/>
        <stp>DESCRIPTION</stp>
        <stp>IPG</stp>
        <tr r="BJ13" s="1"/>
      </tp>
      <tp t="s">
        <v>IAC INC COM</v>
        <stp/>
        <stp>DESCRIPTION</stp>
        <stp>IAC</stp>
        <tr r="AB23" s="1"/>
      </tp>
      <tp t="s">
        <v>INTEGRAL AD SCIENCE HLDG CORP COM</v>
        <stp/>
        <stp>DESCRIPTION</stp>
        <stp>IAS</stp>
        <tr r="BJ15" s="1"/>
      </tp>
      <tp t="s">
        <v>INTERNATIONAL BUS MACH CORP COM</v>
        <stp/>
        <stp>DESCRIPTION</stp>
        <stp>IBM</stp>
        <tr r="V11" s="1"/>
      </tp>
      <tp t="s">
        <v>INTERCONTINENTAL EXCHANGE INC COM</v>
        <stp/>
        <stp>DESCRIPTION</stp>
        <stp>ICE</stp>
        <tr r="BX12" s="1"/>
      </tp>
      <tp t="s">
        <v>SAMSARA INC COM CL A</v>
        <stp/>
        <stp>DESCRIPTION</stp>
        <stp>IOT</stp>
        <tr r="C58" s="1"/>
      </tp>
      <tp t="s">
        <v>CYBERARK SOFTWARE LTD COM</v>
        <stp/>
        <stp>DESCRIPTION</stp>
        <stp>CYBR</stp>
        <tr r="J22" s="1"/>
      </tp>
      <tp t="s">
        <v>PAYCOR HCM INC COM</v>
        <stp/>
        <stp>DESCRIPTION</stp>
        <stp>PYCR</stp>
        <tr r="BC19" s="1"/>
      </tp>
      <tp t="s">
        <v>PLAYSTUDIOS IN COM</v>
        <stp/>
        <stp>DESCRIPTION</stp>
        <stp>MYPS</stp>
        <tr r="AI21" s="1"/>
      </tp>
      <tp t="s">
        <v>PAYPAL HOLDINGS INC COM</v>
        <stp/>
        <stp>DESCRIPTION</stp>
        <stp>PYPL</stp>
        <tr r="BQ13" s="1"/>
      </tp>
      <tp t="s">
        <v>JONES LANG LASALLE INC COM</v>
        <stp/>
        <stp>DESCRIPTION</stp>
        <stp>JLL</stp>
        <tr r="CL14" s="1"/>
      </tp>
      <tp t="s">
        <v>ASPEN TECHNOLOGY INC COM</v>
        <stp/>
        <stp>DESCRIPTION</stp>
        <stp>AZPN</stp>
        <tr r="C33" s="1"/>
      </tp>
      <tp t="s">
        <v>KORN FERRY COM</v>
        <stp/>
        <stp>DESCRIPTION</stp>
        <stp>KFY</stp>
        <tr r="BC23" s="1"/>
      </tp>
      <tp t="s">
        <v>KBR INC COM</v>
        <stp/>
        <stp>DESCRIPTION</stp>
        <stp>KBR</stp>
        <tr r="CE18" s="1"/>
      </tp>
      <tp t="s">
        <v>THE TRADE DESK INC COM CL A</v>
        <stp/>
        <stp>DESCRIPTION</stp>
        <stp>TTD</stp>
        <tr r="BJ11" s="1"/>
      </tp>
      <tp t="s">
        <v>THOMSON-REUTERS CORP COM</v>
        <stp/>
        <stp>DESCRIPTION</stp>
        <stp>TRI</stp>
        <tr r="CE11" s="1"/>
      </tp>
      <tp t="s">
        <v>TRANSUNION COM</v>
        <stp/>
        <stp>DESCRIPTION</stp>
        <stp>TRU</stp>
        <tr r="CE16" s="1"/>
      </tp>
      <tp t="s">
        <v>TYLER TECHNOLOGIES INC COM</v>
        <stp/>
        <stp>DESCRIPTION</stp>
        <stp>TYL</stp>
        <tr r="C28" s="1"/>
      </tp>
      <tp t="s">
        <v>TERADATA CORPORATION COM</v>
        <stp/>
        <stp>DESCRIPTION</stp>
        <stp>TDC</stp>
        <tr r="J26" s="1"/>
      </tp>
      <tp t="s">
        <v>TRUEBLUE INC COM</v>
        <stp/>
        <stp>DESCRIPTION</stp>
        <stp>TBI</stp>
        <tr r="BC31" s="1"/>
      </tp>
      <tp t="s">
        <v>TENCENT MUSIC ENTERTAINMENT GR ADR</v>
        <stp/>
        <stp>DESCRIPTION</stp>
        <stp>TME</stp>
        <tr r="AP17" s="1"/>
      </tp>
      <tp t="s">
        <v>GODADDY INC COM CL A</v>
        <stp/>
        <stp>DESCRIPTION</stp>
        <stp>GDDY</stp>
        <tr r="P20" s="1"/>
      </tp>
      <tp t="s">
        <v>ADEIA INC COM</v>
        <stp/>
        <stp>DESCRIPTION</stp>
        <stp>ADEA</stp>
        <tr r="J40" s="1"/>
      </tp>
      <tp t="s">
        <v>REDFIN CORPORATION COM</v>
        <stp/>
        <stp>DESCRIPTION</stp>
        <stp>RDFN</stp>
        <tr r="CL21" s="1"/>
      </tp>
      <tp t="s">
        <v>SCHRODINGER INC COM</v>
        <stp/>
        <stp>DESCRIPTION</stp>
        <stp>SDGR</stp>
        <tr r="CY15" s="1"/>
      </tp>
      <tp t="s">
        <v>CERIDIAN HCM HLDG INC COM</v>
        <stp/>
        <stp>DESCRIPTION</stp>
        <stp>CDAY</stp>
        <tr r="BC13" s="1"/>
      </tp>
      <tp t="s">
        <v>WORKDAY INC COM CL A</v>
        <stp/>
        <stp>DESCRIPTION</stp>
        <stp>WDAY</stp>
        <tr r="C17" s="1"/>
      </tp>
      <tp t="s">
        <v>NASDAQ INC COM</v>
        <stp/>
        <stp>DESCRIPTION</stp>
        <stp>NDAQ</stp>
        <tr r="BX15" s="1"/>
      </tp>
      <tp t="s">
        <v>ADOBE INC COM</v>
        <stp/>
        <stp>DESCRIPTION</stp>
        <stp>ADBE</stp>
        <tr r="C10" s="1"/>
      </tp>
      <tp t="s">
        <v>INTERDIGITAL INC COM</v>
        <stp/>
        <stp>DESCRIPTION</stp>
        <stp>IDCC</stp>
        <tr r="C83" s="1"/>
      </tp>
      <tp t="s">
        <v>CARDLYTICS INC COM</v>
        <stp/>
        <stp>DESCRIPTION</stp>
        <stp>CDLX</stp>
        <tr r="BJ26" s="1"/>
      </tp>
      <tp t="s">
        <v>RADNET INC COM</v>
        <stp/>
        <stp>DESCRIPTION</stp>
        <stp>RDNT</stp>
        <tr r="CR26" s="1"/>
      </tp>
      <tp t="s">
        <v>CADENCE DESIGN SYSTEMS INC COM</v>
        <stp/>
        <stp>DESCRIPTION</stp>
        <stp>CDNS</stp>
        <tr r="C15" s="1"/>
      </tp>
      <tp t="s">
        <v>LEIDOS HOLDINGS INC COM</v>
        <stp/>
        <stp>DESCRIPTION</stp>
        <stp>LDOS</stp>
        <tr r="CE17" s="1"/>
      </tp>
      <tp t="s">
        <v>DATADOG INC COM CL A</v>
        <stp/>
        <stp>DESCRIPTION</stp>
        <stp>DDOG</stp>
        <tr r="C21" s="1"/>
      </tp>
      <tp t="s">
        <v>TELADOC HEALTH INC COM</v>
        <stp/>
        <stp>DESCRIPTION</stp>
        <stp>TDOC</stp>
        <tr r="CY11" s="1"/>
      </tp>
      <tp t="s">
        <v>ADDUS HOMECARE CORP COM</v>
        <stp/>
        <stp>DESCRIPTION</stp>
        <stp>ADUS</stp>
        <tr r="CR28" s="1"/>
      </tp>
      <tp t="s">
        <v>GOODRX HLDGS INC COM CL A</v>
        <stp/>
        <stp>DESCRIPTION</stp>
        <stp>GDRX</stp>
        <tr r="CY23" s="1"/>
      </tp>
      <tp t="s">
        <v>VERADIGM INC COM</v>
        <stp/>
        <stp>DESCRIPTION</stp>
        <stp>MDRX</stp>
        <tr r="CY17" s="1"/>
      </tp>
      <tp t="s">
        <v>AUTODESK INC COM</v>
        <stp/>
        <stp>DESCRIPTION</stp>
        <stp>ADSK</stp>
        <tr r="C18" s="1"/>
      </tp>
      <tp t="s">
        <v>GRID DYNAMICS HOLDINGS INC COM CL A</v>
        <stp/>
        <stp>DESCRIPTION</stp>
        <stp>GDYN</stp>
        <tr r="V25" s="1"/>
      </tp>
      <tp t="s">
        <v>VEEVA SYSTEMS INC COM CL A</v>
        <stp/>
        <stp>DESCRIPTION</stp>
        <stp>VEEV</stp>
        <tr r="CY10" s="1"/>
      </tp>
      <tp t="s">
        <v>EURONET WORLDWIDE INC COM</v>
        <stp/>
        <stp>DESCRIPTION</stp>
        <stp>EEFT</stp>
        <tr r="BQ24" s="1"/>
      </tp>
      <tp t="s">
        <v>PEGASYSTEMS INC COM</v>
        <stp/>
        <stp>DESCRIPTION</stp>
        <stp>PEGA</stp>
        <tr r="C60" s="1"/>
      </tp>
      <tp t="s">
        <v>THE REAL BROKERAGE INC COM</v>
        <stp/>
        <stp>DESCRIPTION</stp>
        <stp>REAX</stp>
        <tr r="CL24" s="1"/>
      </tp>
      <tp t="s">
        <v>WEAVE COMMUNICATIONS INC COM</v>
        <stp/>
        <stp>DESCRIPTION</stp>
        <stp>WEAV</stp>
        <tr r="C114" s="1"/>
      </tp>
      <tp t="s">
        <v>VIVID SEATS INC COM CL A</v>
        <stp/>
        <stp>DESCRIPTION</stp>
        <stp>SEAT</stp>
        <tr r="AP32" s="1"/>
      </tp>
      <tp t="s">
        <v>ATLASSIAN CORP COM CL A</v>
        <stp/>
        <stp>DESCRIPTION</stp>
        <stp>TEAM</stp>
        <tr r="C20" s="1"/>
      </tp>
      <tp t="s">
        <v>RELX PLC ADR SPONSORED</v>
        <stp/>
        <stp>DESCRIPTION</stp>
        <stp>RELX</stp>
        <tr r="CE10" s="1"/>
      </tp>
      <tp t="s">
        <v>REMITLY GLOBAL INC COM</v>
        <stp/>
        <stp>DESCRIPTION</stp>
        <stp>RELY</stp>
        <tr r="BQ23" s="1"/>
      </tp>
      <tp t="s">
        <v>YELP INC COM CL A</v>
        <stp/>
        <stp>DESCRIPTION</stp>
        <stp>YELP</stp>
        <tr r="AB26" s="1"/>
      </tp>
      <tp t="s">
        <v>SEMRUSH HLDGS INC COM CL A</v>
        <stp/>
        <stp>DESCRIPTION</stp>
        <stp>SEMR</stp>
        <tr r="C102" s="1"/>
      </tp>
      <tp t="s">
        <v>TENABLE HOLDINGS INC COM</v>
        <stp/>
        <stp>DESCRIPTION</stp>
        <stp>TENB</stp>
        <tr r="J24" s="1"/>
      </tp>
      <tp t="s">
        <v>KE HOLDINGS INC ADR</v>
        <stp/>
        <stp>DESCRIPTION</stp>
        <stp>BEKE</stp>
        <tr r="CL10" s="1"/>
      </tp>
      <tp t="s">
        <v>GETTY IMAGES HOLDINGS INC COM CL A</v>
        <stp/>
        <stp>DESCRIPTION</stp>
        <stp>GETY</stp>
        <tr r="AB32" s="1"/>
      </tp>
      <tp t="s">
        <v>META PLATFORMS INC COM CL A</v>
        <stp/>
        <stp>DESCRIPTION</stp>
        <stp>META</stp>
        <tr r="AB12" s="1"/>
      </tp>
      <tp t="s">
        <v>ZETA GLOBAL HLDGS CORP COM CL A</v>
        <stp/>
        <stp>DESCRIPTION</stp>
        <stp>ZETA</stp>
        <tr r="C95" s="1"/>
      </tp>
      <tp t="s">
        <v>NEW RELIC INC COM</v>
        <stp/>
        <stp>DESCRIPTION</stp>
        <stp>NEWR</stp>
        <tr r="C48" s="1"/>
      </tp>
      <tp t="s">
        <v>VERTEX INC COM CL A</v>
        <stp/>
        <stp>DESCRIPTION</stp>
        <stp>VERX</stp>
        <tr r="C100" s="1"/>
      </tp>
      <tp t="s">
        <v>CERTARA INC COM</v>
        <stp/>
        <stp>DESCRIPTION</stp>
        <stp>CERT</stp>
        <tr r="CY14" s="1"/>
      </tp>
      <tp t="s">
        <v>PERION NETWORK LTD COM</v>
        <stp/>
        <stp>DESCRIPTION</stp>
        <stp>PERI</stp>
        <tr r="BJ17" s="1"/>
      </tp>
      <tp t="s">
        <v>YEXT INC COM</v>
        <stp/>
        <stp>DESCRIPTION</stp>
        <stp>YEXT</stp>
        <tr r="C103" s="1"/>
      </tp>
      <tp t="s">
        <v>VIEMED HEALTHCARE INC COM</v>
        <stp/>
        <stp>DESCRIPTION</stp>
        <stp>VMD</stp>
        <tr r="CR42" s="1"/>
      </tp>
      <tp t="s">
        <v>VMWARE INC COM CL A</v>
        <stp/>
        <stp>DESCRIPTION</stp>
        <stp>VMW</stp>
        <tr r="J13" s="1"/>
      </tp>
      <tp t="s">
        <v>NETFLIX INC COM</v>
        <stp/>
        <stp>DESCRIPTION</stp>
        <stp>NFLX</stp>
        <tr r="AP10" s="1"/>
      </tp>
      <tp t="s">
        <v>CONFLUENT INC COM</v>
        <stp/>
        <stp>DESCRIPTION</stp>
        <stp>CFLT</stp>
        <tr r="C43" s="1"/>
      </tp>
      <tp t="s">
        <v>DONNELLEY FIN SOLUTIONS INC COM</v>
        <stp/>
        <stp>DESCRIPTION</stp>
        <stp>DFIN</stp>
        <tr r="BX20" s="1"/>
      </tp>
      <tp t="s">
        <v>AFFIRM HLDGS INC COM CL A</v>
        <stp/>
        <stp>DESCRIPTION</stp>
        <stp>AFRM</stp>
        <tr r="BQ27" s="1"/>
      </tp>
      <tp t="s">
        <v>LIFESTANCE HEALTH GROUP INC COM</v>
        <stp/>
        <stp>DESCRIPTION</stp>
        <stp>LFST</stp>
        <tr r="CR24" s="1"/>
      </tp>
      <tp t="s">
        <v>WORLD WRESTLING ENTERTAINMENT COM CL A</v>
        <stp/>
        <stp>DESCRIPTION</stp>
        <stp>WWE</stp>
        <tr r="AP20" s="1"/>
      </tp>
      <tp t="s">
        <v>WPP PLC ADR SPONSORED</v>
        <stp/>
        <stp>DESCRIPTION</stp>
        <stp>WPP</stp>
        <tr r="BJ10" s="1"/>
      </tp>
      <tp t="s">
        <v>WEX INC COM</v>
        <stp/>
        <stp>DESCRIPTION</stp>
        <stp>WEX</stp>
        <tr r="BQ20" s="1"/>
      </tp>
      <tp t="s">
        <v>WARNER BROS DISCOVERY INC COM</v>
        <stp/>
        <stp>DESCRIPTION</stp>
        <stp>WBD</stp>
        <tr r="AP12" s="1"/>
      </tp>
      <tp t="s">
        <v>WARNER MUSIC GROUP CORP COM CL A</v>
        <stp/>
        <stp>DESCRIPTION</stp>
        <stp>WMG</stp>
        <tr r="AP21" s="1"/>
      </tp>
      <tp t="s">
        <v>WIPRO ADR SPONSORED</v>
        <stp/>
        <stp>DESCRIPTION</stp>
        <stp>WIT</stp>
        <tr r="V15" s="1"/>
      </tp>
      <tp t="s">
        <v>WIX.COM LTD COM</v>
        <stp/>
        <stp>DESCRIPTION</stp>
        <stp>WIX</stp>
        <tr r="P21" s="1"/>
      </tp>
      <tp t="s">
        <v>COGNYTE SOFTWARE LTD COM</v>
        <stp/>
        <stp>DESCRIPTION</stp>
        <stp>CGNT</stp>
        <tr r="C135" s="1"/>
      </tp>
      <tp t="s">
        <v>MAGNITE INC COM</v>
        <stp/>
        <stp>DESCRIPTION</stp>
        <stp>MGNI</stp>
        <tr r="BJ18" s="1"/>
      </tp>
      <tp t="s">
        <v>8X8 INC NEW COM</v>
        <stp/>
        <stp>DESCRIPTION</stp>
        <stp>EGHT</stp>
        <tr r="C130" s="1"/>
      </tp>
      <tp t="s">
        <v>AGILITI INC COM</v>
        <stp/>
        <stp>DESCRIPTION</stp>
        <stp>AGTI</stp>
        <tr r="CR29" s="1"/>
      </tp>
      <tp t="s">
        <v>PTC INC COM</v>
        <stp/>
        <stp>DESCRIPTION</stp>
        <stp>PTC</stp>
        <tr r="C25" s="1"/>
      </tp>
      <tp t="s">
        <v>PROS HOLDINGS INC COM</v>
        <stp/>
        <stp>DESCRIPTION</stp>
        <stp>PRO</stp>
        <tr r="C91" s="1"/>
      </tp>
      <tp t="s">
        <v>PAGAYA TECHNOLOGIES LTD COM CL A</v>
        <stp/>
        <stp>DESCRIPTION</stp>
        <stp>PGY</stp>
        <tr r="C98" s="1"/>
      </tp>
      <tp t="s">
        <v>PHREESIA INC COM</v>
        <stp/>
        <stp>DESCRIPTION</stp>
        <stp>PHR</stp>
        <tr r="CY16" s="1"/>
      </tp>
      <tp t="s">
        <v>PAGSEGURO DIGITAL LTD COM</v>
        <stp/>
        <stp>DESCRIPTION</stp>
        <stp>PAGS</stp>
        <tr r="BQ33" s="1"/>
      </tp>
      <tp t="s">
        <v>N ABLE INC COM</v>
        <stp/>
        <stp>DESCRIPTION</stp>
        <stp>NABL</stp>
        <tr r="J35" s="1"/>
      </tp>
      <tp t="s">
        <v>YALLA GROUP LTD ADR</v>
        <stp/>
        <stp>DESCRIPTION</stp>
        <stp>YALA</stp>
        <tr r="AB41" s="1"/>
      </tp>
      <tp t="s">
        <v>LIVERAMP HOLDINGS INC COM</v>
        <stp/>
        <stp>DESCRIPTION</stp>
        <stp>RAMP</stp>
        <tr r="C85" s="1"/>
      </tp>
      <tp t="s">
        <v>JAMF HOLDING CORP COM</v>
        <stp/>
        <stp>DESCRIPTION</stp>
        <stp>JAMF</stp>
        <tr r="C84" s="1"/>
      </tp>
      <tp t="s">
        <v>GAMBLING.COM GROUP LIMITED COM</v>
        <stp/>
        <stp>DESCRIPTION</stp>
        <stp>GAMB</stp>
        <tr r="BJ27" s="1"/>
      </tp>
      <tp t="s">
        <v>PALO ALTO NETWORKS INC COM</v>
        <stp/>
        <stp>DESCRIPTION</stp>
        <stp>PANW</stp>
        <tr r="J14" s="1"/>
      </tp>
      <tp t="s">
        <v>MANCHESTER UTD PLC NEW COM</v>
        <stp/>
        <stp>DESCRIPTION</stp>
        <stp>MANU</stp>
        <tr r="AP28" s="1"/>
      </tp>
      <tp t="s">
        <v>MANHATTAN ASSOCIATES INC COM</v>
        <stp/>
        <stp>DESCRIPTION</stp>
        <stp>MANH</stp>
        <tr r="C34" s="1"/>
      </tp>
      <tp t="s">
        <v>SCIENCE APPLICATION INTL CORP COM</v>
        <stp/>
        <stp>DESCRIPTION</stp>
        <stp>SAIC</stp>
        <tr r="CE20" s="1"/>
      </tp>
      <tp t="s">
        <v>UIPATH INC COM CL A</v>
        <stp/>
        <stp>DESCRIPTION</stp>
        <stp>PATH</stp>
        <tr r="J21" s="1"/>
      </tp>
      <tp t="s">
        <v>ENDAVA PLC ADR</v>
        <stp/>
        <stp>DESCRIPTION</stp>
        <stp>DAVA</stp>
        <tr r="V23" s="1"/>
      </tp>
      <tp t="s">
        <v>CARS COM INC COM</v>
        <stp/>
        <stp>DESCRIPTION</stp>
        <stp>CARS</stp>
        <tr r="AB34" s="1"/>
      </tp>
      <tp t="s">
        <v>CARGURUS INC COM CL A</v>
        <stp/>
        <stp>DESCRIPTION</stp>
        <stp>CARG</stp>
        <tr r="AB31" s="1"/>
      </tp>
      <tp t="s">
        <v>MARATHON DIGITAL HOLDINGS INC COM</v>
        <stp/>
        <stp>DESCRIPTION</stp>
        <stp>MARA</stp>
        <tr r="C77" s="1"/>
      </tp>
      <tp t="s">
        <v>PAYCHEX INC COM</v>
        <stp/>
        <stp>DESCRIPTION</stp>
        <stp>PAYX</stp>
        <tr r="BC11" s="1"/>
      </tp>
      <tp t="s">
        <v>PAYONEER GLOBAL INC COM</v>
        <stp/>
        <stp>DESCRIPTION</stp>
        <stp>PAYO</stp>
        <tr r="BQ31" s="1"/>
      </tp>
      <tp t="s">
        <v>PAYCOM SOFTWARE INC COM</v>
        <stp/>
        <stp>DESCRIPTION</stp>
        <stp>PAYC</stp>
        <tr r="BC12" s="1"/>
      </tp>
      <tp t="s">
        <v>RUMBLE INC COM CL A</v>
        <stp/>
        <stp>DESCRIPTION</stp>
        <stp>RUM</stp>
        <tr r="AB39" s="1"/>
      </tp>
      <tp t="s">
        <v>RAPID7 INC COM</v>
        <stp/>
        <stp>DESCRIPTION</stp>
        <stp>RPD</stp>
        <tr r="J31" s="1"/>
      </tp>
      <tp t="s">
        <v>RACKSPACE TECHNOLOGY INC COM</v>
        <stp/>
        <stp>DESCRIPTION</stp>
        <stp>RXT</stp>
        <tr r="P28" s="1"/>
      </tp>
      <tp t="s">
        <v>SHS R1 RCM INC ORD COM</v>
        <stp/>
        <stp>DESCRIPTION</stp>
        <stp>RCM</stp>
        <tr r="CR17" s="1"/>
      </tp>
      <tp t="s">
        <v>RINGCENTRAL INC COM CL A</v>
        <stp/>
        <stp>DESCRIPTION</stp>
        <stp>RNG</stp>
        <tr r="C76" s="1"/>
      </tp>
      <tp t="s">
        <v>ROPER TECHNOLOGIES INC COM</v>
        <stp/>
        <stp>DESCRIPTION</stp>
        <stp>ROP</stp>
        <tr r="C16" s="1"/>
      </tp>
      <tp t="s">
        <v>ROBERT HALF INC COM</v>
        <stp/>
        <stp>DESCRIPTION</stp>
        <stp>RHI</stp>
        <tr r="BC16" s="1"/>
      </tp>
      <tp t="s">
        <v>ROBLOX CORP COM CL A</v>
        <stp/>
        <stp>DESCRIPTION</stp>
        <stp>RBLX</stp>
        <tr r="AI15" s="1"/>
      </tp>
      <tp t="s">
        <v>TABOOLA.COM LTD COM</v>
        <stp/>
        <stp>DESCRIPTION</stp>
        <stp>TBLA</stp>
        <tr r="AB36" s="1"/>
      </tp>
      <tp t="s">
        <v>EBIX INC COM</v>
        <stp/>
        <stp>DESCRIPTION</stp>
        <stp>EBIX</stp>
        <tr r="C128" s="1"/>
      </tp>
      <tp t="s">
        <v>CBRE GROUP INC COM CL A</v>
        <stp/>
        <stp>DESCRIPTION</stp>
        <stp>CBRE</stp>
        <tr r="CL12" s="1"/>
      </tp>
      <tp t="s">
        <v>SOLARWINDS CORPORATION COM</v>
        <stp/>
        <stp>DESCRIPTION</stp>
        <stp>SWI</stp>
        <tr r="J37" s="1"/>
      </tp>
      <tp t="s">
        <v>SPROUT SOCIAL INC COM CL A</v>
        <stp/>
        <stp>DESCRIPTION</stp>
        <stp>SPT</stp>
        <tr r="C81" s="1"/>
      </tp>
      <tp t="s">
        <v>SAP SE ADR SPONSORED</v>
        <stp/>
        <stp>DESCRIPTION</stp>
        <stp>SAP</stp>
        <tr r="C12" s="1"/>
      </tp>
      <tp t="s">
        <v>DOCGO INC COM</v>
        <stp/>
        <stp>DESCRIPTION</stp>
        <stp>DCGO</stp>
        <tr r="CR33" s="1"/>
      </tp>
      <tp t="s">
        <v>HEALTH CATALYST INC COM</v>
        <stp/>
        <stp>DESCRIPTION</stp>
        <stp>HCAT</stp>
        <tr r="CY22" s="1"/>
      </tp>
      <tp t="s">
        <v>CCC INTELLIGENT SOLUTIONS HLDG COM</v>
        <stp/>
        <stp>DESCRIPTION</stp>
        <stp>CCCS</stp>
        <tr r="C44" s="1"/>
      </tp>
      <tp t="s">
        <v>ACCOLADE INC COM</v>
        <stp/>
        <stp>DESCRIPTION</stp>
        <stp>ACCD</stp>
        <tr r="CR34" s="1"/>
      </tp>
      <tp t="s">
        <v>NCINO INC COM</v>
        <stp/>
        <stp>DESCRIPTION</stp>
        <stp>NCNO</stp>
        <tr r="C66" s="1"/>
      </tp>
      <tp t="s">
        <v>PROCORE TECHNOLOGIES INC COM</v>
        <stp/>
        <stp>DESCRIPTION</stp>
        <stp>PCOR</stp>
        <tr r="C40" s="1"/>
      </tp>
      <tp t="s">
        <v>ACI WORLDWIDE INC COM</v>
        <stp/>
        <stp>DESCRIPTION</stp>
        <stp>ACIW</stp>
        <tr r="C74" s="1"/>
      </tp>
      <tp t="s">
        <v>HACKETT GROUP INC COM</v>
        <stp/>
        <stp>DESCRIPTION</stp>
        <stp>HCKT</stp>
        <tr r="V26" s="1"/>
      </tp>
      <tp t="s">
        <v>THE9 LTD ADR</v>
        <stp/>
        <stp>DESCRIPTION</stp>
        <stp>NCTY</stp>
        <tr r="AI19" s="1"/>
      </tp>
      <tp t="s">
        <v>PAYLOCITY HOLDING CORPORATION COM</v>
        <stp/>
        <stp>DESCRIPTION</stp>
        <stp>PCTY</stp>
        <tr r="BC15" s="1"/>
      </tp>
      <tp t="s">
        <v>SCIPLAY CORPORATION COM CL A</v>
        <stp/>
        <stp>DESCRIPTION</stp>
        <stp>SCPL</stp>
        <tr r="AI20" s="1"/>
      </tp>
      <tp t="s">
        <v>CROSS COUNTRY HEALTHCARE INC COM</v>
        <stp/>
        <stp>DESCRIPTION</stp>
        <stp>CCRN</stp>
        <tr r="CR36" s="1"/>
      </tp>
      <tp t="s">
        <v>DYNATRACE INC COM</v>
        <stp/>
        <stp>DESCRIPTION</stp>
        <stp>DT</stp>
        <tr r="C31" s="1"/>
      </tp>
      <tp t="s">
        <v>DOUBLEVERIFY HLDGS INC COM</v>
        <stp/>
        <stp>DESCRIPTION</stp>
        <stp>DV</stp>
        <tr r="C49" s="1"/>
      </tp>
      <tp t="s">
        <v>DEFINITIVE HEALTHCARE CORP COM</v>
        <stp/>
        <stp>DESCRIPTION</stp>
        <stp>DH</stp>
        <tr r="CY20" s="1"/>
      </tp>
      <tp t="s">
        <v>ELECTRONIC ARTS INC COM</v>
        <stp/>
        <stp>DESCRIPTION</stp>
        <stp>EA</stp>
        <tr r="AI12" s="1"/>
      </tp>
      <tp t="s">
        <v>EVENTBRITE INC COM CL A</v>
        <stp/>
        <stp>DESCRIPTION</stp>
        <stp>EB</stp>
        <tr r="AB37" s="1"/>
      </tp>
      <tp t="s">
        <v>FIRST ADVANTAGE CORP NEW COM</v>
        <stp/>
        <stp>DESCRIPTION</stp>
        <stp>FA</stp>
        <tr r="BC24" s="1"/>
      </tp>
      <tp t="s">
        <v>FISERV INC COM</v>
        <stp/>
        <stp>DESCRIPTION</stp>
        <stp>FI</stp>
        <tr r="BQ12" s="1"/>
      </tp>
      <tp t="s">
        <v>GLOBAL BLUE GROUP HOLDING AG COM</v>
        <stp/>
        <stp>DESCRIPTION</stp>
        <stp>GB</stp>
        <tr r="BQ35" s="1"/>
      </tp>
      <tp t="s">
        <v>GUARDANT HEALTH INC COM</v>
        <stp/>
        <stp>DESCRIPTION</stp>
        <stp>GH</stp>
        <tr r="CR19" s="1"/>
      </tp>
      <tp t="s">
        <v>C3.AI INC COM CL A</v>
        <stp/>
        <stp>DESCRIPTION</stp>
        <stp>AI</stp>
        <tr r="C62" s="1"/>
      </tp>
      <tp t="s">
        <v>KANZHUN LTD ADR</v>
        <stp/>
        <stp>DESCRIPTION</stp>
        <stp>BZ</stp>
        <tr r="AB21" s="1"/>
      </tp>
      <tp t="s">
        <v>BLACKBERRY LTD COM</v>
        <stp/>
        <stp>DESCRIPTION</stp>
        <stp>BB</stp>
        <tr r="J33" s="1"/>
      </tp>
      <tp t="s">
        <v>BLACKLINE INC COM</v>
        <stp/>
        <stp>DESCRIPTION</stp>
        <stp>BL</stp>
        <tr r="C67" s="1"/>
      </tp>
      <tp t="s">
        <v>CHINDATA GROUP HLDGS LTD ADR</v>
        <stp/>
        <stp>DESCRIPTION</stp>
        <stp>CD</stp>
        <tr r="P22" s="1"/>
      </tp>
      <tp t="s">
        <v>THE CIGNA GROUP COM</v>
        <stp/>
        <stp>DESCRIPTION</stp>
        <stp>CI</stp>
        <tr r="CR11" s="1"/>
      </tp>
      <tp t="s">
        <v>LEGALZOOM COM INC COM</v>
        <stp/>
        <stp>DESCRIPTION</stp>
        <stp>LZ</stp>
        <tr r="CE25" s="1"/>
      </tp>
      <tp t="s">
        <v>LABORATORY CORP AMER HLDGS COM</v>
        <stp/>
        <stp>DESCRIPTION</stp>
        <stp>LH</stp>
        <tr r="CR12" s="1"/>
      </tp>
      <tp t="s">
        <v>MARQETA INC COM</v>
        <stp/>
        <stp>DESCRIPTION</stp>
        <stp>MQ</stp>
        <tr r="BQ29" s="1"/>
      </tp>
      <tp t="s">
        <v>PEDIATRIX MEDICAL GROUP INC COM</v>
        <stp/>
        <stp>DESCRIPTION</stp>
        <stp>MD</stp>
        <tr r="CR32" s="1"/>
      </tp>
      <tp t="s">
        <v>23ANDME HLDG CO COM</v>
        <stp/>
        <stp>DESCRIPTION</stp>
        <stp>ME</stp>
        <tr r="CR40" s="1"/>
      </tp>
      <tp t="s">
        <v>MASTERCARD INCORPORATED COM CL A</v>
        <stp/>
        <stp>DESCRIPTION</stp>
        <stp>MA</stp>
        <tr r="BQ11" s="1"/>
      </tp>
      <tp t="s">
        <v>NEXTNAV INC COM</v>
        <stp/>
        <stp>DESCRIPTION</stp>
        <stp>NN</stp>
        <tr r="C127" s="1"/>
      </tp>
      <tp t="s">
        <v>GARTNER INC COM</v>
        <stp/>
        <stp>DESCRIPTION</stp>
        <stp>IT</stp>
        <tr r="V14" s="1"/>
      </tp>
      <tp t="s">
        <v>IQIYI INC ADR</v>
        <stp/>
        <stp>DESCRIPTION</stp>
        <stp>IQ</stp>
        <tr r="AP15" s="1"/>
      </tp>
      <tp t="s">
        <v>KYNDRYL HLDGS INC COM</v>
        <stp/>
        <stp>DESCRIPTION</stp>
        <stp>KD</stp>
        <tr r="V21" s="1"/>
      </tp>
      <tp t="s">
        <v>KINGSOFT CLOUD HLDGS LTD ADR</v>
        <stp/>
        <stp>DESCRIPTION</stp>
        <stp>KC</stp>
        <tr r="P14" s="1"/>
      </tp>
      <tp t="s">
        <v>TRADEWEB MARKETS INC COM CL A</v>
        <stp/>
        <stp>DESCRIPTION</stp>
        <stp>TW</stp>
        <tr r="BX18" s="1"/>
      </tp>
      <tp t="s">
        <v>WESTERN UNION COMPANY (THE) COM</v>
        <stp/>
        <stp>DESCRIPTION</stp>
        <stp>WU</stp>
        <tr r="BQ22" s="1"/>
      </tp>
      <tp t="s">
        <v>WEIBO CORPORATION ADR</v>
        <stp/>
        <stp>DESCRIPTION</stp>
        <stp>WB</stp>
        <tr r="AB28" s="1"/>
      </tp>
      <tp t="s">
        <v>WORKIVA INC COM CL A</v>
        <stp/>
        <stp>DESCRIPTION</stp>
        <stp>WK</stp>
        <tr r="C53" s="1"/>
      </tp>
      <tp t="s">
        <v>PAGERDUTY INC COM</v>
        <stp/>
        <stp>DESCRIPTION</stp>
        <stp>PD</stp>
        <tr r="C82" s="1"/>
      </tp>
      <tp t="s">
        <v>PLANET LABS PBC COM CL A</v>
        <stp/>
        <stp>DESCRIPTION</stp>
        <stp>PL</stp>
        <tr r="CE27" s="1"/>
      </tp>
      <tp t="s">
        <v>BLOCK INC COM CL A</v>
        <stp/>
        <stp>DESCRIPTION</stp>
        <stp>SQ</stp>
        <tr r="BQ16" s="1"/>
      </tp>
      <tp t="s">
        <v>SEA LIMITED ADR</v>
        <stp/>
        <stp>DESCRIPTION</stp>
        <stp>SE</stp>
        <tr r="AI14" s="1"/>
      </tp>
      <tp t="s">
        <v>JOYY INC ADR</v>
        <stp/>
        <stp>DESCRIPTION</stp>
        <stp>YY</stp>
        <tr r="AB16" s="1"/>
      </tp>
      <tp t="s">
        <v>ZSCALER INC COM</v>
        <stp/>
        <stp>DESCRIPTION</stp>
        <stp>ZS</stp>
        <tr r="J17" s="1"/>
      </tp>
      <tp t="s">
        <v>ZIFF DAVIS INC COM</v>
        <stp/>
        <stp>DESCRIPTION</stp>
        <stp>ZD</stp>
        <tr r="AB25" s="1"/>
      </tp>
      <tp t="s">
        <v>ZILLOW GROUP INC COM CL A</v>
        <stp/>
        <stp>DESCRIPTION</stp>
        <stp>ZG</stp>
        <tr r="CL16" s="1"/>
      </tp>
      <tp t="s">
        <v>ZOOM VIDEO COMMUNICATIONS INC COM CL A</v>
        <stp/>
        <stp>DESCRIPTION</stp>
        <stp>ZM</stp>
        <tr r="C26" s="1"/>
      </tp>
      <tp t="s">
        <v>ZHIHU INC ADR</v>
        <stp/>
        <stp>DESCRIPTION</stp>
        <stp>ZH</stp>
        <tr r="AB47" s="1"/>
      </tp>
      <tp t="s">
        <v>ZOOMINFO TECHNOLOGIES INC COM</v>
        <stp/>
        <stp>DESCRIPTION</stp>
        <stp>ZI</stp>
        <tr r="AB22" s="1"/>
      </tp>
      <tp t="s">
        <v>FULGENT GENETICS INC COM</v>
        <stp/>
        <stp>DESCRIPTION</stp>
        <stp>FLGT</stp>
        <tr r="CR35" s="1"/>
      </tp>
      <tp t="s">
        <v>CELLEBRITE DI LTD COM</v>
        <stp/>
        <stp>DESCRIPTION</stp>
        <stp>CLBT</stp>
        <tr r="C93" s="1"/>
      </tp>
      <tp t="s">
        <v>BLEND LABS INC COM CL A</v>
        <stp/>
        <stp>DESCRIPTION</stp>
        <stp>BLND</stp>
        <tr r="C137" s="1"/>
      </tp>
      <tp t="s">
        <v>GLOBANT SA COM</v>
        <stp/>
        <stp>DESCRIPTION</stp>
        <stp>GLOB</stp>
        <tr r="V18" s="1"/>
      </tp>
      <tp t="s">
        <v>ALIGHT INC COM CL A</v>
        <stp/>
        <stp>DESCRIPTION</stp>
        <stp>ALIT</stp>
        <tr r="BC18" s="1"/>
      </tp>
      <tp t="s">
        <v>ALKAMI TECHNOLOGY COM</v>
        <stp/>
        <stp>DESCRIPTION</stp>
        <stp>ALKT</stp>
        <tr r="C96" s="1"/>
      </tp>
      <tp t="s">
        <v>BLACKBAUD INC COM</v>
        <stp/>
        <stp>DESCRIPTION</stp>
        <stp>BLKB</stp>
        <tr r="C59" s="1"/>
      </tp>
      <tp t="s">
        <v>ALTAIR ENGINEERING INC COM CL A</v>
        <stp/>
        <stp>DESCRIPTION</stp>
        <stp>ALTR</stp>
        <tr r="C65" s="1"/>
      </tp>
      <tp t="s">
        <v>PALANTIR TECH INC COM CL A</v>
        <stp/>
        <stp>DESCRIPTION</stp>
        <stp>PLTR</stp>
        <tr r="C19" s="1"/>
      </tp>
      <tp t="s">
        <v>PLAYTIKA HLDG CORP COM</v>
        <stp/>
        <stp>DESCRIPTION</stp>
        <stp>PLTK</stp>
        <tr r="AI18" s="1"/>
      </tp>
      <tp t="s">
        <v>CLARIVATE PLC COM</v>
        <stp/>
        <stp>DESCRIPTION</stp>
        <stp>CLVT</stp>
        <tr r="CE21" s="1"/>
      </tp>
      <tp t="s">
        <v>ALARM.COM HOLDINGS INC COM</v>
        <stp/>
        <stp>DESCRIPTION</stp>
        <stp>ALRM</stp>
        <tr r="C69" s="1"/>
      </tp>
      <tp t="s">
        <v>CLEANSPARK INC COM</v>
        <stp/>
        <stp>DESCRIPTION</stp>
        <stp>CLSK</stp>
        <tr r="C107" s="1"/>
      </tp>
      <tp t="s">
        <v>FLYWIRE CORP COM</v>
        <stp/>
        <stp>DESCRIPTION</stp>
        <stp>FLYW</stp>
        <tr r="BQ26" s="1"/>
      </tp>
      <tp t="s">
        <v>QUALYS INC COM</v>
        <stp/>
        <stp>DESCRIPTION</stp>
        <stp>QLYS</stp>
        <tr r="J23" s="1"/>
      </tp>
      <tp t="s">
        <v>VIMEO INC COM</v>
        <stp/>
        <stp>DESCRIPTION</stp>
        <stp>VMEO</stp>
        <tr r="AB42" s="1"/>
      </tp>
      <tp t="s">
        <v>APOLLO MEDICAL HOLDINGS INC COM</v>
        <stp/>
        <stp>DESCRIPTION</stp>
        <stp>AMEH</stp>
        <tr r="CR25" s="1"/>
      </tp>
      <tp t="s">
        <v>AMEDISYS INC COM</v>
        <stp/>
        <stp>DESCRIPTION</stp>
        <stp>AMED</stp>
        <tr r="CR23" s="1"/>
      </tp>
      <tp t="s">
        <v>IMAX CORP COM</v>
        <stp/>
        <stp>DESCRIPTION</stp>
        <stp>IMAX</stp>
        <tr r="AP31" s="1"/>
      </tp>
      <tp t="s">
        <v>SMARTSHEET INC COM CL A</v>
        <stp/>
        <stp>DESCRIPTION</stp>
        <stp>SMAR</stp>
        <tr r="C50" s="1"/>
      </tp>
      <tp t="s">
        <v>BUMBLE INC COM CL A</v>
        <stp/>
        <stp>DESCRIPTION</stp>
        <stp>BMBL</stp>
        <tr r="AB27" s="1"/>
      </tp>
      <tp t="s">
        <v>AMERICAN WELL CORP COM CL A</v>
        <stp/>
        <stp>DESCRIPTION</stp>
        <stp>AMWL</stp>
        <tr r="CY25" s="1"/>
      </tp>
      <tp t="s">
        <v>SIMILARWEB LTD COM</v>
        <stp/>
        <stp>DESCRIPTION</stp>
        <stp>SMWB</stp>
        <tr r="C126" s="1"/>
      </tp>
      <tp t="s">
        <v>AMPLITUDE INC COM CL A</v>
        <stp/>
        <stp>DESCRIPTION</stp>
        <stp>AMPL</stp>
        <tr r="C108" s="1"/>
      </tp>
      <tp t="s">
        <v>NEWMARK GROUP INC COM CL A</v>
        <stp/>
        <stp>DESCRIPTION</stp>
        <stp>NMRK</stp>
        <tr r="CL22" s="1"/>
      </tp>
      <tp t="s">
        <v>INTL MONEY EXPRESS INC COM</v>
        <stp/>
        <stp>DESCRIPTION</stp>
        <stp>IMXI</stp>
        <tr r="BQ38" s="1"/>
      </tp>
      <tp t="s">
        <v>MONDAY COM</v>
        <stp/>
        <stp>DESCRIPTION</stp>
        <stp>MNDY</stp>
        <tr r="J20" s="1"/>
      </tp>
      <tp t="s">
        <v>TRINET GROUP INC COM</v>
        <stp/>
        <stp>DESCRIPTION</stp>
        <stp>TNET</stp>
        <tr r="BC17" s="1"/>
      </tp>
      <tp t="s">
        <v>21VIANET GROUP INCORPORATED ADR</v>
        <stp/>
        <stp>DESCRIPTION</stp>
        <stp>VNET</stp>
        <tr r="P25" s="1"/>
      </tp>
      <tp t="s">
        <v>XUNLEI LIMITED ADR</v>
        <stp/>
        <stp>DESCRIPTION</stp>
        <stp>XNET</stp>
        <tr r="C120" s="1"/>
      </tp>
      <tp t="s">
        <v>INFOSYS LTD ADR SPONSORED</v>
        <stp/>
        <stp>DESCRIPTION</stp>
        <stp>INFY</stp>
        <tr r="V12" s="1"/>
      </tp>
      <tp t="s">
        <v>ENFUSION INC COM CL A</v>
        <stp/>
        <stp>DESCRIPTION</stp>
        <stp>ENFN</stp>
        <tr r="C118" s="1"/>
      </tp>
      <tp t="s">
        <v>INFORMATICA INC COM CL A</v>
        <stp/>
        <stp>DESCRIPTION</stp>
        <stp>INFA</stp>
        <tr r="C52" s="1"/>
      </tp>
      <tp t="s">
        <v>SNAP INC COM CL A</v>
        <stp/>
        <stp>DESCRIPTION</stp>
        <stp>SNAP</stp>
        <tr r="AB19" s="1"/>
      </tp>
      <tp t="s">
        <v>SNOWFLAKE INC COM CL A</v>
        <stp/>
        <stp>DESCRIPTION</stp>
        <stp>SNOW</stp>
        <tr r="P11" s="1"/>
      </tp>
      <tp t="s">
        <v>INNODATA INC COM</v>
        <stp/>
        <stp>DESCRIPTION</stp>
        <stp>INOD</stp>
        <tr r="CE28" s="1"/>
      </tp>
      <tp t="s">
        <v>INTUIT INC COM</v>
        <stp/>
        <stp>DESCRIPTION</stp>
        <stp>INTU</stp>
        <tr r="C13" s="1"/>
      </tp>
      <tp t="s">
        <v>ON24 INC COM</v>
        <stp/>
        <stp>DESCRIPTION</stp>
        <stp>ONTF</stp>
        <tr r="C139" s="1"/>
      </tp>
      <tp t="s">
        <v>INTAPP INC COM</v>
        <stp/>
        <stp>DESCRIPTION</stp>
        <stp>INTA</stp>
        <tr r="C79" s="1"/>
      </tp>
      <tp t="s">
        <v>SYNOPSYS INC COM</v>
        <stp/>
        <stp>DESCRIPTION</stp>
        <stp>SNPS</stp>
        <tr r="C14" s="1"/>
      </tp>
      <tp t="s">
        <v>QUINSTREET INC COM</v>
        <stp/>
        <stp>DESCRIPTION</stp>
        <stp>QNST</stp>
        <tr r="AB43" s="1"/>
      </tp>
      <tp t="s">
        <v>ANSYS INC COM</v>
        <stp/>
        <stp>DESCRIPTION</stp>
        <stp>ANSS</stp>
        <tr r="C22" s="1"/>
      </tp>
      <tp t="s">
        <v>MODIVCARE INC COM</v>
        <stp/>
        <stp>DESCRIPTION</stp>
        <stp>MODV</stp>
        <tr r="CR38" s="1"/>
      </tp>
      <tp t="s">
        <v>MODEL N INC COM</v>
        <stp/>
        <stp>DESCRIPTION</stp>
        <stp>MODN</stp>
        <tr r="C101" s="1"/>
      </tp>
      <tp t="s">
        <v>DOCUSIGN INC COM</v>
        <stp/>
        <stp>DESCRIPTION</stp>
        <stp>DOCU</stp>
        <tr r="C39" s="1"/>
      </tp>
      <tp t="s">
        <v>DOXIMITY INC COM CL A</v>
        <stp/>
        <stp>DESCRIPTION</stp>
        <stp>DOCS</stp>
        <tr r="CY13" s="1"/>
      </tp>
      <tp t="s">
        <v>DIGITALOCEAN HLDGS INC COM</v>
        <stp/>
        <stp>DESCRIPTION</stp>
        <stp>DOCN</stp>
        <tr r="P23" s="1"/>
      </tp>
      <tp t="s">
        <v>COMPASS INC COM CL A</v>
        <stp/>
        <stp>DESCRIPTION</stp>
        <stp>COMP</stp>
        <tr r="CL19" s="1"/>
      </tp>
      <tp t="s">
        <v>DOMO INC COM CL B</v>
        <stp/>
        <stp>DESCRIPTION</stp>
        <stp>DOMO</stp>
        <tr r="C123" s="1"/>
      </tp>
      <tp t="s">
        <v>HELLO GROUP INC ADR</v>
        <stp/>
        <stp>DESCRIPTION</stp>
        <stp>MOMO</stp>
        <tr r="AB24" s="1"/>
      </tp>
      <tp t="s">
        <v>ALPHABET INC COM CL C</v>
        <stp/>
        <stp>DESCRIPTION</stp>
        <stp>GOOG</stp>
        <tr r="AB11" s="1"/>
      </tp>
      <tp t="s">
        <v>COINBASE GLOBAL INC COM CL A</v>
        <stp/>
        <stp>DESCRIPTION</stp>
        <stp>COIN</stp>
        <tr r="BX17" s="1"/>
      </tp>
      <tp t="s">
        <v>ROKU INC COM CL A</v>
        <stp/>
        <stp>DESCRIPTION</stp>
        <stp>ROKU</stp>
        <tr r="AP18" s="1"/>
      </tp>
      <tp t="s">
        <v>FISCALNOTE HOLDINGS INC COM CL A</v>
        <stp/>
        <stp>DESCRIPTION</stp>
        <stp>NOTE</stp>
        <tr r="CE29" s="1"/>
      </tp>
      <tp t="s">
        <v>SHIFT4 PAYMENTS INC COM CL A</v>
        <stp/>
        <stp>DESCRIPTION</stp>
        <stp>FOUR</stp>
        <tr r="BQ28" s="1"/>
      </tp>
      <tp t="s">
        <v>ANYWHERE REAL ESTATE INC COM</v>
        <stp/>
        <stp>DESCRIPTION</stp>
        <stp>HOUS</stp>
        <tr r="CL23" s="1"/>
      </tp>
      <tp t="s">
        <v>SOUNDHOUND AI INC COM</v>
        <stp/>
        <stp>DESCRIPTION</stp>
        <stp>SOUN</stp>
        <tr r="C129" s="1"/>
      </tp>
      <tp t="s">
        <v>FORGEROCK INC COM CL A</v>
        <stp/>
        <stp>DESCRIPTION</stp>
        <stp>FORG</stp>
        <tr r="C99" s="1"/>
      </tp>
      <tp t="s">
        <v>TOAST INC COM CL A</v>
        <stp/>
        <stp>DESCRIPTION</stp>
        <stp>TOST</stp>
        <tr r="BQ19" s="1"/>
      </tp>
      <tp t="s">
        <v>ENHABIT INC COM</v>
        <stp/>
        <stp>DESCRIPTION</stp>
        <stp>EHAB</stp>
        <tr r="CR37" s="1"/>
      </tp>
      <tp t="s">
        <v>SHARECARE INC COM COM CL A</v>
        <stp/>
        <stp>DESCRIPTION</stp>
        <stp>SHCR</stp>
        <tr r="CY24" s="1"/>
      </tp>
      <tp t="s">
        <v>SHOPIFY INC COM CL A</v>
        <stp/>
        <stp>DESCRIPTION</stp>
        <stp>SHOP</stp>
        <tr r="P10" s="1"/>
      </tp>
      <tp t="s">
        <v>CHECK POINT SFTWRE COM</v>
        <stp/>
        <stp>DESCRIPTION</stp>
        <stp>CHKP</stp>
        <tr r="J18" s="1"/>
      </tp>
      <tp t="s">
        <v>THRYV HOLDINGS INC COM</v>
        <stp/>
        <stp>DESCRIPTION</stp>
        <stp>THRY</stp>
        <tr r="BJ21" s="1"/>
      </tp>
      <tp t="s">
        <v>CLEAR SECURE INC COM CL A</v>
        <stp/>
        <stp>DESCRIPTION</stp>
        <stp>YOU</stp>
        <tr r="C86" s="1"/>
      </tp>
      <tp t="s">
        <v>BAIDU INC ADR</v>
        <stp/>
        <stp>DESCRIPTION</stp>
        <stp>BIDU</stp>
        <tr r="AB14" s="1"/>
      </tp>
      <tp t="s">
        <v>CIPHER MINING INC COM</v>
        <stp/>
        <stp>DESCRIPTION</stp>
        <stp>CIFR</stp>
        <tr r="C110" s="1"/>
      </tp>
      <tp t="s">
        <v>BIGCOMMERCE HLDGS INC COM</v>
        <stp/>
        <stp>DESCRIPTION</stp>
        <stp>BIGC</stp>
        <tr r="P27" s="1"/>
      </tp>
      <tp t="s">
        <v>FAIR ISAAC CORP COM</v>
        <stp/>
        <stp>DESCRIPTION</stp>
        <stp>FICO</stp>
        <tr r="C24" s="1"/>
      </tp>
      <tp t="s">
        <v>NICE LTD ADR SPONSORED</v>
        <stp/>
        <stp>DESCRIPTION</stp>
        <stp>NICE</stp>
        <tr r="C29" s="1"/>
      </tp>
      <tp t="s">
        <v>BILL HOLDINGS INC COM</v>
        <stp/>
        <stp>DESCRIPTION</stp>
        <stp>BILL</stp>
        <tr r="C37" s="1"/>
      </tp>
      <tp t="s">
        <v>BILIBILI INC ADR SPONSORED</v>
        <stp/>
        <stp>DESCRIPTION</stp>
        <stp>BILI</stp>
        <tr r="AI17" s="1"/>
      </tp>
      <tp t="s">
        <v>HIMS AND HERS COM CL A</v>
        <stp/>
        <stp>DESCRIPTION</stp>
        <stp>HIMS</stp>
        <tr r="CR30" s="1"/>
      </tp>
      <tp t="s">
        <v>PINTEREST INC COM CL A</v>
        <stp/>
        <stp>DESCRIPTION</stp>
        <stp>PINS</stp>
        <tr r="AB18" s="1"/>
      </tp>
      <tp t="s">
        <v>NEXTDOOR HOLDINGS INC COM CL A</v>
        <stp/>
        <stp>DESCRIPTION</stp>
        <stp>KIND</stp>
        <tr r="AB46" s="1"/>
      </tp>
      <tp t="s">
        <v>PREMIER INC COM CL A</v>
        <stp/>
        <stp>DESCRIPTION</stp>
        <stp>PINC</stp>
        <tr r="CR22" s="1"/>
      </tp>
      <tp t="s">
        <v>RIOT PLATFORMS INC COM</v>
        <stp/>
        <stp>DESCRIPTION</stp>
        <stp>RIOT</stp>
        <tr r="C75" s="1"/>
      </tp>
      <tp t="s">
        <v>I3 VERTICALS INC COM CL A</v>
        <stp/>
        <stp>DESCRIPTION</stp>
        <stp>IIIV</stp>
        <tr r="BQ40" s="1"/>
      </tp>
      <tp t="s">
        <v>MITEK SYSTEMS INC COM</v>
        <stp/>
        <stp>DESCRIPTION</stp>
        <stp>MITK</stp>
        <tr r="C122" s="1"/>
      </tp>
      <tp t="s">
        <v>BITFARMS LTD COM</v>
        <stp/>
        <stp>DESCRIPTION</stp>
        <stp>BITF</stp>
        <tr r="C132" s="1"/>
      </tp>
      <tp t="s">
        <v>FIVE9 INC COM</v>
        <stp/>
        <stp>DESCRIPTION</stp>
        <stp>FIVN</stp>
        <tr r="C51" s="1"/>
      </tp>
      <tp t="s">
        <v>HIVE DIGITAL TECHNOLOGIES LTD COM</v>
        <stp/>
        <stp>DESCRIPTION</stp>
        <stp>HIVE</stp>
        <tr r="C133" s="1"/>
      </tp>
      <tp t="s">
        <v>LIZHI INC ADR</v>
        <stp/>
        <stp>DESCRIPTION</stp>
        <stp>LIZI</stp>
        <tr r="AP34" s="1"/>
      </tp>
      <tp t="s">
        <v>ZUORA INC COM CL A</v>
        <stp/>
        <stp>DESCRIPTION</stp>
        <stp>ZUO</stp>
        <tr r="J38" s="1"/>
      </tp>
      <tp t="s">
        <v>ZIPRECRUITER INC COM CL A</v>
        <stp/>
        <stp>DESCRIPTION</stp>
        <stp>ZIP</stp>
        <tr r="AB35" s="1"/>
      </tp>
      <tp t="s">
        <v>AKAMAI TECHNOLOGIES COM</v>
        <stp/>
        <stp>DESCRIPTION</stp>
        <stp>AKAM</stp>
        <tr r="P17" s="1"/>
      </tp>
      <tp t="s">
        <v>WALKME LTD COM</v>
        <stp/>
        <stp>DESCRIPTION</stp>
        <stp>WKME</stp>
        <tr r="C112" s="1"/>
      </tp>
      <tp t="s">
        <v>HENRY JACK &amp; ASSOCIATES INC COM</v>
        <stp/>
        <stp>DESCRIPTION</stp>
        <stp>JKHY</stp>
        <tr r="BQ18" s="1"/>
      </tp>
      <tp t="s">
        <v>MARKETAXESS HLDGS INC COM</v>
        <stp/>
        <stp>DESCRIPTION</stp>
        <stp>MKTX</stp>
        <tr r="BX19" s="1"/>
      </tp>
      <tp t="s">
        <v>OKTA INC COM CL A</v>
        <stp/>
        <stp>DESCRIPTION</stp>
        <stp>OKTA</stp>
        <tr r="P18" s="1"/>
      </tp>
      <tp t="s">
        <v>AUTO TRADER GROUP PLC ADR UNSPONSORED</v>
        <stp/>
        <stp>DESCRIPTION</stp>
        <stp>ATDRY</stp>
        <tr r="AB30" s="1"/>
      </tp>
      <tp t="s">
        <v>NINTENDO CO LTD ADR UNSPONSORED</v>
        <stp/>
        <stp>DESCRIPTION</stp>
        <stp>NTDOY</stp>
        <tr r="AI16" s="1"/>
      </tp>
      <tp t="s">
        <v>CAPGEMINI ADR UNSPONSORED</v>
        <stp/>
        <stp>DESCRIPTION</stp>
        <stp>CGEMY</stp>
        <tr r="V19" s="1"/>
      </tp>
      <tp t="s">
        <v>TENCENT HOLDINGS LIMITED ADR UNSPONSORED</v>
        <stp/>
        <stp>DESCRIPTION</stp>
        <stp>TCEHY</stp>
        <tr r="AB13" s="1"/>
      </tp>
      <tp t="s">
        <v>LIONS GATE ENTERTAINMENT CORP COM CL A</v>
        <stp/>
        <stp>DESCRIPTION</stp>
        <stp>LGF/A</stp>
        <tr r="AP33" s="1"/>
      </tp>
      <tp t="s">
        <v>LIONS GATE ENTERTAINMENT CORP COM CL B</v>
        <stp/>
        <stp>DESCRIPTION</stp>
        <stp>LGF/B</stp>
        <tr r="AP30" s="1"/>
      </tp>
      <tp t="s">
        <v>PUBLICIS GROUPE SA ADR SPONSORED</v>
        <stp/>
        <stp>DESCRIPTION</stp>
        <stp>PUBGY</stp>
        <tr r="BJ14" s="1"/>
      </tp>
      <tp t="s">
        <v>KELLY SERVICES INC COM CL A</v>
        <stp/>
        <stp>DESCRIPTION</stp>
        <stp>KELYA</stp>
        <tr r="BC29" s="1"/>
      </tp>
      <tp t="s">
        <v>LIBERTY MEDIA CORP FORMULA ONE COM</v>
        <stp/>
        <stp>DESCRIPTION</stp>
        <stp>FWONK</stp>
        <tr r="AP16" s="1"/>
      </tp>
      <tp t="s">
        <v>ALPHABET INC COM CL A</v>
        <stp/>
        <stp>DESCRIPTION</stp>
        <stp>GOOGL</stp>
        <tr r="AB10" s="1"/>
      </tp>
      <tp t="s">
        <v>ATLANTA BRAVES HOLDINGS INC COM</v>
        <stp/>
        <stp>DESCRIPTION</stp>
        <stp>BATRK</stp>
        <tr r="AP26" s="1"/>
      </tp>
      <tp t="s">
        <v>CORE SCIENTIFIC INC COM</v>
        <stp/>
        <stp>DESCRIPTION</stp>
        <stp>CORZQ</stp>
        <tr r="P29" s="1"/>
      </tp>
      <tp t="s">
        <v>RECRUIT HOLDINGS CO LTD ADR UNSPONSORED</v>
        <stp/>
        <stp>DESCRIPTION</stp>
        <stp>RCRUY</stp>
        <tr r="BC14" s="1"/>
      </tp>
      <tp t="s">
        <v>AMERICAN SOFTWARE INC COM CL A</v>
        <stp/>
        <stp>DESCRIPTION</stp>
        <stp>AMSWA</stp>
        <tr r="C134" s="1"/>
      </tp>
      <tp t="s">
        <v>ADYEN NV ADR UNSPONSORED</v>
        <stp/>
        <stp>DESCRIPTION</stp>
        <stp>ADYEY</stp>
        <tr r="BQ41" s="1"/>
      </tp>
      <tp t="s">
        <v>JACOBS SOLUTIONS I COM</v>
        <stp/>
        <stp>DESCRIPTION</stp>
        <stp>J</stp>
        <tr r="CE14" s="1"/>
      </tp>
      <tp t="s">
        <v>UNITY SOFTWARE INC COM</v>
        <stp/>
        <stp>DESCRIPTION</stp>
        <stp>U</stp>
        <tr r="C30" s="1"/>
      </tp>
      <tp t="s">
        <v>VISA INC COM CL A</v>
        <stp/>
        <stp>DESCRIPTION</stp>
        <stp>V</stp>
        <tr r="BQ10" s="1"/>
      </tp>
      <tp t="s">
        <v>SENTINELONE INC COM CL A</v>
        <stp/>
        <stp>DESCRIPTION</stp>
        <stp>S</stp>
        <tr r="J28" s="1"/>
      </tp>
      <tp t="s">
        <v>ZILLOW GROUP INC COM CL C</v>
        <stp/>
        <stp>DESCRIPTION</stp>
        <stp>Z</stp>
        <tr r="CL13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1AC0F-0024-4043-8A80-39E0E2BD5814}">
  <dimension ref="B2:DB139"/>
  <sheetViews>
    <sheetView tabSelected="1" workbookViewId="0">
      <selection activeCell="CR33" sqref="CR33"/>
    </sheetView>
  </sheetViews>
  <sheetFormatPr defaultRowHeight="14.5" x14ac:dyDescent="0.35"/>
  <sheetData>
    <row r="2" spans="2:106" x14ac:dyDescent="0.35">
      <c r="B2" s="2" t="s">
        <v>0</v>
      </c>
    </row>
    <row r="3" spans="2:106" x14ac:dyDescent="0.35">
      <c r="B3" t="s">
        <v>538</v>
      </c>
    </row>
    <row r="4" spans="2:106" x14ac:dyDescent="0.35">
      <c r="B4" t="s">
        <v>1</v>
      </c>
    </row>
    <row r="5" spans="2:106" x14ac:dyDescent="0.35">
      <c r="B5" t="s">
        <v>2</v>
      </c>
    </row>
    <row r="6" spans="2:106" x14ac:dyDescent="0.35">
      <c r="B6" t="s">
        <v>261</v>
      </c>
      <c r="C6" s="1">
        <f>E8+L8+R8+X8+AD8+AL8+AS8+AY8+BF8+BM8+BT8+CA8+CH8+CO8+CU8+DB8</f>
        <v>517</v>
      </c>
    </row>
    <row r="8" spans="2:106" x14ac:dyDescent="0.35">
      <c r="B8" s="2" t="s">
        <v>135</v>
      </c>
      <c r="E8">
        <v>130</v>
      </c>
      <c r="I8" s="2" t="s">
        <v>169</v>
      </c>
      <c r="L8">
        <v>33</v>
      </c>
      <c r="O8" s="2" t="s">
        <v>190</v>
      </c>
      <c r="R8">
        <v>20</v>
      </c>
      <c r="U8" s="2" t="s">
        <v>208</v>
      </c>
      <c r="X8">
        <v>17</v>
      </c>
      <c r="AA8" s="2" t="s">
        <v>247</v>
      </c>
      <c r="AD8">
        <v>38</v>
      </c>
      <c r="AH8" s="2" t="s">
        <v>260</v>
      </c>
      <c r="AL8">
        <v>12</v>
      </c>
      <c r="AO8" s="2" t="s">
        <v>288</v>
      </c>
      <c r="AS8">
        <v>26</v>
      </c>
      <c r="AW8" s="2" t="s">
        <v>289</v>
      </c>
      <c r="AY8">
        <v>72</v>
      </c>
      <c r="BB8" s="2" t="s">
        <v>314</v>
      </c>
      <c r="BF8">
        <v>22</v>
      </c>
      <c r="BI8" s="2" t="s">
        <v>334</v>
      </c>
      <c r="BM8">
        <v>19</v>
      </c>
      <c r="BP8" s="2" t="s">
        <v>368</v>
      </c>
      <c r="BT8">
        <v>32</v>
      </c>
      <c r="BW8" s="2" t="s">
        <v>381</v>
      </c>
      <c r="CA8">
        <v>12</v>
      </c>
      <c r="CD8" s="2" t="s">
        <v>403</v>
      </c>
      <c r="CH8">
        <v>20</v>
      </c>
      <c r="CK8" s="2" t="s">
        <v>419</v>
      </c>
      <c r="CO8">
        <v>15</v>
      </c>
      <c r="CQ8" s="2" t="s">
        <v>453</v>
      </c>
      <c r="CU8">
        <v>33</v>
      </c>
      <c r="CX8" s="2" t="s">
        <v>470</v>
      </c>
      <c r="DB8">
        <v>16</v>
      </c>
    </row>
    <row r="9" spans="2:106" x14ac:dyDescent="0.35">
      <c r="B9" t="s">
        <v>3</v>
      </c>
      <c r="C9" t="s">
        <v>4</v>
      </c>
      <c r="I9" t="s">
        <v>3</v>
      </c>
      <c r="J9" t="s">
        <v>4</v>
      </c>
      <c r="O9" t="s">
        <v>3</v>
      </c>
      <c r="P9" t="s">
        <v>4</v>
      </c>
      <c r="U9" t="s">
        <v>3</v>
      </c>
      <c r="V9" t="s">
        <v>4</v>
      </c>
      <c r="AA9" t="s">
        <v>3</v>
      </c>
      <c r="AB9" t="s">
        <v>4</v>
      </c>
      <c r="AH9" t="s">
        <v>3</v>
      </c>
      <c r="AI9" t="s">
        <v>4</v>
      </c>
      <c r="AO9" t="s">
        <v>3</v>
      </c>
      <c r="AP9" t="s">
        <v>4</v>
      </c>
      <c r="AW9" t="s">
        <v>290</v>
      </c>
      <c r="BB9" t="s">
        <v>3</v>
      </c>
      <c r="BC9" t="s">
        <v>4</v>
      </c>
      <c r="BI9" t="s">
        <v>3</v>
      </c>
      <c r="BJ9" t="s">
        <v>4</v>
      </c>
      <c r="BP9" t="s">
        <v>3</v>
      </c>
      <c r="BQ9" t="s">
        <v>4</v>
      </c>
      <c r="BW9" t="s">
        <v>3</v>
      </c>
      <c r="BX9" t="s">
        <v>4</v>
      </c>
      <c r="CD9" t="s">
        <v>3</v>
      </c>
      <c r="CE9" t="s">
        <v>4</v>
      </c>
      <c r="CK9" t="s">
        <v>3</v>
      </c>
      <c r="CL9" t="s">
        <v>4</v>
      </c>
      <c r="CQ9" t="s">
        <v>3</v>
      </c>
      <c r="CR9" t="s">
        <v>4</v>
      </c>
      <c r="CX9" t="s">
        <v>3</v>
      </c>
      <c r="CY9" t="s">
        <v>4</v>
      </c>
    </row>
    <row r="10" spans="2:106" x14ac:dyDescent="0.35">
      <c r="B10" t="s">
        <v>5</v>
      </c>
      <c r="C10" t="str">
        <f>RTD("tos.rtd", , "DESCRIPTION", "ADBE")</f>
        <v>ADOBE INC COM</v>
      </c>
      <c r="I10" t="s">
        <v>136</v>
      </c>
      <c r="J10" t="str">
        <f>RTD("tos.rtd", , "DESCRIPTION", "MSFT")</f>
        <v>MICROSOFT CORP COM</v>
      </c>
      <c r="O10" t="s">
        <v>170</v>
      </c>
      <c r="P10" t="str">
        <f>RTD("tos.rtd", , "DESCRIPTION", "SHOP")</f>
        <v>SHOPIFY INC COM CL A</v>
      </c>
      <c r="U10" t="s">
        <v>191</v>
      </c>
      <c r="V10" t="str">
        <f>RTD("tos.rtd", , "DESCRIPTION", "ACN")</f>
        <v>ACCENTURE PLC COM</v>
      </c>
      <c r="AA10" t="s">
        <v>209</v>
      </c>
      <c r="AB10" t="str">
        <f>RTD("tos.rtd", , "DESCRIPTION", "GOOGL")</f>
        <v>ALPHABET INC COM CL A</v>
      </c>
      <c r="AH10" t="s">
        <v>248</v>
      </c>
      <c r="AI10" t="str">
        <f>RTD("tos.rtd", , "DESCRIPTION", "NTES")</f>
        <v>NETEASE INC ADR SPONSORED</v>
      </c>
      <c r="AO10" t="s">
        <v>262</v>
      </c>
      <c r="AP10" t="str">
        <f>RTD("tos.rtd", , "DESCRIPTION", "NFLX")</f>
        <v>NETFLIX INC COM</v>
      </c>
      <c r="AW10" t="s">
        <v>291</v>
      </c>
      <c r="BB10" t="s">
        <v>292</v>
      </c>
      <c r="BC10" t="str">
        <f>RTD("tos.rtd", , "DESCRIPTION", "ADP")</f>
        <v>AUTOMATIC DATA PROCESSING INC COM</v>
      </c>
      <c r="BI10" t="s">
        <v>315</v>
      </c>
      <c r="BJ10" t="str">
        <f>RTD("tos.rtd", , "DESCRIPTION", "WPP")</f>
        <v>WPP PLC ADR SPONSORED</v>
      </c>
      <c r="BP10" t="s">
        <v>336</v>
      </c>
      <c r="BQ10" t="str">
        <f>RTD("tos.rtd", , "DESCRIPTION", "V")</f>
        <v>VISA INC COM CL A</v>
      </c>
      <c r="BW10" t="s">
        <v>369</v>
      </c>
      <c r="BX10" t="str">
        <f>RTD("tos.rtd", , "DESCRIPTION", "SPGI")</f>
        <v>S&amp;P GLOBAL INC COM</v>
      </c>
      <c r="CD10" t="s">
        <v>383</v>
      </c>
      <c r="CE10" t="str">
        <f>RTD("tos.rtd", , "DESCRIPTION", "RELX")</f>
        <v>RELX PLC ADR SPONSORED</v>
      </c>
      <c r="CK10" t="s">
        <v>404</v>
      </c>
      <c r="CL10" t="str">
        <f>RTD("tos.rtd", , "DESCRIPTION", "BEKE")</f>
        <v>KE HOLDINGS INC ADR</v>
      </c>
      <c r="CQ10" t="s">
        <v>420</v>
      </c>
      <c r="CR10" t="str">
        <f>RTD("tos.rtd", , "DESCRIPTION", "CVS")</f>
        <v>CVS HEALTH CORPORATION COM</v>
      </c>
      <c r="CX10" t="s">
        <v>454</v>
      </c>
      <c r="CY10" t="str">
        <f>RTD("tos.rtd", , "DESCRIPTION", "VEEV")</f>
        <v>VEEVA SYSTEMS INC COM CL A</v>
      </c>
    </row>
    <row r="11" spans="2:106" x14ac:dyDescent="0.35">
      <c r="B11" t="s">
        <v>6</v>
      </c>
      <c r="C11" t="str">
        <f>RTD("tos.rtd", , "DESCRIPTION", "CRM")</f>
        <v>SALESFORCE INC COM</v>
      </c>
      <c r="I11" t="s">
        <v>137</v>
      </c>
      <c r="J11" t="str">
        <f>RTD("tos.rtd", , "DESCRIPTION", "ORCL")</f>
        <v>ORACLE CORP COM</v>
      </c>
      <c r="O11" t="s">
        <v>171</v>
      </c>
      <c r="P11" t="str">
        <f>RTD("tos.rtd", , "DESCRIPTION", "SNOW")</f>
        <v>SNOWFLAKE INC COM CL A</v>
      </c>
      <c r="U11" t="s">
        <v>192</v>
      </c>
      <c r="V11" t="str">
        <f>RTD("tos.rtd", , "DESCRIPTION", "IBM")</f>
        <v>INTERNATIONAL BUS MACH CORP COM</v>
      </c>
      <c r="AA11" t="s">
        <v>210</v>
      </c>
      <c r="AB11" t="str">
        <f>RTD("tos.rtd", , "DESCRIPTION", "GOOG")</f>
        <v>ALPHABET INC COM CL C</v>
      </c>
      <c r="AH11" t="s">
        <v>249</v>
      </c>
      <c r="AI11" t="str">
        <f>RTD("tos.rtd", , "DESCRIPTION", "ATVI")</f>
        <v>ACTIVISION BLIZZARD INC COM</v>
      </c>
      <c r="AO11" t="s">
        <v>263</v>
      </c>
      <c r="AP11" t="str">
        <f>RTD("tos.rtd", , "DESCRIPTION", "DIS")</f>
        <v>WALT DISNEY COMPANY (THE) COM</v>
      </c>
      <c r="AW11" t="s">
        <v>335</v>
      </c>
      <c r="BB11" t="s">
        <v>293</v>
      </c>
      <c r="BC11" t="str">
        <f>RTD("tos.rtd", , "DESCRIPTION", "PAYX")</f>
        <v>PAYCHEX INC COM</v>
      </c>
      <c r="BI11" t="s">
        <v>316</v>
      </c>
      <c r="BJ11" t="str">
        <f>RTD("tos.rtd", , "DESCRIPTION", "TTD")</f>
        <v>THE TRADE DESK INC COM CL A</v>
      </c>
      <c r="BP11" t="s">
        <v>337</v>
      </c>
      <c r="BQ11" t="str">
        <f>RTD("tos.rtd", , "DESCRIPTION", "MA")</f>
        <v>MASTERCARD INCORPORATED COM CL A</v>
      </c>
      <c r="BW11" t="s">
        <v>370</v>
      </c>
      <c r="BX11" t="str">
        <f>RTD("tos.rtd", , "DESCRIPTION", "CME")</f>
        <v>CME GROUP INC COM</v>
      </c>
      <c r="CD11" t="s">
        <v>384</v>
      </c>
      <c r="CE11" t="str">
        <f>RTD("tos.rtd", , "DESCRIPTION", "TRI")</f>
        <v>THOMSON-REUTERS CORP COM</v>
      </c>
      <c r="CK11" t="s">
        <v>405</v>
      </c>
      <c r="CL11" t="str">
        <f>RTD("tos.rtd", , "DESCRIPTION", "CSGP")</f>
        <v>COSTAR GROUP INC COM</v>
      </c>
      <c r="CQ11" t="s">
        <v>421</v>
      </c>
      <c r="CR11" t="str">
        <f>RTD("tos.rtd", , "DESCRIPTION", "CI")</f>
        <v>THE CIGNA GROUP COM</v>
      </c>
      <c r="CX11" t="s">
        <v>455</v>
      </c>
      <c r="CY11" t="str">
        <f>RTD("tos.rtd", , "DESCRIPTION", "TDOC")</f>
        <v>TELADOC HEALTH INC COM</v>
      </c>
    </row>
    <row r="12" spans="2:106" x14ac:dyDescent="0.35">
      <c r="B12" t="s">
        <v>7</v>
      </c>
      <c r="C12" t="str">
        <f>RTD("tos.rtd", , "DESCRIPTION", "SAP")</f>
        <v>SAP SE ADR SPONSORED</v>
      </c>
      <c r="I12" t="s">
        <v>138</v>
      </c>
      <c r="J12" t="str">
        <f>RTD("tos.rtd", , "DESCRIPTION", "NOW")</f>
        <v>SERVICENOW INC COM</v>
      </c>
      <c r="O12" t="s">
        <v>172</v>
      </c>
      <c r="P12" t="str">
        <f>RTD("tos.rtd", , "DESCRIPTION", "MDB")</f>
        <v>MONGODB INC COM CL A</v>
      </c>
      <c r="U12" t="s">
        <v>193</v>
      </c>
      <c r="V12" t="str">
        <f>RTD("tos.rtd", , "DESCRIPTION", "INFY")</f>
        <v>INFOSYS LTD ADR SPONSORED</v>
      </c>
      <c r="AA12" t="s">
        <v>211</v>
      </c>
      <c r="AB12" t="str">
        <f>RTD("tos.rtd", , "DESCRIPTION", "META")</f>
        <v>META PLATFORMS INC COM CL A</v>
      </c>
      <c r="AH12" t="s">
        <v>250</v>
      </c>
      <c r="AI12" t="str">
        <f>RTD("tos.rtd", , "DESCRIPTION", "EA")</f>
        <v>ELECTRONIC ARTS INC COM</v>
      </c>
      <c r="AO12" t="s">
        <v>264</v>
      </c>
      <c r="AP12" t="str">
        <f>RTD("tos.rtd", , "DESCRIPTION", "WBD")</f>
        <v>WARNER BROS DISCOVERY INC COM</v>
      </c>
      <c r="AW12" t="s">
        <v>382</v>
      </c>
      <c r="BB12" t="s">
        <v>294</v>
      </c>
      <c r="BC12" t="str">
        <f>RTD("tos.rtd", , "DESCRIPTION", "PAYC")</f>
        <v>PAYCOM SOFTWARE INC COM</v>
      </c>
      <c r="BI12" t="s">
        <v>317</v>
      </c>
      <c r="BJ12" t="str">
        <f>RTD("tos.rtd", , "DESCRIPTION", "OMC")</f>
        <v>OMNICOM GROUP INC COM</v>
      </c>
      <c r="BP12" t="s">
        <v>338</v>
      </c>
      <c r="BQ12" t="str">
        <f>RTD("tos.rtd", , "DESCRIPTION", "FI")</f>
        <v>FISERV INC COM</v>
      </c>
      <c r="BW12" t="s">
        <v>371</v>
      </c>
      <c r="BX12" t="str">
        <f>RTD("tos.rtd", , "DESCRIPTION", "ICE")</f>
        <v>INTERCONTINENTAL EXCHANGE INC COM</v>
      </c>
      <c r="CD12" t="s">
        <v>385</v>
      </c>
      <c r="CE12" t="str">
        <f>RTD("tos.rtd", , "DESCRIPTION", "VRSK")</f>
        <v>VERISK ANALYTICS INC COM</v>
      </c>
      <c r="CK12" t="s">
        <v>406</v>
      </c>
      <c r="CL12" t="str">
        <f>RTD("tos.rtd", , "DESCRIPTION", "CBRE")</f>
        <v>CBRE GROUP INC COM CL A</v>
      </c>
      <c r="CQ12" t="s">
        <v>422</v>
      </c>
      <c r="CR12" t="str">
        <f>RTD("tos.rtd", , "DESCRIPTION", "LH")</f>
        <v>LABORATORY CORP AMER HLDGS COM</v>
      </c>
      <c r="CX12" t="s">
        <v>456</v>
      </c>
      <c r="CY12" t="str">
        <f>RTD("tos.rtd", , "DESCRIPTION", "EVH")</f>
        <v>EVOLENT HEALTH INC COM CL A</v>
      </c>
    </row>
    <row r="13" spans="2:106" x14ac:dyDescent="0.35">
      <c r="B13" t="s">
        <v>8</v>
      </c>
      <c r="C13" t="str">
        <f>RTD("tos.rtd", , "DESCRIPTION", "INTU")</f>
        <v>INTUIT INC COM</v>
      </c>
      <c r="I13" t="s">
        <v>139</v>
      </c>
      <c r="J13" t="str">
        <f>RTD("tos.rtd", , "DESCRIPTION", "VMW")</f>
        <v>VMWARE INC COM CL A</v>
      </c>
      <c r="O13" t="s">
        <v>173</v>
      </c>
      <c r="P13" t="str">
        <f>RTD("tos.rtd", , "DESCRIPTION", "VRSN")</f>
        <v>VERISIGN COM</v>
      </c>
      <c r="U13" t="s">
        <v>194</v>
      </c>
      <c r="V13" t="str">
        <f>RTD("tos.rtd", , "DESCRIPTION", "CTSH")</f>
        <v>COGNIZANT TECHNOLO COM CL A</v>
      </c>
      <c r="AA13" t="s">
        <v>212</v>
      </c>
      <c r="AB13" t="str">
        <f>RTD("tos.rtd", , "DESCRIPTION", "TCEHY")</f>
        <v>TENCENT HOLDINGS LIMITED ADR UNSPONSORED</v>
      </c>
      <c r="AH13" t="s">
        <v>251</v>
      </c>
      <c r="AI13" t="str">
        <f>RTD("tos.rtd", , "DESCRIPTION", "TTWO")</f>
        <v>TAKE-TWO INTERACTIVE SOFTWARE COM</v>
      </c>
      <c r="AO13" t="s">
        <v>265</v>
      </c>
      <c r="AP13" t="str">
        <f>RTD("tos.rtd", , "DESCRIPTION", "SPOT")</f>
        <v>SPOTIFY TECHNOLOGY S.A. COM</v>
      </c>
      <c r="AW13" t="s">
        <v>471</v>
      </c>
      <c r="BB13" t="s">
        <v>295</v>
      </c>
      <c r="BC13" t="str">
        <f>RTD("tos.rtd", , "DESCRIPTION", "CDAY")</f>
        <v>CERIDIAN HCM HLDG INC COM</v>
      </c>
      <c r="BI13" t="s">
        <v>318</v>
      </c>
      <c r="BJ13" t="str">
        <f>RTD("tos.rtd", , "DESCRIPTION", "IPG")</f>
        <v>INTERPUBLIC GROUP COS INC COM</v>
      </c>
      <c r="BP13" t="s">
        <v>339</v>
      </c>
      <c r="BQ13" t="str">
        <f>RTD("tos.rtd", , "DESCRIPTION", "PYPL")</f>
        <v>PAYPAL HOLDINGS INC COM</v>
      </c>
      <c r="BW13" t="s">
        <v>372</v>
      </c>
      <c r="BX13" t="str">
        <f>RTD("tos.rtd", , "DESCRIPTION", "MCO")</f>
        <v>MOODYS CORP COM</v>
      </c>
      <c r="CD13" t="s">
        <v>386</v>
      </c>
      <c r="CE13" t="str">
        <f>RTD("tos.rtd", , "DESCRIPTION", "EFX")</f>
        <v>EQUIFAX INC COM</v>
      </c>
      <c r="CK13" t="s">
        <v>407</v>
      </c>
      <c r="CL13" t="str">
        <f>RTD("tos.rtd", , "DESCRIPTION", "Z")</f>
        <v>ZILLOW GROUP INC COM CL C</v>
      </c>
      <c r="CQ13" t="s">
        <v>423</v>
      </c>
      <c r="CR13" t="str">
        <f>RTD("tos.rtd", , "DESCRIPTION", "DGX")</f>
        <v>QUEST DIAGNOSTICS INC COM</v>
      </c>
      <c r="CX13" t="s">
        <v>457</v>
      </c>
      <c r="CY13" t="str">
        <f>RTD("tos.rtd", , "DESCRIPTION", "DOCS")</f>
        <v>DOXIMITY INC COM CL A</v>
      </c>
    </row>
    <row r="14" spans="2:106" x14ac:dyDescent="0.35">
      <c r="B14" t="s">
        <v>9</v>
      </c>
      <c r="C14" t="str">
        <f>RTD("tos.rtd", , "DESCRIPTION", "SNPS")</f>
        <v>SYNOPSYS INC COM</v>
      </c>
      <c r="I14" t="s">
        <v>140</v>
      </c>
      <c r="J14" t="str">
        <f>RTD("tos.rtd", , "DESCRIPTION", "PANW")</f>
        <v>PALO ALTO NETWORKS INC COM</v>
      </c>
      <c r="O14" t="s">
        <v>174</v>
      </c>
      <c r="P14" t="str">
        <f>RTD("tos.rtd", , "DESCRIPTION", "KC")</f>
        <v>KINGSOFT CLOUD HLDGS LTD ADR</v>
      </c>
      <c r="U14" t="s">
        <v>195</v>
      </c>
      <c r="V14" t="str">
        <f>RTD("tos.rtd", , "DESCRIPTION", "IT")</f>
        <v>GARTNER INC COM</v>
      </c>
      <c r="AA14" t="s">
        <v>213</v>
      </c>
      <c r="AB14" t="str">
        <f>RTD("tos.rtd", , "DESCRIPTION", "BIDU")</f>
        <v>BAIDU INC ADR</v>
      </c>
      <c r="AH14" t="s">
        <v>252</v>
      </c>
      <c r="AI14" t="str">
        <f>RTD("tos.rtd", , "DESCRIPTION", "SE")</f>
        <v>SEA LIMITED ADR</v>
      </c>
      <c r="AO14" t="s">
        <v>266</v>
      </c>
      <c r="AP14" t="str">
        <f>RTD("tos.rtd", , "DESCRIPTION", "LYV")</f>
        <v>LIVE NATION ENTERTAINMENT INC COM</v>
      </c>
      <c r="AW14" t="s">
        <v>472</v>
      </c>
      <c r="BB14" t="s">
        <v>296</v>
      </c>
      <c r="BC14" t="str">
        <f>RTD("tos.rtd", , "DESCRIPTION", "RCRUY")</f>
        <v>RECRUIT HOLDINGS CO LTD ADR UNSPONSORED</v>
      </c>
      <c r="BI14" t="s">
        <v>319</v>
      </c>
      <c r="BJ14" t="str">
        <f>RTD("tos.rtd", , "DESCRIPTION", "PUBGY")</f>
        <v>PUBLICIS GROUPE SA ADR SPONSORED</v>
      </c>
      <c r="BP14" t="s">
        <v>340</v>
      </c>
      <c r="BQ14" t="str">
        <f>RTD("tos.rtd", , "DESCRIPTION", "FIS")</f>
        <v>FIDELITY NATIONAL INFORMATION COM</v>
      </c>
      <c r="BW14" t="s">
        <v>373</v>
      </c>
      <c r="BX14" t="str">
        <f>RTD("tos.rtd", , "DESCRIPTION", "MSCI")</f>
        <v>MSCI INC COM</v>
      </c>
      <c r="CD14" t="s">
        <v>387</v>
      </c>
      <c r="CE14" t="str">
        <f>RTD("tos.rtd", , "DESCRIPTION", "J")</f>
        <v>JACOBS SOLUTIONS I COM</v>
      </c>
      <c r="CK14" t="s">
        <v>408</v>
      </c>
      <c r="CL14" t="str">
        <f>RTD("tos.rtd", , "DESCRIPTION", "JLL")</f>
        <v>JONES LANG LASALLE INC COM</v>
      </c>
      <c r="CQ14" t="s">
        <v>424</v>
      </c>
      <c r="CR14" t="str">
        <f>RTD("tos.rtd", , "DESCRIPTION", "DVA")</f>
        <v>DAVITA INC COM</v>
      </c>
      <c r="CX14" t="s">
        <v>458</v>
      </c>
      <c r="CY14" t="str">
        <f>RTD("tos.rtd", , "DESCRIPTION", "CERT")</f>
        <v>CERTARA INC COM</v>
      </c>
    </row>
    <row r="15" spans="2:106" x14ac:dyDescent="0.35">
      <c r="B15" t="s">
        <v>10</v>
      </c>
      <c r="C15" t="str">
        <f>RTD("tos.rtd", , "DESCRIPTION", "CDNS")</f>
        <v>CADENCE DESIGN SYSTEMS INC COM</v>
      </c>
      <c r="I15" t="s">
        <v>141</v>
      </c>
      <c r="J15" t="str">
        <f>RTD("tos.rtd", , "DESCRIPTION", "FTNT")</f>
        <v>FORTINET INC COM</v>
      </c>
      <c r="O15" t="s">
        <v>175</v>
      </c>
      <c r="P15" t="str">
        <f>RTD("tos.rtd", , "DESCRIPTION", "NET")</f>
        <v>CLOUDFLARE INC COM CL A</v>
      </c>
      <c r="U15" t="s">
        <v>196</v>
      </c>
      <c r="V15" t="str">
        <f>RTD("tos.rtd", , "DESCRIPTION", "WIT")</f>
        <v>WIPRO ADR SPONSORED</v>
      </c>
      <c r="AA15" t="s">
        <v>214</v>
      </c>
      <c r="AB15" t="str">
        <f>RTD("tos.rtd", , "DESCRIPTION", "DUO")</f>
        <v>FANGDD NETWORK GROUP LTD ADR</v>
      </c>
      <c r="AH15" t="s">
        <v>253</v>
      </c>
      <c r="AI15" t="str">
        <f>RTD("tos.rtd", , "DESCRIPTION", "RBLX")</f>
        <v>ROBLOX CORP COM CL A</v>
      </c>
      <c r="AO15" t="s">
        <v>267</v>
      </c>
      <c r="AP15" t="str">
        <f>RTD("tos.rtd", , "DESCRIPTION", "IQ")</f>
        <v>IQIYI INC ADR</v>
      </c>
      <c r="AW15" t="s">
        <v>473</v>
      </c>
      <c r="BB15" t="s">
        <v>297</v>
      </c>
      <c r="BC15" t="str">
        <f>RTD("tos.rtd", , "DESCRIPTION", "PCTY")</f>
        <v>PAYLOCITY HOLDING CORPORATION COM</v>
      </c>
      <c r="BI15" t="s">
        <v>320</v>
      </c>
      <c r="BJ15" t="str">
        <f>RTD("tos.rtd", , "DESCRIPTION", "IAS")</f>
        <v>INTEGRAL AD SCIENCE HLDG CORP COM</v>
      </c>
      <c r="BP15" t="s">
        <v>341</v>
      </c>
      <c r="BQ15" t="str">
        <f>RTD("tos.rtd", , "DESCRIPTION", "GPN")</f>
        <v>GLOBAL PAYMENTS INC COM</v>
      </c>
      <c r="BW15" t="s">
        <v>374</v>
      </c>
      <c r="BX15" t="str">
        <f>RTD("tos.rtd", , "DESCRIPTION", "NDAQ")</f>
        <v>NASDAQ INC COM</v>
      </c>
      <c r="CD15" t="s">
        <v>388</v>
      </c>
      <c r="CE15" t="str">
        <f>RTD("tos.rtd", , "DESCRIPTION", "BAH")</f>
        <v>BOOZ ALLEN HAMILTON HLDG CORP COM CL A</v>
      </c>
      <c r="CK15" t="s">
        <v>409</v>
      </c>
      <c r="CL15" t="str">
        <f>RTD("tos.rtd", , "DESCRIPTION", "EXPI")</f>
        <v>EXP WORLD HOLDINGS INC COM</v>
      </c>
      <c r="CQ15" t="s">
        <v>425</v>
      </c>
      <c r="CR15" t="str">
        <f>RTD("tos.rtd", , "DESCRIPTION", "AGL")</f>
        <v>AGILON HEALTH INC COM</v>
      </c>
      <c r="CX15" t="s">
        <v>459</v>
      </c>
      <c r="CY15" t="str">
        <f>RTD("tos.rtd", , "DESCRIPTION", "SDGR")</f>
        <v>SCHRODINGER INC COM</v>
      </c>
    </row>
    <row r="16" spans="2:106" x14ac:dyDescent="0.35">
      <c r="B16" t="s">
        <v>11</v>
      </c>
      <c r="C16" t="str">
        <f>RTD("tos.rtd", , "DESCRIPTION", "ROP")</f>
        <v>ROPER TECHNOLOGIES INC COM</v>
      </c>
      <c r="I16" t="s">
        <v>142</v>
      </c>
      <c r="J16" t="str">
        <f>RTD("tos.rtd", , "DESCRIPTION", "CRWD")</f>
        <v>CROWDSTRIKE HOLDINGS INC COM CL A</v>
      </c>
      <c r="O16" t="s">
        <v>176</v>
      </c>
      <c r="P16" t="str">
        <f>RTD("tos.rtd", , "DESCRIPTION", "GDS")</f>
        <v>GDS HOLDINGS LTD ADR</v>
      </c>
      <c r="U16" t="s">
        <v>197</v>
      </c>
      <c r="V16" t="str">
        <f>RTD("tos.rtd", , "DESCRIPTION", "EPAM")</f>
        <v>EPAM SYS INC COM</v>
      </c>
      <c r="AA16" t="s">
        <v>215</v>
      </c>
      <c r="AB16" t="str">
        <f>RTD("tos.rtd", , "DESCRIPTION", "YY")</f>
        <v>JOYY INC ADR</v>
      </c>
      <c r="AH16" t="s">
        <v>254</v>
      </c>
      <c r="AI16" t="str">
        <f>RTD("tos.rtd", , "DESCRIPTION", "NTDOY")</f>
        <v>NINTENDO CO LTD ADR UNSPONSORED</v>
      </c>
      <c r="AO16" t="s">
        <v>268</v>
      </c>
      <c r="AP16" t="str">
        <f>RTD("tos.rtd", , "DESCRIPTION", "FWONK")</f>
        <v>LIBERTY MEDIA CORP FORMULA ONE COM</v>
      </c>
      <c r="AW16" t="s">
        <v>474</v>
      </c>
      <c r="BB16" t="s">
        <v>298</v>
      </c>
      <c r="BC16" t="str">
        <f>RTD("tos.rtd", , "DESCRIPTION", "RHI")</f>
        <v>ROBERT HALF INC COM</v>
      </c>
      <c r="BI16" t="s">
        <v>321</v>
      </c>
      <c r="BJ16" t="str">
        <f>RTD("tos.rtd", , "DESCRIPTION", "CRTO")</f>
        <v>CRITEO S.A ADR</v>
      </c>
      <c r="BP16" t="s">
        <v>342</v>
      </c>
      <c r="BQ16" t="str">
        <f>RTD("tos.rtd", , "DESCRIPTION", "SQ")</f>
        <v>BLOCK INC COM CL A</v>
      </c>
      <c r="BW16" t="s">
        <v>375</v>
      </c>
      <c r="BX16" t="str">
        <f>RTD("tos.rtd", , "DESCRIPTION", "FDS")</f>
        <v>FACTSET RESEARCH SYSTEMS COM</v>
      </c>
      <c r="CD16" t="s">
        <v>389</v>
      </c>
      <c r="CE16" t="str">
        <f>RTD("tos.rtd", , "DESCRIPTION", "TRU")</f>
        <v>TRANSUNION COM</v>
      </c>
      <c r="CK16" t="s">
        <v>410</v>
      </c>
      <c r="CL16" t="str">
        <f>RTD("tos.rtd", , "DESCRIPTION", "ZG")</f>
        <v>ZILLOW GROUP INC COM CL A</v>
      </c>
      <c r="CQ16" t="s">
        <v>426</v>
      </c>
      <c r="CR16" t="str">
        <f>RTD("tos.rtd", , "DESCRIPTION", "FMS")</f>
        <v>FRESENIUS MEDICAL CARE AG &amp; CO ADR SPONSORED</v>
      </c>
      <c r="CX16" t="s">
        <v>460</v>
      </c>
      <c r="CY16" t="str">
        <f>RTD("tos.rtd", , "DESCRIPTION", "PHR")</f>
        <v>PHREESIA INC COM</v>
      </c>
    </row>
    <row r="17" spans="2:103" x14ac:dyDescent="0.35">
      <c r="B17" t="s">
        <v>12</v>
      </c>
      <c r="C17" t="str">
        <f>RTD("tos.rtd", , "DESCRIPTION", "WDAY")</f>
        <v>WORKDAY INC COM CL A</v>
      </c>
      <c r="I17" t="s">
        <v>143</v>
      </c>
      <c r="J17" t="str">
        <f>RTD("tos.rtd", , "DESCRIPTION", "ZS")</f>
        <v>ZSCALER INC COM</v>
      </c>
      <c r="O17" t="s">
        <v>177</v>
      </c>
      <c r="P17" t="str">
        <f>RTD("tos.rtd", , "DESCRIPTION", "AKAM")</f>
        <v>AKAMAI TECHNOLOGIES COM</v>
      </c>
      <c r="U17" t="s">
        <v>198</v>
      </c>
      <c r="V17" t="str">
        <f>RTD("tos.rtd", , "DESCRIPTION", "DOX")</f>
        <v>AMDOCS LTD COM</v>
      </c>
      <c r="AA17" t="s">
        <v>216</v>
      </c>
      <c r="AB17" t="str">
        <f>RTD("tos.rtd", , "DESCRIPTION", "ATHM")</f>
        <v>AUTOHOME INC ADR</v>
      </c>
      <c r="AH17" t="s">
        <v>255</v>
      </c>
      <c r="AI17" t="str">
        <f>RTD("tos.rtd", , "DESCRIPTION", "BILI")</f>
        <v>BILIBILI INC ADR SPONSORED</v>
      </c>
      <c r="AO17" t="s">
        <v>269</v>
      </c>
      <c r="AP17" t="str">
        <f>RTD("tos.rtd", , "DESCRIPTION", "TME")</f>
        <v>TENCENT MUSIC ENTERTAINMENT GR ADR</v>
      </c>
      <c r="AW17" t="s">
        <v>475</v>
      </c>
      <c r="BB17" t="s">
        <v>299</v>
      </c>
      <c r="BC17" t="str">
        <f>RTD("tos.rtd", , "DESCRIPTION", "TNET")</f>
        <v>TRINET GROUP INC COM</v>
      </c>
      <c r="BI17" t="s">
        <v>322</v>
      </c>
      <c r="BJ17" t="str">
        <f>RTD("tos.rtd", , "DESCRIPTION", "PERI")</f>
        <v>PERION NETWORK LTD COM</v>
      </c>
      <c r="BP17" t="s">
        <v>343</v>
      </c>
      <c r="BQ17" t="str">
        <f>RTD("tos.rtd", , "DESCRIPTION", "FLT")</f>
        <v>FLEETCOR TECHNOLOGIES INC COM</v>
      </c>
      <c r="BW17" t="s">
        <v>376</v>
      </c>
      <c r="BX17" t="str">
        <f>RTD("tos.rtd", , "DESCRIPTION", "COIN")</f>
        <v>COINBASE GLOBAL INC COM CL A</v>
      </c>
      <c r="CD17" t="s">
        <v>390</v>
      </c>
      <c r="CE17" t="str">
        <f>RTD("tos.rtd", , "DESCRIPTION", "LDOS")</f>
        <v>LEIDOS HOLDINGS INC COM</v>
      </c>
      <c r="CK17" t="s">
        <v>411</v>
      </c>
      <c r="CL17" t="str">
        <f>RTD("tos.rtd", , "DESCRIPTION", "OPEN")</f>
        <v>OPENDOOR TECHNOLOGIES INC COM</v>
      </c>
      <c r="CQ17" t="s">
        <v>427</v>
      </c>
      <c r="CR17" t="str">
        <f>RTD("tos.rtd", , "DESCRIPTION", "RCM")</f>
        <v>SHS R1 RCM INC ORD COM</v>
      </c>
      <c r="CX17" t="s">
        <v>461</v>
      </c>
      <c r="CY17" t="str">
        <f>RTD("tos.rtd", , "DESCRIPTION", "MDRX")</f>
        <v>VERADIGM INC COM</v>
      </c>
    </row>
    <row r="18" spans="2:103" x14ac:dyDescent="0.35">
      <c r="B18" t="s">
        <v>13</v>
      </c>
      <c r="C18" t="str">
        <f>RTD("tos.rtd", , "DESCRIPTION", "ADSK")</f>
        <v>AUTODESK INC COM</v>
      </c>
      <c r="I18" t="s">
        <v>144</v>
      </c>
      <c r="J18" t="str">
        <f>RTD("tos.rtd", , "DESCRIPTION", "CHKP")</f>
        <v>CHECK POINT SFTWRE COM</v>
      </c>
      <c r="O18" t="s">
        <v>178</v>
      </c>
      <c r="P18" t="str">
        <f>RTD("tos.rtd", , "DESCRIPTION", "OKTA")</f>
        <v>OKTA INC COM CL A</v>
      </c>
      <c r="U18" t="s">
        <v>199</v>
      </c>
      <c r="V18" t="str">
        <f>RTD("tos.rtd", , "DESCRIPTION", "GLOB")</f>
        <v>GLOBANT SA COM</v>
      </c>
      <c r="AA18" t="s">
        <v>217</v>
      </c>
      <c r="AB18" t="str">
        <f>RTD("tos.rtd", , "DESCRIPTION", "PINS")</f>
        <v>PINTEREST INC COM CL A</v>
      </c>
      <c r="AH18" t="s">
        <v>256</v>
      </c>
      <c r="AI18" t="str">
        <f>RTD("tos.rtd", , "DESCRIPTION", "PLTK")</f>
        <v>PLAYTIKA HLDG CORP COM</v>
      </c>
      <c r="AO18" t="s">
        <v>270</v>
      </c>
      <c r="AP18" t="str">
        <f>RTD("tos.rtd", , "DESCRIPTION", "ROKU")</f>
        <v>ROKU INC COM CL A</v>
      </c>
      <c r="AW18" t="s">
        <v>476</v>
      </c>
      <c r="BB18" t="s">
        <v>300</v>
      </c>
      <c r="BC18" t="str">
        <f>RTD("tos.rtd", , "DESCRIPTION", "ALIT")</f>
        <v>ALIGHT INC COM CL A</v>
      </c>
      <c r="BI18" t="s">
        <v>323</v>
      </c>
      <c r="BJ18" t="str">
        <f>RTD("tos.rtd", , "DESCRIPTION", "MGNI")</f>
        <v>MAGNITE INC COM</v>
      </c>
      <c r="BP18" t="s">
        <v>344</v>
      </c>
      <c r="BQ18" t="str">
        <f>RTD("tos.rtd", , "DESCRIPTION", "JKHY")</f>
        <v>HENRY JACK &amp; ASSOCIATES INC COM</v>
      </c>
      <c r="BW18" t="s">
        <v>377</v>
      </c>
      <c r="BX18" t="str">
        <f>RTD("tos.rtd", , "DESCRIPTION", "TW")</f>
        <v>TRADEWEB MARKETS INC COM CL A</v>
      </c>
      <c r="CD18" t="s">
        <v>391</v>
      </c>
      <c r="CE18" t="str">
        <f>RTD("tos.rtd", , "DESCRIPTION", "KBR")</f>
        <v>KBR INC COM</v>
      </c>
      <c r="CK18" t="s">
        <v>412</v>
      </c>
      <c r="CL18" t="str">
        <f>RTD("tos.rtd", , "DESCRIPTION", "CWK")</f>
        <v>CUSHMAN AND WAKEFIELD PLC COM</v>
      </c>
      <c r="CQ18" t="s">
        <v>428</v>
      </c>
      <c r="CR18" t="str">
        <f>RTD("tos.rtd", , "DESCRIPTION", "OPCH")</f>
        <v>OPTION CARE HEALTH INC COM</v>
      </c>
      <c r="CX18" t="s">
        <v>462</v>
      </c>
      <c r="CY18" t="str">
        <f>RTD("tos.rtd", , "DESCRIPTION", "MPLN")</f>
        <v>MULTIPLAN CORPORATION COM</v>
      </c>
    </row>
    <row r="19" spans="2:103" x14ac:dyDescent="0.35">
      <c r="B19" t="s">
        <v>14</v>
      </c>
      <c r="C19" t="str">
        <f>RTD("tos.rtd", , "DESCRIPTION", "PLTR")</f>
        <v>PALANTIR TECH INC COM CL A</v>
      </c>
      <c r="I19" t="s">
        <v>145</v>
      </c>
      <c r="J19" t="str">
        <f>RTD("tos.rtd", , "DESCRIPTION", "GEN")</f>
        <v>GEN DIGITAL INC COM</v>
      </c>
      <c r="O19" t="s">
        <v>179</v>
      </c>
      <c r="P19" t="str">
        <f>RTD("tos.rtd", , "DESCRIPTION", "TWLO")</f>
        <v>TWILIO INC COM CL A</v>
      </c>
      <c r="U19" t="s">
        <v>200</v>
      </c>
      <c r="V19" t="str">
        <f>RTD("tos.rtd", , "DESCRIPTION", "CGEMY")</f>
        <v>CAPGEMINI ADR UNSPONSORED</v>
      </c>
      <c r="AA19" t="s">
        <v>218</v>
      </c>
      <c r="AB19" t="str">
        <f>RTD("tos.rtd", , "DESCRIPTION", "SNAP")</f>
        <v>SNAP INC COM CL A</v>
      </c>
      <c r="AH19" t="s">
        <v>257</v>
      </c>
      <c r="AI19" t="str">
        <f>RTD("tos.rtd", , "DESCRIPTION", "NCTY")</f>
        <v>THE9 LTD ADR</v>
      </c>
      <c r="AO19" t="s">
        <v>271</v>
      </c>
      <c r="AP19" t="str">
        <f>RTD("tos.rtd", , "DESCRIPTION", "EDR")</f>
        <v>ENDEAVOR GROUP HOLDINGS INC COM CL A</v>
      </c>
      <c r="AW19" t="s">
        <v>25</v>
      </c>
      <c r="BB19" t="s">
        <v>301</v>
      </c>
      <c r="BC19" t="str">
        <f>RTD("tos.rtd", , "DESCRIPTION", "PYCR")</f>
        <v>PAYCOR HCM INC COM</v>
      </c>
      <c r="BI19" t="s">
        <v>324</v>
      </c>
      <c r="BJ19" t="str">
        <f>RTD("tos.rtd", , "DESCRIPTION", "ADV")</f>
        <v>ADVANTAGE SOLUTIONS INC COM CL A</v>
      </c>
      <c r="BP19" t="s">
        <v>345</v>
      </c>
      <c r="BQ19" t="str">
        <f>RTD("tos.rtd", , "DESCRIPTION", "TOST")</f>
        <v>TOAST INC COM CL A</v>
      </c>
      <c r="BW19" t="s">
        <v>378</v>
      </c>
      <c r="BX19" t="str">
        <f>RTD("tos.rtd", , "DESCRIPTION", "MKTX")</f>
        <v>MARKETAXESS HLDGS INC COM</v>
      </c>
      <c r="CD19" t="s">
        <v>392</v>
      </c>
      <c r="CE19" t="str">
        <f>RTD("tos.rtd", , "DESCRIPTION", "FCN")</f>
        <v>FTI CONSULTING INC COM</v>
      </c>
      <c r="CK19" t="s">
        <v>413</v>
      </c>
      <c r="CL19" t="str">
        <f>RTD("tos.rtd", , "DESCRIPTION", "COMP")</f>
        <v>COMPASS INC COM CL A</v>
      </c>
      <c r="CQ19" t="s">
        <v>429</v>
      </c>
      <c r="CR19" t="str">
        <f>RTD("tos.rtd", , "DESCRIPTION", "GH")</f>
        <v>GUARDANT HEALTH INC COM</v>
      </c>
      <c r="CX19" t="s">
        <v>463</v>
      </c>
      <c r="CY19" t="str">
        <f>RTD("tos.rtd", , "DESCRIPTION", "NXGN")</f>
        <v>NEXTGEN HEALTHCARE INC COM</v>
      </c>
    </row>
    <row r="20" spans="2:103" x14ac:dyDescent="0.35">
      <c r="B20" t="s">
        <v>15</v>
      </c>
      <c r="C20" t="str">
        <f>RTD("tos.rtd", , "DESCRIPTION", "TEAM")</f>
        <v>ATLASSIAN CORP COM CL A</v>
      </c>
      <c r="I20" t="s">
        <v>146</v>
      </c>
      <c r="J20" t="str">
        <f>RTD("tos.rtd", , "DESCRIPTION", "MNDY")</f>
        <v>MONDAY COM</v>
      </c>
      <c r="O20" t="s">
        <v>180</v>
      </c>
      <c r="P20" t="str">
        <f>RTD("tos.rtd", , "DESCRIPTION", "GDDY")</f>
        <v>GODADDY INC COM CL A</v>
      </c>
      <c r="U20" t="s">
        <v>201</v>
      </c>
      <c r="V20" t="str">
        <f>RTD("tos.rtd", , "DESCRIPTION", "DXC")</f>
        <v>DXC TECHNOLOGY COMPANY COM</v>
      </c>
      <c r="AA20" t="s">
        <v>219</v>
      </c>
      <c r="AB20" t="str">
        <f>RTD("tos.rtd", , "DESCRIPTION", "MTCH")</f>
        <v>MATCH GROUP INC COM</v>
      </c>
      <c r="AH20" t="s">
        <v>258</v>
      </c>
      <c r="AI20" t="str">
        <f>RTD("tos.rtd", , "DESCRIPTION", "SCPL")</f>
        <v>SCIPLAY CORPORATION COM CL A</v>
      </c>
      <c r="AO20" t="s">
        <v>272</v>
      </c>
      <c r="AP20" t="str">
        <f>RTD("tos.rtd", , "DESCRIPTION", "WWE")</f>
        <v>WORLD WRESTLING ENTERTAINMENT COM CL A</v>
      </c>
      <c r="AW20" t="s">
        <v>477</v>
      </c>
      <c r="BB20" t="s">
        <v>302</v>
      </c>
      <c r="BC20" t="str">
        <f>RTD("tos.rtd", , "DESCRIPTION", "NSP")</f>
        <v>INSPERITY INC COM</v>
      </c>
      <c r="BI20" t="s">
        <v>325</v>
      </c>
      <c r="BJ20" t="str">
        <f>RTD("tos.rtd", , "DESCRIPTION", "TTGT")</f>
        <v>TECHTARGET INC COM</v>
      </c>
      <c r="BP20" t="s">
        <v>346</v>
      </c>
      <c r="BQ20" t="str">
        <f>RTD("tos.rtd", , "DESCRIPTION", "WEX")</f>
        <v>WEX INC COM</v>
      </c>
      <c r="BW20" t="s">
        <v>379</v>
      </c>
      <c r="BX20" t="str">
        <f>RTD("tos.rtd", , "DESCRIPTION", "DFIN")</f>
        <v>DONNELLEY FIN SOLUTIONS INC COM</v>
      </c>
      <c r="CD20" t="s">
        <v>393</v>
      </c>
      <c r="CE20" t="str">
        <f>RTD("tos.rtd", , "DESCRIPTION", "SAIC")</f>
        <v>SCIENCE APPLICATION INTL CORP COM</v>
      </c>
      <c r="CK20" t="s">
        <v>414</v>
      </c>
      <c r="CL20" t="str">
        <f>RTD("tos.rtd", , "DESCRIPTION", "MMI")</f>
        <v>MARCUS &amp; MILLICHAP INC COM</v>
      </c>
      <c r="CQ20" t="s">
        <v>430</v>
      </c>
      <c r="CR20" t="str">
        <f>RTD("tos.rtd", , "DESCRIPTION", "AMN")</f>
        <v>AMN HEALTHCARE SERVICES INC COM</v>
      </c>
      <c r="CX20" t="s">
        <v>464</v>
      </c>
      <c r="CY20" t="str">
        <f>RTD("tos.rtd", , "DESCRIPTION", "DH")</f>
        <v>DEFINITIVE HEALTHCARE CORP COM</v>
      </c>
    </row>
    <row r="21" spans="2:103" x14ac:dyDescent="0.35">
      <c r="B21" t="s">
        <v>16</v>
      </c>
      <c r="C21" t="str">
        <f>RTD("tos.rtd", , "DESCRIPTION", "DDOG")</f>
        <v>DATADOG INC COM CL A</v>
      </c>
      <c r="I21" t="s">
        <v>147</v>
      </c>
      <c r="J21" t="str">
        <f>RTD("tos.rtd", , "DESCRIPTION", "PATH")</f>
        <v>UIPATH INC COM CL A</v>
      </c>
      <c r="O21" t="s">
        <v>181</v>
      </c>
      <c r="P21" t="str">
        <f>RTD("tos.rtd", , "DESCRIPTION", "WIX")</f>
        <v>WIX.COM LTD COM</v>
      </c>
      <c r="U21" t="s">
        <v>202</v>
      </c>
      <c r="V21" t="str">
        <f>RTD("tos.rtd", , "DESCRIPTION", "KD")</f>
        <v>KYNDRYL HLDGS INC COM</v>
      </c>
      <c r="AA21" t="s">
        <v>220</v>
      </c>
      <c r="AB21" t="str">
        <f>RTD("tos.rtd", , "DESCRIPTION", "BZ")</f>
        <v>KANZHUN LTD ADR</v>
      </c>
      <c r="AH21" t="s">
        <v>259</v>
      </c>
      <c r="AI21" t="str">
        <f>RTD("tos.rtd", , "DESCRIPTION", "MYPS")</f>
        <v>PLAYSTUDIOS IN COM</v>
      </c>
      <c r="AO21" t="s">
        <v>273</v>
      </c>
      <c r="AP21" t="str">
        <f>RTD("tos.rtd", , "DESCRIPTION", "WMG")</f>
        <v>WARNER MUSIC GROUP CORP COM CL A</v>
      </c>
      <c r="AW21" t="s">
        <v>478</v>
      </c>
      <c r="BB21" t="s">
        <v>303</v>
      </c>
      <c r="BC21" t="str">
        <f>RTD("tos.rtd", , "DESCRIPTION", "ASGN")</f>
        <v>ASGN INCORPORATED COM</v>
      </c>
      <c r="BI21" t="s">
        <v>326</v>
      </c>
      <c r="BJ21" t="str">
        <f>RTD("tos.rtd", , "DESCRIPTION", "THRY")</f>
        <v>THRYV HOLDINGS INC COM</v>
      </c>
      <c r="BP21" t="s">
        <v>347</v>
      </c>
      <c r="BQ21" t="str">
        <f>RTD("tos.rtd", , "DESCRIPTION", "DLO")</f>
        <v>DLOCAL LTD COM CL A</v>
      </c>
      <c r="BW21" t="s">
        <v>380</v>
      </c>
      <c r="BX21" t="str">
        <f>RTD("tos.rtd", , "DESCRIPTION", "LPRO")</f>
        <v>OPEN LENDING CORPORATION COM</v>
      </c>
      <c r="CD21" t="s">
        <v>394</v>
      </c>
      <c r="CE21" t="str">
        <f>RTD("tos.rtd", , "DESCRIPTION", "CLVT")</f>
        <v>CLARIVATE PLC COM</v>
      </c>
      <c r="CK21" t="s">
        <v>415</v>
      </c>
      <c r="CL21" t="str">
        <f>RTD("tos.rtd", , "DESCRIPTION", "RDFN")</f>
        <v>REDFIN CORPORATION COM</v>
      </c>
      <c r="CQ21" t="s">
        <v>431</v>
      </c>
      <c r="CR21" t="str">
        <f>RTD("tos.rtd", , "DESCRIPTION", "PRVA")</f>
        <v>PRIVIA HEALTH GROUP INC COM</v>
      </c>
      <c r="CX21" t="s">
        <v>465</v>
      </c>
      <c r="CY21" t="str">
        <f>RTD("tos.rtd", , "DESCRIPTION", "AHI")</f>
        <v>ADVANCED HEALTH INTLGNCE LTD ADR SPONSORED</v>
      </c>
    </row>
    <row r="22" spans="2:103" x14ac:dyDescent="0.35">
      <c r="B22" t="s">
        <v>17</v>
      </c>
      <c r="C22" t="str">
        <f>RTD("tos.rtd", , "DESCRIPTION", "ANSS")</f>
        <v>ANSYS INC COM</v>
      </c>
      <c r="I22" t="s">
        <v>148</v>
      </c>
      <c r="J22" t="str">
        <f>RTD("tos.rtd", , "DESCRIPTION", "CYBR")</f>
        <v>CYBERARK SOFTWARE LTD COM</v>
      </c>
      <c r="O22" t="s">
        <v>182</v>
      </c>
      <c r="P22" t="str">
        <f>RTD("tos.rtd", , "DESCRIPTION", "CD")</f>
        <v>CHINDATA GROUP HLDGS LTD ADR</v>
      </c>
      <c r="U22" t="s">
        <v>203</v>
      </c>
      <c r="V22" t="str">
        <f>RTD("tos.rtd", , "DESCRIPTION", "PRFT")</f>
        <v>PERFICIENT INC COM</v>
      </c>
      <c r="AA22" t="s">
        <v>221</v>
      </c>
      <c r="AB22" t="str">
        <f>RTD("tos.rtd", , "DESCRIPTION", "ZI")</f>
        <v>ZOOMINFO TECHNOLOGIES INC COM</v>
      </c>
      <c r="AO22" t="s">
        <v>274</v>
      </c>
      <c r="AP22" t="str">
        <f>RTD("tos.rtd", , "DESCRIPTION", "MSGS")</f>
        <v>MADISON SQ GARDEN SPORTS CORP COM CL A</v>
      </c>
      <c r="AW22" t="s">
        <v>479</v>
      </c>
      <c r="BB22" t="s">
        <v>304</v>
      </c>
      <c r="BC22" t="str">
        <f>RTD("tos.rtd", , "DESCRIPTION", "MAN")</f>
        <v>MANPOWERGROUP INC COM</v>
      </c>
      <c r="BI22" t="s">
        <v>327</v>
      </c>
      <c r="BJ22" t="str">
        <f>RTD("tos.rtd", , "DESCRIPTION", "CCO")</f>
        <v>CLEAR CHANNEL OUTDOOR HLDGS IN COM</v>
      </c>
      <c r="BP22" t="s">
        <v>348</v>
      </c>
      <c r="BQ22" t="str">
        <f>RTD("tos.rtd", , "DESCRIPTION", "WU")</f>
        <v>WESTERN UNION COMPANY (THE) COM</v>
      </c>
      <c r="CD22" t="s">
        <v>395</v>
      </c>
      <c r="CE22" t="str">
        <f>RTD("tos.rtd", , "DESCRIPTION", "DNB")</f>
        <v>DUN &amp; BRADSTREET HLDGS INC COM</v>
      </c>
      <c r="CK22" t="s">
        <v>416</v>
      </c>
      <c r="CL22" t="str">
        <f>RTD("tos.rtd", , "DESCRIPTION", "NMRK")</f>
        <v>NEWMARK GROUP INC COM CL A</v>
      </c>
      <c r="CQ22" t="s">
        <v>432</v>
      </c>
      <c r="CR22" t="str">
        <f>RTD("tos.rtd", , "DESCRIPTION", "PINC")</f>
        <v>PREMIER INC COM CL A</v>
      </c>
      <c r="CX22" t="s">
        <v>466</v>
      </c>
      <c r="CY22" t="str">
        <f>RTD("tos.rtd", , "DESCRIPTION", "HCAT")</f>
        <v>HEALTH CATALYST INC COM</v>
      </c>
    </row>
    <row r="23" spans="2:103" x14ac:dyDescent="0.35">
      <c r="B23" t="s">
        <v>18</v>
      </c>
      <c r="C23" t="str">
        <f>RTD("tos.rtd", , "DESCRIPTION", "HUBS")</f>
        <v>HUBSPOT INC COM</v>
      </c>
      <c r="I23" t="s">
        <v>149</v>
      </c>
      <c r="J23" t="str">
        <f>RTD("tos.rtd", , "DESCRIPTION", "QLYS")</f>
        <v>QUALYS INC COM</v>
      </c>
      <c r="O23" t="s">
        <v>183</v>
      </c>
      <c r="P23" t="str">
        <f>RTD("tos.rtd", , "DESCRIPTION", "DOCN")</f>
        <v>DIGITALOCEAN HLDGS INC COM</v>
      </c>
      <c r="U23" t="s">
        <v>204</v>
      </c>
      <c r="V23" t="str">
        <f>RTD("tos.rtd", , "DESCRIPTION", "DAVA")</f>
        <v>ENDAVA PLC ADR</v>
      </c>
      <c r="AA23" t="s">
        <v>222</v>
      </c>
      <c r="AB23" t="str">
        <f>RTD("tos.rtd", , "DESCRIPTION", "IAC")</f>
        <v>IAC INC COM</v>
      </c>
      <c r="AO23" t="s">
        <v>275</v>
      </c>
      <c r="AP23" t="str">
        <f>RTD("tos.rtd", , "DESCRIPTION", "CNK")</f>
        <v>CINEMARK HOLDINGS INC COM</v>
      </c>
      <c r="AW23" t="s">
        <v>480</v>
      </c>
      <c r="BB23" t="s">
        <v>305</v>
      </c>
      <c r="BC23" t="str">
        <f>RTD("tos.rtd", , "DESCRIPTION", "KFY")</f>
        <v>KORN FERRY COM</v>
      </c>
      <c r="BI23" t="s">
        <v>328</v>
      </c>
      <c r="BJ23" t="str">
        <f>RTD("tos.rtd", , "DESCRIPTION", "STGW")</f>
        <v>STAGWELL INC COM CL A</v>
      </c>
      <c r="BP23" t="s">
        <v>349</v>
      </c>
      <c r="BQ23" t="str">
        <f>RTD("tos.rtd", , "DESCRIPTION", "RELY")</f>
        <v>REMITLY GLOBAL INC COM</v>
      </c>
      <c r="CD23" t="s">
        <v>396</v>
      </c>
      <c r="CE23" t="str">
        <f>RTD("tos.rtd", , "DESCRIPTION", "EXPO")</f>
        <v>EXPONENT INC COM</v>
      </c>
      <c r="CK23" t="s">
        <v>417</v>
      </c>
      <c r="CL23" t="str">
        <f>RTD("tos.rtd", , "DESCRIPTION", "HOUS")</f>
        <v>ANYWHERE REAL ESTATE INC COM</v>
      </c>
      <c r="CQ23" t="s">
        <v>433</v>
      </c>
      <c r="CR23" t="str">
        <f>RTD("tos.rtd", , "DESCRIPTION", "AMED")</f>
        <v>AMEDISYS INC COM</v>
      </c>
      <c r="CX23" t="s">
        <v>467</v>
      </c>
      <c r="CY23" t="str">
        <f>RTD("tos.rtd", , "DESCRIPTION", "GDRX")</f>
        <v>GOODRX HLDGS INC COM CL A</v>
      </c>
    </row>
    <row r="24" spans="2:103" x14ac:dyDescent="0.35">
      <c r="B24" t="s">
        <v>19</v>
      </c>
      <c r="C24" t="str">
        <f>RTD("tos.rtd", , "DESCRIPTION", "FICO")</f>
        <v>FAIR ISAAC CORP COM</v>
      </c>
      <c r="I24" t="s">
        <v>150</v>
      </c>
      <c r="J24" t="str">
        <f>RTD("tos.rtd", , "DESCRIPTION", "TENB")</f>
        <v>TENABLE HOLDINGS INC COM</v>
      </c>
      <c r="O24" t="s">
        <v>184</v>
      </c>
      <c r="P24" t="str">
        <f>RTD("tos.rtd", , "DESCRIPTION", "SQSP")</f>
        <v>SQUARESPACE INC COM</v>
      </c>
      <c r="U24" t="s">
        <v>205</v>
      </c>
      <c r="V24" t="str">
        <f>RTD("tos.rtd", , "DESCRIPTION", "TWKS")</f>
        <v>THOUGHTWORKS HLDG INC COM</v>
      </c>
      <c r="AA24" t="s">
        <v>223</v>
      </c>
      <c r="AB24" t="str">
        <f>RTD("tos.rtd", , "DESCRIPTION", "MOMO")</f>
        <v>HELLO GROUP INC ADR</v>
      </c>
      <c r="AO24" t="s">
        <v>276</v>
      </c>
      <c r="AP24" t="str">
        <f>RTD("tos.rtd", , "DESCRIPTION", "APE")</f>
        <v>AMC ENTERTAINMENT HOLDINGS INC PFD EQT UNIT DEP REP 1/100</v>
      </c>
      <c r="AW24" t="s">
        <v>481</v>
      </c>
      <c r="BB24" t="s">
        <v>306</v>
      </c>
      <c r="BC24" t="str">
        <f>RTD("tos.rtd", , "DESCRIPTION", "FA")</f>
        <v>FIRST ADVANTAGE CORP NEW COM</v>
      </c>
      <c r="BI24" t="s">
        <v>329</v>
      </c>
      <c r="BJ24" t="str">
        <f>RTD("tos.rtd", , "DESCRIPTION", "PUBM")</f>
        <v>PUBMATIC INC COM CL A</v>
      </c>
      <c r="BP24" t="s">
        <v>350</v>
      </c>
      <c r="BQ24" t="str">
        <f>RTD("tos.rtd", , "DESCRIPTION", "EEFT")</f>
        <v>EURONET WORLDWIDE INC COM</v>
      </c>
      <c r="CD24" t="s">
        <v>397</v>
      </c>
      <c r="CE24" t="str">
        <f>RTD("tos.rtd", , "DESCRIPTION", "CBZ")</f>
        <v>CBIZ INC COM</v>
      </c>
      <c r="CK24" t="s">
        <v>418</v>
      </c>
      <c r="CL24" t="str">
        <f>RTD("tos.rtd", , "DESCRIPTION", "REAX")</f>
        <v>THE REAL BROKERAGE INC COM</v>
      </c>
      <c r="CQ24" t="s">
        <v>434</v>
      </c>
      <c r="CR24" t="str">
        <f>RTD("tos.rtd", , "DESCRIPTION", "LFST")</f>
        <v>LIFESTANCE HEALTH GROUP INC COM</v>
      </c>
      <c r="CX24" t="s">
        <v>468</v>
      </c>
      <c r="CY24" t="str">
        <f>RTD("tos.rtd", , "DESCRIPTION", "SHCR")</f>
        <v>SHARECARE INC COM COM CL A</v>
      </c>
    </row>
    <row r="25" spans="2:103" x14ac:dyDescent="0.35">
      <c r="B25" t="s">
        <v>20</v>
      </c>
      <c r="C25" t="str">
        <f>RTD("tos.rtd", , "DESCRIPTION", "PTC")</f>
        <v>PTC INC COM</v>
      </c>
      <c r="I25" t="s">
        <v>151</v>
      </c>
      <c r="J25" t="str">
        <f>RTD("tos.rtd", , "DESCRIPTION", "DLB")</f>
        <v>DOLBY LABORATORIES INC COM CL A</v>
      </c>
      <c r="O25" t="s">
        <v>185</v>
      </c>
      <c r="P25" t="str">
        <f>RTD("tos.rtd", , "DESCRIPTION", "VNET")</f>
        <v>21VIANET GROUP INCORPORATED ADR</v>
      </c>
      <c r="U25" t="s">
        <v>206</v>
      </c>
      <c r="V25" t="str">
        <f>RTD("tos.rtd", , "DESCRIPTION", "GDYN")</f>
        <v>GRID DYNAMICS HOLDINGS INC COM CL A</v>
      </c>
      <c r="AA25" t="s">
        <v>224</v>
      </c>
      <c r="AB25" t="str">
        <f>RTD("tos.rtd", , "DESCRIPTION", "ZD")</f>
        <v>ZIFF DAVIS INC COM</v>
      </c>
      <c r="AO25" t="s">
        <v>277</v>
      </c>
      <c r="AP25" t="str">
        <f>RTD("tos.rtd", , "DESCRIPTION", "AMC")</f>
        <v>AMC ENTERTAINMENT HOLDINGS INC COM CL A</v>
      </c>
      <c r="AW25" t="s">
        <v>482</v>
      </c>
      <c r="BB25" t="s">
        <v>307</v>
      </c>
      <c r="BC25" t="str">
        <f>RTD("tos.rtd", , "DESCRIPTION", "UPWK")</f>
        <v>UPWORK INC COM</v>
      </c>
      <c r="BI25" t="s">
        <v>330</v>
      </c>
      <c r="BJ25" t="str">
        <f>RTD("tos.rtd", , "DESCRIPTION", "BOC")</f>
        <v>BOSTON OMAHA CORPORATION COM CL A</v>
      </c>
      <c r="BP25" t="s">
        <v>351</v>
      </c>
      <c r="BQ25" t="str">
        <f>RTD("tos.rtd", , "DESCRIPTION", "STNE")</f>
        <v>STONECO LTD COM</v>
      </c>
      <c r="CD25" t="s">
        <v>398</v>
      </c>
      <c r="CE25" t="str">
        <f>RTD("tos.rtd", , "DESCRIPTION", "LZ")</f>
        <v>LEGALZOOM COM INC COM</v>
      </c>
      <c r="CQ25" t="s">
        <v>435</v>
      </c>
      <c r="CR25" t="str">
        <f>RTD("tos.rtd", , "DESCRIPTION", "AMEH")</f>
        <v>APOLLO MEDICAL HOLDINGS INC COM</v>
      </c>
      <c r="CX25" t="s">
        <v>469</v>
      </c>
      <c r="CY25" t="str">
        <f>RTD("tos.rtd", , "DESCRIPTION", "AMWL")</f>
        <v>AMERICAN WELL CORP COM CL A</v>
      </c>
    </row>
    <row r="26" spans="2:103" x14ac:dyDescent="0.35">
      <c r="B26" t="s">
        <v>21</v>
      </c>
      <c r="C26" t="str">
        <f>RTD("tos.rtd", , "DESCRIPTION", "ZM")</f>
        <v>ZOOM VIDEO COMMUNICATIONS INC COM CL A</v>
      </c>
      <c r="I26" t="s">
        <v>152</v>
      </c>
      <c r="J26" t="str">
        <f>RTD("tos.rtd", , "DESCRIPTION", "TDC")</f>
        <v>TERADATA CORPORATION COM</v>
      </c>
      <c r="O26" t="s">
        <v>186</v>
      </c>
      <c r="P26" t="str">
        <f>RTD("tos.rtd", , "DESCRIPTION", "FSLY")</f>
        <v>FASTLY INC COM CL A</v>
      </c>
      <c r="U26" t="s">
        <v>207</v>
      </c>
      <c r="V26" t="str">
        <f>RTD("tos.rtd", , "DESCRIPTION", "HCKT")</f>
        <v>HACKETT GROUP INC COM</v>
      </c>
      <c r="AA26" t="s">
        <v>225</v>
      </c>
      <c r="AB26" t="str">
        <f>RTD("tos.rtd", , "DESCRIPTION", "YELP")</f>
        <v>YELP INC COM CL A</v>
      </c>
      <c r="AO26" t="s">
        <v>278</v>
      </c>
      <c r="AP26" t="str">
        <f>RTD("tos.rtd", , "DESCRIPTION", "BATRK")</f>
        <v>ATLANTA BRAVES HOLDINGS INC COM</v>
      </c>
      <c r="AW26" t="s">
        <v>483</v>
      </c>
      <c r="BB26" t="s">
        <v>308</v>
      </c>
      <c r="BC26" t="str">
        <f>RTD("tos.rtd", , "DESCRIPTION", "STER")</f>
        <v>STERLING CHECK CORP COM</v>
      </c>
      <c r="BI26" t="s">
        <v>331</v>
      </c>
      <c r="BJ26" t="str">
        <f>RTD("tos.rtd", , "DESCRIPTION", "CDLX")</f>
        <v>CARDLYTICS INC COM</v>
      </c>
      <c r="BP26" t="s">
        <v>352</v>
      </c>
      <c r="BQ26" t="str">
        <f>RTD("tos.rtd", , "DESCRIPTION", "FLYW")</f>
        <v>FLYWIRE CORP COM</v>
      </c>
      <c r="CD26" t="s">
        <v>399</v>
      </c>
      <c r="CE26" t="str">
        <f>RTD("tos.rtd", , "DESCRIPTION", "NVEE")</f>
        <v>NV5 GLOBAL IN COM</v>
      </c>
      <c r="CQ26" t="s">
        <v>436</v>
      </c>
      <c r="CR26" t="str">
        <f>RTD("tos.rtd", , "DESCRIPTION", "RDNT")</f>
        <v>RADNET INC COM</v>
      </c>
    </row>
    <row r="27" spans="2:103" x14ac:dyDescent="0.35">
      <c r="B27" t="s">
        <v>22</v>
      </c>
      <c r="C27" t="str">
        <f>RTD("tos.rtd", , "DESCRIPTION", "SPLK")</f>
        <v>SPLUNK INC COM</v>
      </c>
      <c r="I27" t="s">
        <v>153</v>
      </c>
      <c r="J27" t="str">
        <f>RTD("tos.rtd", , "DESCRIPTION", "GTLB")</f>
        <v>GITLAB INC COM</v>
      </c>
      <c r="O27" t="s">
        <v>187</v>
      </c>
      <c r="P27" t="str">
        <f>RTD("tos.rtd", , "DESCRIPTION", "BIGC")</f>
        <v>BIGCOMMERCE HLDGS INC COM</v>
      </c>
      <c r="AA27" t="s">
        <v>226</v>
      </c>
      <c r="AB27" t="str">
        <f>RTD("tos.rtd", , "DESCRIPTION", "BMBL")</f>
        <v>BUMBLE INC COM CL A</v>
      </c>
      <c r="AO27" t="s">
        <v>279</v>
      </c>
      <c r="AP27" t="str">
        <f>RTD("tos.rtd", , "DESCRIPTION", "MSGE")</f>
        <v>MADISON SQUARE GARDEN ENTERTAI COM CL A</v>
      </c>
      <c r="AW27" t="s">
        <v>484</v>
      </c>
      <c r="BB27" t="s">
        <v>309</v>
      </c>
      <c r="BC27" t="str">
        <f>RTD("tos.rtd", , "DESCRIPTION", "FVRR")</f>
        <v>FIVERR INTERNATIONAL LTD COM</v>
      </c>
      <c r="BI27" t="s">
        <v>332</v>
      </c>
      <c r="BJ27" t="str">
        <f>RTD("tos.rtd", , "DESCRIPTION", "GAMB")</f>
        <v>GAMBLING.COM GROUP LIMITED COM</v>
      </c>
      <c r="BP27" t="s">
        <v>353</v>
      </c>
      <c r="BQ27" t="str">
        <f>RTD("tos.rtd", , "DESCRIPTION", "AFRM")</f>
        <v>AFFIRM HLDGS INC COM CL A</v>
      </c>
      <c r="CD27" t="s">
        <v>400</v>
      </c>
      <c r="CE27" t="str">
        <f>RTD("tos.rtd", , "DESCRIPTION", "PL")</f>
        <v>PLANET LABS PBC COM CL A</v>
      </c>
      <c r="CQ27" t="s">
        <v>437</v>
      </c>
      <c r="CR27" t="str">
        <f>RTD("tos.rtd", , "DESCRIPTION", "NEO")</f>
        <v>NEOGENOMICS INC COM</v>
      </c>
    </row>
    <row r="28" spans="2:103" x14ac:dyDescent="0.35">
      <c r="B28" t="s">
        <v>23</v>
      </c>
      <c r="C28" t="str">
        <f>RTD("tos.rtd", , "DESCRIPTION", "TYL")</f>
        <v>TYLER TECHNOLOGIES INC COM</v>
      </c>
      <c r="I28" t="s">
        <v>154</v>
      </c>
      <c r="J28" t="str">
        <f>RTD("tos.rtd", , "DESCRIPTION", "S")</f>
        <v>SENTINELONE INC COM CL A</v>
      </c>
      <c r="O28" t="s">
        <v>188</v>
      </c>
      <c r="P28" t="str">
        <f>RTD("tos.rtd", , "DESCRIPTION", "RXT")</f>
        <v>RACKSPACE TECHNOLOGY INC COM</v>
      </c>
      <c r="AA28" t="s">
        <v>227</v>
      </c>
      <c r="AB28" t="str">
        <f>RTD("tos.rtd", , "DESCRIPTION", "WB")</f>
        <v>WEIBO CORPORATION ADR</v>
      </c>
      <c r="AO28" t="s">
        <v>280</v>
      </c>
      <c r="AP28" t="str">
        <f>RTD("tos.rtd", , "DESCRIPTION", "MANU")</f>
        <v>MANCHESTER UTD PLC NEW COM</v>
      </c>
      <c r="AW28" t="s">
        <v>485</v>
      </c>
      <c r="BB28" t="s">
        <v>310</v>
      </c>
      <c r="BC28" t="str">
        <f>RTD("tos.rtd", , "DESCRIPTION", "HRT")</f>
        <v>HIRERIGHT HLDGS CORP COM</v>
      </c>
      <c r="BI28" t="s">
        <v>333</v>
      </c>
      <c r="BJ28" t="str">
        <f>RTD("tos.rtd", , "DESCRIPTION", "QUOT")</f>
        <v>QUOTIENT TECHNOLOGY INC COM</v>
      </c>
      <c r="BP28" t="s">
        <v>354</v>
      </c>
      <c r="BQ28" t="str">
        <f>RTD("tos.rtd", , "DESCRIPTION", "FOUR")</f>
        <v>SHIFT4 PAYMENTS INC COM CL A</v>
      </c>
      <c r="CD28" t="s">
        <v>401</v>
      </c>
      <c r="CE28" t="str">
        <f>RTD("tos.rtd", , "DESCRIPTION", "INOD")</f>
        <v>INNODATA INC COM</v>
      </c>
      <c r="CQ28" t="s">
        <v>438</v>
      </c>
      <c r="CR28" t="str">
        <f>RTD("tos.rtd", , "DESCRIPTION", "ADUS")</f>
        <v>ADDUS HOMECARE CORP COM</v>
      </c>
    </row>
    <row r="29" spans="2:103" x14ac:dyDescent="0.35">
      <c r="B29" t="s">
        <v>24</v>
      </c>
      <c r="C29" t="str">
        <f>RTD("tos.rtd", , "DESCRIPTION", "NICE")</f>
        <v>NICE LTD ADR SPONSORED</v>
      </c>
      <c r="I29" t="s">
        <v>155</v>
      </c>
      <c r="J29" t="str">
        <f>RTD("tos.rtd", , "DESCRIPTION", "VRNS")</f>
        <v>VARONIS SYSTEMS INC COM</v>
      </c>
      <c r="O29" t="s">
        <v>189</v>
      </c>
      <c r="P29" t="str">
        <f>RTD("tos.rtd", , "DESCRIPTION", "CORZQ")</f>
        <v>CORE SCIENTIFIC INC COM</v>
      </c>
      <c r="AA29" t="s">
        <v>228</v>
      </c>
      <c r="AB29" t="str">
        <f>RTD("tos.rtd", , "DESCRIPTION", "TRIP")</f>
        <v>TRIPADVISOR INC COM</v>
      </c>
      <c r="AO29" t="s">
        <v>281</v>
      </c>
      <c r="AP29" t="str">
        <f>RTD("tos.rtd", , "DESCRIPTION", "SPHR")</f>
        <v>SPHERE ENTERTAINMENT CO COM CL A</v>
      </c>
      <c r="AW29" t="s">
        <v>486</v>
      </c>
      <c r="BB29" t="s">
        <v>311</v>
      </c>
      <c r="BC29" t="str">
        <f>RTD("tos.rtd", , "DESCRIPTION", "KELYA")</f>
        <v>KELLY SERVICES INC COM CL A</v>
      </c>
      <c r="BP29" t="s">
        <v>355</v>
      </c>
      <c r="BQ29" t="str">
        <f>RTD("tos.rtd", , "DESCRIPTION", "MQ")</f>
        <v>MARQETA INC COM</v>
      </c>
      <c r="CD29" t="s">
        <v>402</v>
      </c>
      <c r="CE29" t="str">
        <f>RTD("tos.rtd", , "DESCRIPTION", "NOTE")</f>
        <v>FISCALNOTE HOLDINGS INC COM CL A</v>
      </c>
      <c r="CQ29" t="s">
        <v>439</v>
      </c>
      <c r="CR29" t="str">
        <f>RTD("tos.rtd", , "DESCRIPTION", "AGTI")</f>
        <v>AGILITI INC COM</v>
      </c>
    </row>
    <row r="30" spans="2:103" x14ac:dyDescent="0.35">
      <c r="B30" t="s">
        <v>25</v>
      </c>
      <c r="C30" t="str">
        <f>RTD("tos.rtd", , "DESCRIPTION", "U")</f>
        <v>UNITY SOFTWARE INC COM</v>
      </c>
      <c r="I30" t="s">
        <v>156</v>
      </c>
      <c r="J30" t="str">
        <f>RTD("tos.rtd", , "DESCRIPTION", "CVLT")</f>
        <v>COMMVAULT SYSTEMS INC COM</v>
      </c>
      <c r="AA30" t="s">
        <v>229</v>
      </c>
      <c r="AB30" t="str">
        <f>RTD("tos.rtd", , "DESCRIPTION", "ATDRY")</f>
        <v>AUTO TRADER GROUP PLC ADR UNSPONSORED</v>
      </c>
      <c r="AO30" t="s">
        <v>282</v>
      </c>
      <c r="AP30" t="str">
        <f>RTD("tos.rtd", , "DESCRIPTION", "LGF/B")</f>
        <v>LIONS GATE ENTERTAINMENT CORP COM CL B</v>
      </c>
      <c r="AW30" t="s">
        <v>487</v>
      </c>
      <c r="BB30" t="s">
        <v>312</v>
      </c>
      <c r="BC30" t="str">
        <f>RTD("tos.rtd", , "DESCRIPTION", "HSII")</f>
        <v>HEIDRICK &amp; STRUGGLES COM</v>
      </c>
      <c r="BP30" t="s">
        <v>356</v>
      </c>
      <c r="BQ30" t="str">
        <f>RTD("tos.rtd", , "DESCRIPTION", "EVTC")</f>
        <v>EVERTEC INC COM</v>
      </c>
      <c r="CQ30" t="s">
        <v>440</v>
      </c>
      <c r="CR30" t="str">
        <f>RTD("tos.rtd", , "DESCRIPTION", "HIMS")</f>
        <v>HIMS AND HERS COM CL A</v>
      </c>
    </row>
    <row r="31" spans="2:103" x14ac:dyDescent="0.35">
      <c r="B31" t="s">
        <v>26</v>
      </c>
      <c r="C31" t="str">
        <f>RTD("tos.rtd", , "DESCRIPTION", "DT")</f>
        <v>DYNATRACE INC COM</v>
      </c>
      <c r="I31" t="s">
        <v>157</v>
      </c>
      <c r="J31" t="str">
        <f>RTD("tos.rtd", , "DESCRIPTION", "RPD")</f>
        <v>RAPID7 INC COM</v>
      </c>
      <c r="AA31" t="s">
        <v>230</v>
      </c>
      <c r="AB31" t="str">
        <f>RTD("tos.rtd", , "DESCRIPTION", "CARG")</f>
        <v>CARGURUS INC COM CL A</v>
      </c>
      <c r="AO31" t="s">
        <v>283</v>
      </c>
      <c r="AP31" t="str">
        <f>RTD("tos.rtd", , "DESCRIPTION", "IMAX")</f>
        <v>IMAX CORP COM</v>
      </c>
      <c r="AW31" t="s">
        <v>488</v>
      </c>
      <c r="BB31" t="s">
        <v>313</v>
      </c>
      <c r="BC31" t="str">
        <f>RTD("tos.rtd", , "DESCRIPTION", "TBI")</f>
        <v>TRUEBLUE INC COM</v>
      </c>
      <c r="BP31" t="s">
        <v>357</v>
      </c>
      <c r="BQ31" t="str">
        <f>RTD("tos.rtd", , "DESCRIPTION", "PAYO")</f>
        <v>PAYONEER GLOBAL INC COM</v>
      </c>
      <c r="CQ31" t="s">
        <v>441</v>
      </c>
      <c r="CR31" t="str">
        <f>RTD("tos.rtd", , "DESCRIPTION", "OPK")</f>
        <v>OPKO HEALTH INC COM</v>
      </c>
    </row>
    <row r="32" spans="2:103" x14ac:dyDescent="0.35">
      <c r="B32" t="s">
        <v>27</v>
      </c>
      <c r="C32" t="str">
        <f>RTD("tos.rtd", , "DESCRIPTION", "BSY")</f>
        <v>BENTLEY SYSTEMS INC COM CL B</v>
      </c>
      <c r="I32" t="s">
        <v>158</v>
      </c>
      <c r="J32" t="str">
        <f>RTD("tos.rtd", , "DESCRIPTION", "FROG")</f>
        <v>JFROG LTD COM</v>
      </c>
      <c r="AA32" t="s">
        <v>231</v>
      </c>
      <c r="AB32" t="str">
        <f>RTD("tos.rtd", , "DESCRIPTION", "GETY")</f>
        <v>GETTY IMAGES HOLDINGS INC COM CL A</v>
      </c>
      <c r="AO32" t="s">
        <v>284</v>
      </c>
      <c r="AP32" t="str">
        <f>RTD("tos.rtd", , "DESCRIPTION", "SEAT")</f>
        <v>VIVID SEATS INC COM CL A</v>
      </c>
      <c r="AW32" t="s">
        <v>489</v>
      </c>
      <c r="BP32" t="s">
        <v>358</v>
      </c>
      <c r="BQ32" t="str">
        <f>RTD("tos.rtd", , "DESCRIPTION", "AVDX")</f>
        <v>AVIDXCHANGE HLDGS INC COM</v>
      </c>
      <c r="CQ32" t="s">
        <v>442</v>
      </c>
      <c r="CR32" t="str">
        <f>RTD("tos.rtd", , "DESCRIPTION", "MD")</f>
        <v>PEDIATRIX MEDICAL GROUP INC COM</v>
      </c>
    </row>
    <row r="33" spans="2:96" x14ac:dyDescent="0.35">
      <c r="B33" t="s">
        <v>28</v>
      </c>
      <c r="C33" t="str">
        <f>RTD("tos.rtd", , "DESCRIPTION", "AZPN")</f>
        <v>ASPEN TECHNOLOGY INC COM</v>
      </c>
      <c r="I33" t="s">
        <v>159</v>
      </c>
      <c r="J33" t="str">
        <f>RTD("tos.rtd", , "DESCRIPTION", "BB")</f>
        <v>BLACKBERRY LTD COM</v>
      </c>
      <c r="AA33" t="s">
        <v>232</v>
      </c>
      <c r="AB33" t="str">
        <f>RTD("tos.rtd", , "DESCRIPTION", "SSTK")</f>
        <v>SHUTTERSTOCK INC COM</v>
      </c>
      <c r="AO33" t="s">
        <v>285</v>
      </c>
      <c r="AP33" t="str">
        <f>RTD("tos.rtd", , "DESCRIPTION", "LGF/A")</f>
        <v>LIONS GATE ENTERTAINMENT CORP COM CL A</v>
      </c>
      <c r="AW33" t="s">
        <v>490</v>
      </c>
      <c r="BP33" t="s">
        <v>359</v>
      </c>
      <c r="BQ33" t="str">
        <f>RTD("tos.rtd", , "DESCRIPTION", "PAGS")</f>
        <v>PAGSEGURO DIGITAL LTD COM</v>
      </c>
      <c r="CQ33" t="s">
        <v>443</v>
      </c>
      <c r="CR33" t="str">
        <f>RTD("tos.rtd", , "DESCRIPTION", "DCGO")</f>
        <v>DOCGO INC COM</v>
      </c>
    </row>
    <row r="34" spans="2:96" x14ac:dyDescent="0.35">
      <c r="B34" t="s">
        <v>29</v>
      </c>
      <c r="C34" t="str">
        <f>RTD("tos.rtd", , "DESCRIPTION", "MANH")</f>
        <v>MANHATTAN ASSOCIATES INC COM</v>
      </c>
      <c r="I34" t="s">
        <v>160</v>
      </c>
      <c r="J34" t="str">
        <f>RTD("tos.rtd", , "DESCRIPTION", "PRGS")</f>
        <v>PROGRESS SOFTWARE CORP COM</v>
      </c>
      <c r="AA34" t="s">
        <v>233</v>
      </c>
      <c r="AB34" t="str">
        <f>RTD("tos.rtd", , "DESCRIPTION", "CARS")</f>
        <v>CARS COM INC COM</v>
      </c>
      <c r="AO34" t="s">
        <v>286</v>
      </c>
      <c r="AP34" t="str">
        <f>RTD("tos.rtd", , "DESCRIPTION", "LIZI")</f>
        <v>LIZHI INC ADR</v>
      </c>
      <c r="AW34" t="s">
        <v>491</v>
      </c>
      <c r="BP34" t="s">
        <v>360</v>
      </c>
      <c r="BQ34" t="str">
        <f>RTD("tos.rtd", , "DESCRIPTION", "NVEI")</f>
        <v>NUVEI CORPORATION COM</v>
      </c>
      <c r="CQ34" t="s">
        <v>444</v>
      </c>
      <c r="CR34" t="str">
        <f>RTD("tos.rtd", , "DESCRIPTION", "ACCD")</f>
        <v>ACCOLADE INC COM</v>
      </c>
    </row>
    <row r="35" spans="2:96" x14ac:dyDescent="0.35">
      <c r="B35" t="s">
        <v>30</v>
      </c>
      <c r="C35" t="str">
        <f>RTD("tos.rtd", , "DESCRIPTION", "BKI")</f>
        <v>BLACK KNIGHT INC COM</v>
      </c>
      <c r="I35" t="s">
        <v>161</v>
      </c>
      <c r="J35" t="str">
        <f>RTD("tos.rtd", , "DESCRIPTION", "NABL")</f>
        <v>N ABLE INC COM</v>
      </c>
      <c r="AA35" t="s">
        <v>234</v>
      </c>
      <c r="AB35" t="str">
        <f>RTD("tos.rtd", , "DESCRIPTION", "ZIP")</f>
        <v>ZIPRECRUITER INC COM CL A</v>
      </c>
      <c r="AO35" t="s">
        <v>287</v>
      </c>
      <c r="AP35" t="str">
        <f>RTD("tos.rtd", , "DESCRIPTION", "MCS")</f>
        <v>MARCUS CORP COM</v>
      </c>
      <c r="AW35" t="s">
        <v>492</v>
      </c>
      <c r="BP35" t="s">
        <v>361</v>
      </c>
      <c r="BQ35" t="str">
        <f>RTD("tos.rtd", , "DESCRIPTION", "GB")</f>
        <v>GLOBAL BLUE GROUP HOLDING AG COM</v>
      </c>
      <c r="CQ35" t="s">
        <v>445</v>
      </c>
      <c r="CR35" t="str">
        <f>RTD("tos.rtd", , "DESCRIPTION", "FLGT")</f>
        <v>FULGENT GENETICS INC COM</v>
      </c>
    </row>
    <row r="36" spans="2:96" x14ac:dyDescent="0.35">
      <c r="B36" t="s">
        <v>31</v>
      </c>
      <c r="C36" t="str">
        <f>RTD("tos.rtd", , "DESCRIPTION", "APP")</f>
        <v>APPLOVIN CORP COM CL A</v>
      </c>
      <c r="I36" t="s">
        <v>162</v>
      </c>
      <c r="J36" t="str">
        <f>RTD("tos.rtd", , "DESCRIPTION", "APPN")</f>
        <v>APPIAN CORPORATION COM CL A</v>
      </c>
      <c r="AA36" t="s">
        <v>235</v>
      </c>
      <c r="AB36" t="str">
        <f>RTD("tos.rtd", , "DESCRIPTION", "TBLA")</f>
        <v>TABOOLA.COM LTD COM</v>
      </c>
      <c r="AW36" t="s">
        <v>493</v>
      </c>
      <c r="BP36" t="s">
        <v>362</v>
      </c>
      <c r="BQ36" t="str">
        <f>RTD("tos.rtd", , "DESCRIPTION", "PSFE")</f>
        <v>PAYSAFE LTD COM</v>
      </c>
      <c r="CQ36" t="s">
        <v>446</v>
      </c>
      <c r="CR36" t="str">
        <f>RTD("tos.rtd", , "DESCRIPTION", "CCRN")</f>
        <v>CROSS COUNTRY HEALTHCARE INC COM</v>
      </c>
    </row>
    <row r="37" spans="2:96" x14ac:dyDescent="0.35">
      <c r="B37" t="s">
        <v>32</v>
      </c>
      <c r="C37" t="str">
        <f>RTD("tos.rtd", , "DESCRIPTION", "BILL")</f>
        <v>BILL HOLDINGS INC COM</v>
      </c>
      <c r="I37" t="s">
        <v>163</v>
      </c>
      <c r="J37" t="str">
        <f>RTD("tos.rtd", , "DESCRIPTION", "SWI")</f>
        <v>SOLARWINDS CORPORATION COM</v>
      </c>
      <c r="AA37" t="s">
        <v>236</v>
      </c>
      <c r="AB37" t="str">
        <f>RTD("tos.rtd", , "DESCRIPTION", "EB")</f>
        <v>EVENTBRITE INC COM CL A</v>
      </c>
      <c r="AW37" t="s">
        <v>494</v>
      </c>
      <c r="BP37" t="s">
        <v>363</v>
      </c>
      <c r="BQ37" t="str">
        <f>RTD("tos.rtd", , "DESCRIPTION", "RPAY")</f>
        <v>REPAY HLDGS CORP COM CL A</v>
      </c>
      <c r="CQ37" t="s">
        <v>447</v>
      </c>
      <c r="CR37" t="str">
        <f>RTD("tos.rtd", , "DESCRIPTION", "EHAB")</f>
        <v>ENHABIT INC COM</v>
      </c>
    </row>
    <row r="38" spans="2:96" x14ac:dyDescent="0.35">
      <c r="B38" t="s">
        <v>33</v>
      </c>
      <c r="C38" t="str">
        <f>RTD("tos.rtd", , "DESCRIPTION", "OTEX")</f>
        <v>OPEN TEXT CO COM</v>
      </c>
      <c r="I38" t="s">
        <v>164</v>
      </c>
      <c r="J38" t="str">
        <f>RTD("tos.rtd", , "DESCRIPTION", "ZUO")</f>
        <v>ZUORA INC COM CL A</v>
      </c>
      <c r="AA38" t="s">
        <v>237</v>
      </c>
      <c r="AB38" t="str">
        <f>RTD("tos.rtd", , "DESCRIPTION", "GRND")</f>
        <v>GRINDR INC COM</v>
      </c>
      <c r="AW38" t="s">
        <v>495</v>
      </c>
      <c r="BP38" t="s">
        <v>364</v>
      </c>
      <c r="BQ38" t="str">
        <f>RTD("tos.rtd", , "DESCRIPTION", "IMXI")</f>
        <v>INTL MONEY EXPRESS INC COM</v>
      </c>
      <c r="CQ38" t="s">
        <v>448</v>
      </c>
      <c r="CR38" t="str">
        <f>RTD("tos.rtd", , "DESCRIPTION", "MODV")</f>
        <v>MODIVCARE INC COM</v>
      </c>
    </row>
    <row r="39" spans="2:96" x14ac:dyDescent="0.35">
      <c r="B39" t="s">
        <v>34</v>
      </c>
      <c r="C39" t="str">
        <f>RTD("tos.rtd", , "DESCRIPTION", "DOCU")</f>
        <v>DOCUSIGN INC COM</v>
      </c>
      <c r="I39" t="s">
        <v>165</v>
      </c>
      <c r="J39" t="str">
        <f>RTD("tos.rtd", , "DESCRIPTION", "ATEN")</f>
        <v>A10 NETWORKS INC COM</v>
      </c>
      <c r="AA39" t="s">
        <v>238</v>
      </c>
      <c r="AB39" t="str">
        <f>RTD("tos.rtd", , "DESCRIPTION", "RUM")</f>
        <v>RUMBLE INC COM CL A</v>
      </c>
      <c r="AW39" t="s">
        <v>496</v>
      </c>
      <c r="BP39" t="s">
        <v>365</v>
      </c>
      <c r="BQ39" t="str">
        <f>RTD("tos.rtd", , "DESCRIPTION", "CTLP")</f>
        <v>CANTALOUPE INC COM</v>
      </c>
      <c r="CQ39" t="s">
        <v>449</v>
      </c>
      <c r="CR39" t="str">
        <f>RTD("tos.rtd", , "DESCRIPTION", "CSTL")</f>
        <v>CASTLE BIOSCIENCES INC COM</v>
      </c>
    </row>
    <row r="40" spans="2:96" x14ac:dyDescent="0.35">
      <c r="B40" t="s">
        <v>35</v>
      </c>
      <c r="C40" t="str">
        <f>RTD("tos.rtd", , "DESCRIPTION", "PCOR")</f>
        <v>PROCORE TECHNOLOGIES INC COM</v>
      </c>
      <c r="I40" t="s">
        <v>166</v>
      </c>
      <c r="J40" t="str">
        <f>RTD("tos.rtd", , "DESCRIPTION", "ADEA")</f>
        <v>ADEIA INC COM</v>
      </c>
      <c r="AA40" t="s">
        <v>239</v>
      </c>
      <c r="AB40" t="str">
        <f>RTD("tos.rtd", , "DESCRIPTION", "FUBO")</f>
        <v>FUBOTV INC COM</v>
      </c>
      <c r="AW40" t="s">
        <v>497</v>
      </c>
      <c r="BP40" t="s">
        <v>366</v>
      </c>
      <c r="BQ40" t="str">
        <f>RTD("tos.rtd", , "DESCRIPTION", "IIIV")</f>
        <v>I3 VERTICALS INC COM CL A</v>
      </c>
      <c r="CQ40" t="s">
        <v>450</v>
      </c>
      <c r="CR40" t="str">
        <f>RTD("tos.rtd", , "DESCRIPTION", "ME")</f>
        <v>23ANDME HLDG CO COM</v>
      </c>
    </row>
    <row r="41" spans="2:96" x14ac:dyDescent="0.35">
      <c r="B41" t="s">
        <v>36</v>
      </c>
      <c r="C41" t="str">
        <f>RTD("tos.rtd", , "DESCRIPTION", "DBX")</f>
        <v>DROPBOX INC COM CL A</v>
      </c>
      <c r="I41" t="s">
        <v>167</v>
      </c>
      <c r="J41" t="str">
        <f>RTD("tos.rtd", , "DESCRIPTION", "XPER")</f>
        <v>XPERI INC COM</v>
      </c>
      <c r="AA41" t="s">
        <v>240</v>
      </c>
      <c r="AB41" t="str">
        <f>RTD("tos.rtd", , "DESCRIPTION", "YALA")</f>
        <v>YALLA GROUP LTD ADR</v>
      </c>
      <c r="AW41" t="s">
        <v>498</v>
      </c>
      <c r="BP41" t="s">
        <v>367</v>
      </c>
      <c r="BQ41" t="str">
        <f>RTD("tos.rtd", , "DESCRIPTION", "ADYEY")</f>
        <v>ADYEN NV ADR UNSPONSORED</v>
      </c>
      <c r="CQ41" t="s">
        <v>451</v>
      </c>
      <c r="CR41" t="str">
        <f>RTD("tos.rtd", , "DESCRIPTION", "AVAH")</f>
        <v>AVEANNA HEALTHCARE HLDGS INC COM</v>
      </c>
    </row>
    <row r="42" spans="2:96" x14ac:dyDescent="0.35">
      <c r="B42" t="s">
        <v>37</v>
      </c>
      <c r="C42" t="str">
        <f>RTD("tos.rtd", , "DESCRIPTION", "NTNX")</f>
        <v>NUTANIX INC COM CL A</v>
      </c>
      <c r="I42" t="s">
        <v>168</v>
      </c>
      <c r="J42" t="str">
        <f>RTD("tos.rtd", , "DESCRIPTION", "OSPN")</f>
        <v>ONESPAN INC COM</v>
      </c>
      <c r="AA42" t="s">
        <v>241</v>
      </c>
      <c r="AB42" t="str">
        <f>RTD("tos.rtd", , "DESCRIPTION", "VMEO")</f>
        <v>VIMEO INC COM</v>
      </c>
      <c r="AW42" t="s">
        <v>499</v>
      </c>
      <c r="CQ42" t="s">
        <v>452</v>
      </c>
      <c r="CR42" t="str">
        <f>RTD("tos.rtd", , "DESCRIPTION", "VMD")</f>
        <v>VIEMED HEALTHCARE INC COM</v>
      </c>
    </row>
    <row r="43" spans="2:96" x14ac:dyDescent="0.35">
      <c r="B43" t="s">
        <v>38</v>
      </c>
      <c r="C43" t="str">
        <f>RTD("tos.rtd", , "DESCRIPTION", "CFLT")</f>
        <v>CONFLUENT INC COM</v>
      </c>
      <c r="AA43" t="s">
        <v>242</v>
      </c>
      <c r="AB43" t="str">
        <f>RTD("tos.rtd", , "DESCRIPTION", "QNST")</f>
        <v>QUINSTREET INC COM</v>
      </c>
      <c r="AW43" t="s">
        <v>500</v>
      </c>
    </row>
    <row r="44" spans="2:96" x14ac:dyDescent="0.35">
      <c r="B44" t="s">
        <v>39</v>
      </c>
      <c r="C44" t="str">
        <f>RTD("tos.rtd", , "DESCRIPTION", "CCCS")</f>
        <v>CCC INTELLIGENT SOLUTIONS HLDG COM</v>
      </c>
      <c r="AA44" t="s">
        <v>243</v>
      </c>
      <c r="AB44" t="str">
        <f>RTD("tos.rtd", , "DESCRIPTION", "VTEX")</f>
        <v>VTEX COM CL A</v>
      </c>
      <c r="AW44" t="s">
        <v>501</v>
      </c>
    </row>
    <row r="45" spans="2:96" x14ac:dyDescent="0.35">
      <c r="B45" t="s">
        <v>40</v>
      </c>
      <c r="C45" t="str">
        <f>RTD("tos.rtd", , "DESCRIPTION", "GWRE")</f>
        <v>GUIDEWIRE SOFTWARE INC COM</v>
      </c>
      <c r="AA45" t="s">
        <v>244</v>
      </c>
      <c r="AB45" t="str">
        <f>RTD("tos.rtd", , "DESCRIPTION", "MAX")</f>
        <v>MEDIAALPHA INC COM CL A</v>
      </c>
      <c r="AW45" t="s">
        <v>502</v>
      </c>
    </row>
    <row r="46" spans="2:96" x14ac:dyDescent="0.35">
      <c r="B46" t="s">
        <v>41</v>
      </c>
      <c r="C46" t="str">
        <f>RTD("tos.rtd", , "DESCRIPTION", "SPSC")</f>
        <v>SPS COMMERCE INC COM</v>
      </c>
      <c r="AA46" t="s">
        <v>245</v>
      </c>
      <c r="AB46" t="str">
        <f>RTD("tos.rtd", , "DESCRIPTION", "KIND")</f>
        <v>NEXTDOOR HOLDINGS INC COM CL A</v>
      </c>
      <c r="AW46" t="s">
        <v>503</v>
      </c>
    </row>
    <row r="47" spans="2:96" x14ac:dyDescent="0.35">
      <c r="B47" t="s">
        <v>42</v>
      </c>
      <c r="C47" t="str">
        <f>RTD("tos.rtd", , "DESCRIPTION", "ESTC")</f>
        <v>ELASTIC N V COM</v>
      </c>
      <c r="AA47" t="s">
        <v>246</v>
      </c>
      <c r="AB47" t="str">
        <f>RTD("tos.rtd", , "DESCRIPTION", "ZH")</f>
        <v>ZHIHU INC ADR</v>
      </c>
      <c r="AW47" t="s">
        <v>504</v>
      </c>
    </row>
    <row r="48" spans="2:96" x14ac:dyDescent="0.35">
      <c r="B48" t="s">
        <v>43</v>
      </c>
      <c r="C48" t="str">
        <f>RTD("tos.rtd", , "DESCRIPTION", "NEWR")</f>
        <v>NEW RELIC INC COM</v>
      </c>
      <c r="AW48" t="s">
        <v>505</v>
      </c>
    </row>
    <row r="49" spans="2:49" x14ac:dyDescent="0.35">
      <c r="B49" t="s">
        <v>44</v>
      </c>
      <c r="C49" t="str">
        <f>RTD("tos.rtd", , "DESCRIPTION", "DV")</f>
        <v>DOUBLEVERIFY HLDGS INC COM</v>
      </c>
      <c r="AW49" t="s">
        <v>506</v>
      </c>
    </row>
    <row r="50" spans="2:49" x14ac:dyDescent="0.35">
      <c r="B50" t="s">
        <v>45</v>
      </c>
      <c r="C50" t="str">
        <f>RTD("tos.rtd", , "DESCRIPTION", "SMAR")</f>
        <v>SMARTSHEET INC COM CL A</v>
      </c>
      <c r="AW50" t="s">
        <v>507</v>
      </c>
    </row>
    <row r="51" spans="2:49" x14ac:dyDescent="0.35">
      <c r="B51" t="s">
        <v>46</v>
      </c>
      <c r="C51" t="str">
        <f>RTD("tos.rtd", , "DESCRIPTION", "FIVN")</f>
        <v>FIVE9 INC COM</v>
      </c>
      <c r="AW51" t="s">
        <v>508</v>
      </c>
    </row>
    <row r="52" spans="2:49" x14ac:dyDescent="0.35">
      <c r="B52" t="s">
        <v>47</v>
      </c>
      <c r="C52" t="str">
        <f>RTD("tos.rtd", , "DESCRIPTION", "INFA")</f>
        <v>INFORMATICA INC COM CL A</v>
      </c>
      <c r="AW52" t="s">
        <v>509</v>
      </c>
    </row>
    <row r="53" spans="2:49" x14ac:dyDescent="0.35">
      <c r="B53" t="s">
        <v>48</v>
      </c>
      <c r="C53" t="str">
        <f>RTD("tos.rtd", , "DESCRIPTION", "WK")</f>
        <v>WORKIVA INC COM CL A</v>
      </c>
      <c r="AW53" t="s">
        <v>510</v>
      </c>
    </row>
    <row r="54" spans="2:49" x14ac:dyDescent="0.35">
      <c r="B54" t="s">
        <v>49</v>
      </c>
      <c r="C54" t="str">
        <f>RTD("tos.rtd", , "DESCRIPTION", "MSTR")</f>
        <v>MICROSTRATEGY COM CL A</v>
      </c>
      <c r="AW54" t="s">
        <v>511</v>
      </c>
    </row>
    <row r="55" spans="2:49" x14ac:dyDescent="0.35">
      <c r="B55" t="s">
        <v>50</v>
      </c>
      <c r="C55" t="str">
        <f>RTD("tos.rtd", , "DESCRIPTION", "BOX")</f>
        <v>BOX INC COM CL A</v>
      </c>
      <c r="AW55" t="s">
        <v>512</v>
      </c>
    </row>
    <row r="56" spans="2:49" x14ac:dyDescent="0.35">
      <c r="B56" t="s">
        <v>51</v>
      </c>
      <c r="C56" t="str">
        <f>RTD("tos.rtd", , "DESCRIPTION", "FRSH")</f>
        <v>FRESHWORKS INC COM</v>
      </c>
      <c r="AW56" t="s">
        <v>513</v>
      </c>
    </row>
    <row r="57" spans="2:49" x14ac:dyDescent="0.35">
      <c r="B57" t="s">
        <v>52</v>
      </c>
      <c r="C57" t="str">
        <f>RTD("tos.rtd", , "DESCRIPTION", "NCR")</f>
        <v>NCR CORP COM</v>
      </c>
      <c r="AW57" t="s">
        <v>514</v>
      </c>
    </row>
    <row r="58" spans="2:49" x14ac:dyDescent="0.35">
      <c r="B58" t="s">
        <v>53</v>
      </c>
      <c r="C58" t="str">
        <f>RTD("tos.rtd", , "DESCRIPTION", "IOT")</f>
        <v>SAMSARA INC COM CL A</v>
      </c>
      <c r="AW58" t="s">
        <v>515</v>
      </c>
    </row>
    <row r="59" spans="2:49" x14ac:dyDescent="0.35">
      <c r="B59" t="s">
        <v>54</v>
      </c>
      <c r="C59" t="str">
        <f>RTD("tos.rtd", , "DESCRIPTION", "BLKB")</f>
        <v>BLACKBAUD INC COM</v>
      </c>
      <c r="AW59" t="s">
        <v>516</v>
      </c>
    </row>
    <row r="60" spans="2:49" x14ac:dyDescent="0.35">
      <c r="B60" t="s">
        <v>55</v>
      </c>
      <c r="C60" t="str">
        <f>RTD("tos.rtd", , "DESCRIPTION", "PEGA")</f>
        <v>PEGASYSTEMS INC COM</v>
      </c>
      <c r="AW60" t="s">
        <v>517</v>
      </c>
    </row>
    <row r="61" spans="2:49" x14ac:dyDescent="0.35">
      <c r="B61" t="s">
        <v>56</v>
      </c>
      <c r="C61" t="str">
        <f>RTD("tos.rtd", , "DESCRIPTION", "AUR")</f>
        <v>AURORA INNOVATION INC COM</v>
      </c>
      <c r="AW61" t="s">
        <v>518</v>
      </c>
    </row>
    <row r="62" spans="2:49" x14ac:dyDescent="0.35">
      <c r="B62" t="s">
        <v>57</v>
      </c>
      <c r="C62" t="str">
        <f>RTD("tos.rtd", , "DESCRIPTION", "AI")</f>
        <v>C3.AI INC COM CL A</v>
      </c>
      <c r="AW62" t="s">
        <v>519</v>
      </c>
    </row>
    <row r="63" spans="2:49" x14ac:dyDescent="0.35">
      <c r="B63" t="s">
        <v>58</v>
      </c>
      <c r="C63" t="str">
        <f>RTD("tos.rtd", , "DESCRIPTION", "OPRA")</f>
        <v>OPERA LIMITED ADR</v>
      </c>
      <c r="AW63" t="s">
        <v>520</v>
      </c>
    </row>
    <row r="64" spans="2:49" x14ac:dyDescent="0.35">
      <c r="B64" t="s">
        <v>59</v>
      </c>
      <c r="C64" t="str">
        <f>RTD("tos.rtd", , "DESCRIPTION", "PWSC")</f>
        <v>POWERSCHOOL HLDGS INC COM CL A</v>
      </c>
      <c r="AW64" t="s">
        <v>521</v>
      </c>
    </row>
    <row r="65" spans="2:49" x14ac:dyDescent="0.35">
      <c r="B65" t="s">
        <v>60</v>
      </c>
      <c r="C65" t="str">
        <f>RTD("tos.rtd", , "DESCRIPTION", "ALTR")</f>
        <v>ALTAIR ENGINEERING INC COM CL A</v>
      </c>
      <c r="AW65" t="s">
        <v>522</v>
      </c>
    </row>
    <row r="66" spans="2:49" x14ac:dyDescent="0.35">
      <c r="B66" t="s">
        <v>61</v>
      </c>
      <c r="C66" t="str">
        <f>RTD("tos.rtd", , "DESCRIPTION", "NCNO")</f>
        <v>NCINO INC COM</v>
      </c>
      <c r="AW66" t="s">
        <v>523</v>
      </c>
    </row>
    <row r="67" spans="2:49" x14ac:dyDescent="0.35">
      <c r="B67" t="s">
        <v>62</v>
      </c>
      <c r="C67" t="str">
        <f>RTD("tos.rtd", , "DESCRIPTION", "BL")</f>
        <v>BLACKLINE INC COM</v>
      </c>
      <c r="AW67" t="s">
        <v>524</v>
      </c>
    </row>
    <row r="68" spans="2:49" x14ac:dyDescent="0.35">
      <c r="B68" t="s">
        <v>63</v>
      </c>
      <c r="C68" t="str">
        <f>RTD("tos.rtd", , "DESCRIPTION", "ENV")</f>
        <v>ENVESTNET INC COM</v>
      </c>
      <c r="AW68" t="s">
        <v>525</v>
      </c>
    </row>
    <row r="69" spans="2:49" x14ac:dyDescent="0.35">
      <c r="B69" t="s">
        <v>64</v>
      </c>
      <c r="C69" t="str">
        <f>RTD("tos.rtd", , "DESCRIPTION", "ALRM")</f>
        <v>ALARM.COM HOLDINGS INC COM</v>
      </c>
      <c r="AW69" t="s">
        <v>526</v>
      </c>
    </row>
    <row r="70" spans="2:49" x14ac:dyDescent="0.35">
      <c r="B70" t="s">
        <v>65</v>
      </c>
      <c r="C70" t="str">
        <f>RTD("tos.rtd", , "DESCRIPTION", "HCP")</f>
        <v>HASHICORP INC COM CL A</v>
      </c>
      <c r="AW70" t="s">
        <v>527</v>
      </c>
    </row>
    <row r="71" spans="2:49" x14ac:dyDescent="0.35">
      <c r="B71" t="s">
        <v>66</v>
      </c>
      <c r="C71" t="str">
        <f>RTD("tos.rtd", , "DESCRIPTION", "ESMT")</f>
        <v>ENGAGESMART LLC COM</v>
      </c>
      <c r="AW71" t="s">
        <v>528</v>
      </c>
    </row>
    <row r="72" spans="2:49" x14ac:dyDescent="0.35">
      <c r="B72" t="s">
        <v>67</v>
      </c>
      <c r="C72" t="str">
        <f>RTD("tos.rtd", , "DESCRIPTION", "ASAN")</f>
        <v>ASANA INC COM CL A</v>
      </c>
      <c r="AW72" t="s">
        <v>529</v>
      </c>
    </row>
    <row r="73" spans="2:49" x14ac:dyDescent="0.35">
      <c r="B73" t="s">
        <v>68</v>
      </c>
      <c r="C73" t="str">
        <f>RTD("tos.rtd", , "DESCRIPTION", "BRZE")</f>
        <v>BRAZE INC COM CL A</v>
      </c>
      <c r="AW73" t="s">
        <v>530</v>
      </c>
    </row>
    <row r="74" spans="2:49" x14ac:dyDescent="0.35">
      <c r="B74" t="s">
        <v>69</v>
      </c>
      <c r="C74" t="str">
        <f>RTD("tos.rtd", , "DESCRIPTION", "ACIW")</f>
        <v>ACI WORLDWIDE INC COM</v>
      </c>
      <c r="AW74" t="s">
        <v>531</v>
      </c>
    </row>
    <row r="75" spans="2:49" x14ac:dyDescent="0.35">
      <c r="B75" t="s">
        <v>70</v>
      </c>
      <c r="C75" t="str">
        <f>RTD("tos.rtd", , "DESCRIPTION", "RIOT")</f>
        <v>RIOT PLATFORMS INC COM</v>
      </c>
      <c r="AW75" t="s">
        <v>532</v>
      </c>
    </row>
    <row r="76" spans="2:49" x14ac:dyDescent="0.35">
      <c r="B76" t="s">
        <v>71</v>
      </c>
      <c r="C76" t="str">
        <f>RTD("tos.rtd", , "DESCRIPTION", "RNG")</f>
        <v>RINGCENTRAL INC COM CL A</v>
      </c>
      <c r="AW76" t="s">
        <v>533</v>
      </c>
    </row>
    <row r="77" spans="2:49" x14ac:dyDescent="0.35">
      <c r="B77" t="s">
        <v>72</v>
      </c>
      <c r="C77" t="str">
        <f>RTD("tos.rtd", , "DESCRIPTION", "MARA")</f>
        <v>MARATHON DIGITAL HOLDINGS INC COM</v>
      </c>
      <c r="AW77" t="s">
        <v>534</v>
      </c>
    </row>
    <row r="78" spans="2:49" x14ac:dyDescent="0.35">
      <c r="B78" t="s">
        <v>73</v>
      </c>
      <c r="C78" t="str">
        <f>RTD("tos.rtd", , "DESCRIPTION", "LSPD")</f>
        <v>LIGHTSPEED COMMERCE INC COM</v>
      </c>
      <c r="AW78" t="s">
        <v>535</v>
      </c>
    </row>
    <row r="79" spans="2:49" x14ac:dyDescent="0.35">
      <c r="B79" t="s">
        <v>74</v>
      </c>
      <c r="C79" t="str">
        <f>RTD("tos.rtd", , "DESCRIPTION", "INTA")</f>
        <v>INTAPP INC COM</v>
      </c>
      <c r="AW79" t="s">
        <v>536</v>
      </c>
    </row>
    <row r="80" spans="2:49" x14ac:dyDescent="0.35">
      <c r="B80" t="s">
        <v>75</v>
      </c>
      <c r="C80" t="str">
        <f>RTD("tos.rtd", , "DESCRIPTION", "VRNT")</f>
        <v>VERINT SYSTEMS INC COM</v>
      </c>
      <c r="AW80" t="s">
        <v>537</v>
      </c>
    </row>
    <row r="81" spans="2:3" x14ac:dyDescent="0.35">
      <c r="B81" t="s">
        <v>76</v>
      </c>
      <c r="C81" t="str">
        <f>RTD("tos.rtd", , "DESCRIPTION", "SPT")</f>
        <v>SPROUT SOCIAL INC COM CL A</v>
      </c>
    </row>
    <row r="82" spans="2:3" x14ac:dyDescent="0.35">
      <c r="B82" t="s">
        <v>77</v>
      </c>
      <c r="C82" t="str">
        <f>RTD("tos.rtd", , "DESCRIPTION", "PD")</f>
        <v>PAGERDUTY INC COM</v>
      </c>
    </row>
    <row r="83" spans="2:3" x14ac:dyDescent="0.35">
      <c r="B83" t="s">
        <v>78</v>
      </c>
      <c r="C83" t="str">
        <f>RTD("tos.rtd", , "DESCRIPTION", "IDCC")</f>
        <v>INTERDIGITAL INC COM</v>
      </c>
    </row>
    <row r="84" spans="2:3" x14ac:dyDescent="0.35">
      <c r="B84" t="s">
        <v>79</v>
      </c>
      <c r="C84" t="str">
        <f>RTD("tos.rtd", , "DESCRIPTION", "JAMF")</f>
        <v>JAMF HOLDING CORP COM</v>
      </c>
    </row>
    <row r="85" spans="2:3" x14ac:dyDescent="0.35">
      <c r="B85" t="s">
        <v>80</v>
      </c>
      <c r="C85" t="str">
        <f>RTD("tos.rtd", , "DESCRIPTION", "RAMP")</f>
        <v>LIVERAMP HOLDINGS INC COM</v>
      </c>
    </row>
    <row r="86" spans="2:3" x14ac:dyDescent="0.35">
      <c r="B86" t="s">
        <v>81</v>
      </c>
      <c r="C86" t="str">
        <f>RTD("tos.rtd", , "DESCRIPTION", "YOU")</f>
        <v>CLEAR SECURE INC COM CL A</v>
      </c>
    </row>
    <row r="87" spans="2:3" x14ac:dyDescent="0.35">
      <c r="B87" t="s">
        <v>82</v>
      </c>
      <c r="C87" t="str">
        <f>RTD("tos.rtd", , "DESCRIPTION", "QTWO")</f>
        <v>Q2 HLDGS INC COM</v>
      </c>
    </row>
    <row r="88" spans="2:3" x14ac:dyDescent="0.35">
      <c r="B88" t="s">
        <v>83</v>
      </c>
      <c r="C88" t="str">
        <f>RTD("tos.rtd", , "DESCRIPTION", "AYX")</f>
        <v>ALTERYX INC COM CL A</v>
      </c>
    </row>
    <row r="89" spans="2:3" x14ac:dyDescent="0.35">
      <c r="B89" t="s">
        <v>84</v>
      </c>
      <c r="C89" t="str">
        <f>RTD("tos.rtd", , "DESCRIPTION", "CXM")</f>
        <v>SPRINKLR INC COM CL A</v>
      </c>
    </row>
    <row r="90" spans="2:3" x14ac:dyDescent="0.35">
      <c r="B90" t="s">
        <v>85</v>
      </c>
      <c r="C90" t="str">
        <f>RTD("tos.rtd", , "DESCRIPTION", "SPNS")</f>
        <v>SAPIENS INTERNATIONAL CORP NV COM</v>
      </c>
    </row>
    <row r="91" spans="2:3" x14ac:dyDescent="0.35">
      <c r="B91" t="s">
        <v>86</v>
      </c>
      <c r="C91" t="str">
        <f>RTD("tos.rtd", , "DESCRIPTION", "PRO")</f>
        <v>PROS HOLDINGS INC COM</v>
      </c>
    </row>
    <row r="92" spans="2:3" x14ac:dyDescent="0.35">
      <c r="B92" t="s">
        <v>87</v>
      </c>
      <c r="C92" t="str">
        <f>RTD("tos.rtd", , "DESCRIPTION", "ETWO")</f>
        <v>E2OPEN PARENT HOLDINGS INC COM CL A</v>
      </c>
    </row>
    <row r="93" spans="2:3" x14ac:dyDescent="0.35">
      <c r="B93" t="s">
        <v>88</v>
      </c>
      <c r="C93" t="str">
        <f>RTD("tos.rtd", , "DESCRIPTION", "CLBT")</f>
        <v>CELLEBRITE DI LTD COM</v>
      </c>
    </row>
    <row r="94" spans="2:3" x14ac:dyDescent="0.35">
      <c r="B94" t="s">
        <v>89</v>
      </c>
      <c r="C94" t="str">
        <f>RTD("tos.rtd", , "DESCRIPTION", "CWAN")</f>
        <v>CLEARWATER ANALYTICS HLDGS INC COM CL A</v>
      </c>
    </row>
    <row r="95" spans="2:3" x14ac:dyDescent="0.35">
      <c r="B95" t="s">
        <v>90</v>
      </c>
      <c r="C95" t="str">
        <f>RTD("tos.rtd", , "DESCRIPTION", "ZETA")</f>
        <v>ZETA GLOBAL HLDGS CORP COM CL A</v>
      </c>
    </row>
    <row r="96" spans="2:3" x14ac:dyDescent="0.35">
      <c r="B96" t="s">
        <v>91</v>
      </c>
      <c r="C96" t="str">
        <f>RTD("tos.rtd", , "DESCRIPTION", "ALKT")</f>
        <v>ALKAMI TECHNOLOGY COM</v>
      </c>
    </row>
    <row r="97" spans="2:3" x14ac:dyDescent="0.35">
      <c r="B97" t="s">
        <v>92</v>
      </c>
      <c r="C97" t="str">
        <f>RTD("tos.rtd", , "DESCRIPTION", "AVPT")</f>
        <v>AVEPOINT INC COM CL A</v>
      </c>
    </row>
    <row r="98" spans="2:3" x14ac:dyDescent="0.35">
      <c r="B98" t="s">
        <v>93</v>
      </c>
      <c r="C98" t="str">
        <f>RTD("tos.rtd", , "DESCRIPTION", "PGY")</f>
        <v>PAGAYA TECHNOLOGIES LTD COM CL A</v>
      </c>
    </row>
    <row r="99" spans="2:3" x14ac:dyDescent="0.35">
      <c r="B99" t="s">
        <v>94</v>
      </c>
      <c r="C99" t="str">
        <f>RTD("tos.rtd", , "DESCRIPTION", "FORG")</f>
        <v>FORGEROCK INC COM CL A</v>
      </c>
    </row>
    <row r="100" spans="2:3" x14ac:dyDescent="0.35">
      <c r="B100" t="s">
        <v>95</v>
      </c>
      <c r="C100" t="str">
        <f>RTD("tos.rtd", , "DESCRIPTION", "VERX")</f>
        <v>VERTEX INC COM CL A</v>
      </c>
    </row>
    <row r="101" spans="2:3" x14ac:dyDescent="0.35">
      <c r="B101" t="s">
        <v>96</v>
      </c>
      <c r="C101" t="str">
        <f>RTD("tos.rtd", , "DESCRIPTION", "MODN")</f>
        <v>MODEL N INC COM</v>
      </c>
    </row>
    <row r="102" spans="2:3" x14ac:dyDescent="0.35">
      <c r="B102" t="s">
        <v>97</v>
      </c>
      <c r="C102" t="str">
        <f>RTD("tos.rtd", , "DESCRIPTION", "SEMR")</f>
        <v>SEMRUSH HLDGS INC COM CL A</v>
      </c>
    </row>
    <row r="103" spans="2:3" x14ac:dyDescent="0.35">
      <c r="B103" t="s">
        <v>98</v>
      </c>
      <c r="C103" t="str">
        <f>RTD("tos.rtd", , "DESCRIPTION", "YEXT")</f>
        <v>YEXT INC COM</v>
      </c>
    </row>
    <row r="104" spans="2:3" x14ac:dyDescent="0.35">
      <c r="B104" t="s">
        <v>99</v>
      </c>
      <c r="C104" t="str">
        <f>RTD("tos.rtd", , "DESCRIPTION", "API")</f>
        <v>AGORA INC ADR</v>
      </c>
    </row>
    <row r="105" spans="2:3" x14ac:dyDescent="0.35">
      <c r="B105" t="s">
        <v>100</v>
      </c>
      <c r="C105" t="str">
        <f>RTD("tos.rtd", , "DESCRIPTION", "CRNC")</f>
        <v>CERENCE INC COM</v>
      </c>
    </row>
    <row r="106" spans="2:3" x14ac:dyDescent="0.35">
      <c r="B106" t="s">
        <v>101</v>
      </c>
      <c r="C106" t="str">
        <f>RTD("tos.rtd", , "DESCRIPTION", "EVBG")</f>
        <v>EVERBRIDGE INC COM</v>
      </c>
    </row>
    <row r="107" spans="2:3" x14ac:dyDescent="0.35">
      <c r="B107" t="s">
        <v>102</v>
      </c>
      <c r="C107" t="str">
        <f>RTD("tos.rtd", , "DESCRIPTION", "CLSK")</f>
        <v>CLEANSPARK INC COM</v>
      </c>
    </row>
    <row r="108" spans="2:3" x14ac:dyDescent="0.35">
      <c r="B108" t="s">
        <v>103</v>
      </c>
      <c r="C108" t="str">
        <f>RTD("tos.rtd", , "DESCRIPTION", "AMPL")</f>
        <v>AMPLITUDE INC COM CL A</v>
      </c>
    </row>
    <row r="109" spans="2:3" x14ac:dyDescent="0.35">
      <c r="B109" t="s">
        <v>104</v>
      </c>
      <c r="C109" t="str">
        <f>RTD("tos.rtd", , "DESCRIPTION", "APPS")</f>
        <v>DIGITAL TURBINE INC COM</v>
      </c>
    </row>
    <row r="110" spans="2:3" x14ac:dyDescent="0.35">
      <c r="B110" t="s">
        <v>105</v>
      </c>
      <c r="C110" t="str">
        <f>RTD("tos.rtd", , "DESCRIPTION", "CIFR")</f>
        <v>CIPHER MINING INC COM</v>
      </c>
    </row>
    <row r="111" spans="2:3" x14ac:dyDescent="0.35">
      <c r="B111" t="s">
        <v>106</v>
      </c>
      <c r="C111" t="str">
        <f>RTD("tos.rtd", , "DESCRIPTION", "MTTR")</f>
        <v>MATTERPORT INC COM CL A</v>
      </c>
    </row>
    <row r="112" spans="2:3" x14ac:dyDescent="0.35">
      <c r="B112" t="s">
        <v>107</v>
      </c>
      <c r="C112" t="str">
        <f>RTD("tos.rtd", , "DESCRIPTION", "WKME")</f>
        <v>WALKME LTD COM</v>
      </c>
    </row>
    <row r="113" spans="2:3" x14ac:dyDescent="0.35">
      <c r="B113" t="s">
        <v>108</v>
      </c>
      <c r="C113" t="str">
        <f>RTD("tos.rtd", , "DESCRIPTION", "TUYA")</f>
        <v>TUYA INC ADR</v>
      </c>
    </row>
    <row r="114" spans="2:3" x14ac:dyDescent="0.35">
      <c r="B114" t="s">
        <v>109</v>
      </c>
      <c r="C114" t="str">
        <f>RTD("tos.rtd", , "DESCRIPTION", "WEAV")</f>
        <v>WEAVE COMMUNICATIONS INC COM</v>
      </c>
    </row>
    <row r="115" spans="2:3" x14ac:dyDescent="0.35">
      <c r="B115" t="s">
        <v>110</v>
      </c>
      <c r="C115" t="str">
        <f>RTD("tos.rtd", , "DESCRIPTION", "OLO")</f>
        <v>OLO INC COM CL A</v>
      </c>
    </row>
    <row r="116" spans="2:3" x14ac:dyDescent="0.35">
      <c r="B116" t="s">
        <v>111</v>
      </c>
      <c r="C116" t="str">
        <f>RTD("tos.rtd", , "DESCRIPTION", "APLD")</f>
        <v>APPLIED DIGITAL CORP COM</v>
      </c>
    </row>
    <row r="117" spans="2:3" x14ac:dyDescent="0.35">
      <c r="B117" t="s">
        <v>112</v>
      </c>
      <c r="C117" t="str">
        <f>RTD("tos.rtd", , "DESCRIPTION", "ARBK")</f>
        <v>ARGO BLOCKCHAIN PLC ADR SPONSORED</v>
      </c>
    </row>
    <row r="118" spans="2:3" x14ac:dyDescent="0.35">
      <c r="B118" t="s">
        <v>113</v>
      </c>
      <c r="C118" t="str">
        <f>RTD("tos.rtd", , "DESCRIPTION", "ENFN")</f>
        <v>ENFUSION INC COM CL A</v>
      </c>
    </row>
    <row r="119" spans="2:3" x14ac:dyDescent="0.35">
      <c r="B119" t="s">
        <v>114</v>
      </c>
      <c r="C119" t="str">
        <f>RTD("tos.rtd", , "DESCRIPTION", "LAW")</f>
        <v>CS DISCO INC COM</v>
      </c>
    </row>
    <row r="120" spans="2:3" x14ac:dyDescent="0.35">
      <c r="B120" t="s">
        <v>115</v>
      </c>
      <c r="C120" t="str">
        <f>RTD("tos.rtd", , "DESCRIPTION", "XNET")</f>
        <v>XUNLEI LIMITED ADR</v>
      </c>
    </row>
    <row r="121" spans="2:3" x14ac:dyDescent="0.35">
      <c r="B121" t="s">
        <v>116</v>
      </c>
      <c r="C121" t="str">
        <f>RTD("tos.rtd", , "DESCRIPTION", "HUT")</f>
        <v>HUT 8 MINING CORP COM</v>
      </c>
    </row>
    <row r="122" spans="2:3" x14ac:dyDescent="0.35">
      <c r="B122" t="s">
        <v>117</v>
      </c>
      <c r="C122" t="str">
        <f>RTD("tos.rtd", , "DESCRIPTION", "MITK")</f>
        <v>MITEK SYSTEMS INC COM</v>
      </c>
    </row>
    <row r="123" spans="2:3" x14ac:dyDescent="0.35">
      <c r="B123" t="s">
        <v>118</v>
      </c>
      <c r="C123" t="str">
        <f>RTD("tos.rtd", , "DESCRIPTION", "DOMO")</f>
        <v>DOMO INC COM CL B</v>
      </c>
    </row>
    <row r="124" spans="2:3" x14ac:dyDescent="0.35">
      <c r="B124" t="s">
        <v>119</v>
      </c>
      <c r="C124" t="str">
        <f>RTD("tos.rtd", , "DESCRIPTION", "WULF")</f>
        <v>TERAWULF INC O COM</v>
      </c>
    </row>
    <row r="125" spans="2:3" x14ac:dyDescent="0.35">
      <c r="B125" t="s">
        <v>120</v>
      </c>
      <c r="C125" t="str">
        <f>RTD("tos.rtd", , "DESCRIPTION", "RSKD")</f>
        <v>RISKIFIED LTD COM CL A</v>
      </c>
    </row>
    <row r="126" spans="2:3" x14ac:dyDescent="0.35">
      <c r="B126" t="s">
        <v>121</v>
      </c>
      <c r="C126" t="str">
        <f>RTD("tos.rtd", , "DESCRIPTION", "SMWB")</f>
        <v>SIMILARWEB LTD COM</v>
      </c>
    </row>
    <row r="127" spans="2:3" x14ac:dyDescent="0.35">
      <c r="B127" t="s">
        <v>122</v>
      </c>
      <c r="C127" t="str">
        <f>RTD("tos.rtd", , "DESCRIPTION", "NN")</f>
        <v>NEXTNAV INC COM</v>
      </c>
    </row>
    <row r="128" spans="2:3" x14ac:dyDescent="0.35">
      <c r="B128" t="s">
        <v>123</v>
      </c>
      <c r="C128" t="str">
        <f>RTD("tos.rtd", , "DESCRIPTION", "EBIX")</f>
        <v>EBIX INC COM</v>
      </c>
    </row>
    <row r="129" spans="2:3" x14ac:dyDescent="0.35">
      <c r="B129" t="s">
        <v>124</v>
      </c>
      <c r="C129" t="str">
        <f>RTD("tos.rtd", , "DESCRIPTION", "SOUN")</f>
        <v>SOUNDHOUND AI INC COM</v>
      </c>
    </row>
    <row r="130" spans="2:3" x14ac:dyDescent="0.35">
      <c r="B130" t="s">
        <v>125</v>
      </c>
      <c r="C130" t="str">
        <f>RTD("tos.rtd", , "DESCRIPTION", "EGHT")</f>
        <v>8X8 INC NEW COM</v>
      </c>
    </row>
    <row r="131" spans="2:3" x14ac:dyDescent="0.35">
      <c r="B131" t="s">
        <v>126</v>
      </c>
      <c r="C131" t="str">
        <f>RTD("tos.rtd", , "DESCRIPTION", "MTLS")</f>
        <v>MATERIALISE NV ADR</v>
      </c>
    </row>
    <row r="132" spans="2:3" x14ac:dyDescent="0.35">
      <c r="B132" t="s">
        <v>127</v>
      </c>
      <c r="C132" t="str">
        <f>RTD("tos.rtd", , "DESCRIPTION", "BITF")</f>
        <v>BITFARMS LTD COM</v>
      </c>
    </row>
    <row r="133" spans="2:3" x14ac:dyDescent="0.35">
      <c r="B133" t="s">
        <v>128</v>
      </c>
      <c r="C133" t="str">
        <f>RTD("tos.rtd", , "DESCRIPTION", "HIVE")</f>
        <v>HIVE DIGITAL TECHNOLOGIES LTD COM</v>
      </c>
    </row>
    <row r="134" spans="2:3" x14ac:dyDescent="0.35">
      <c r="B134" t="s">
        <v>129</v>
      </c>
      <c r="C134" t="str">
        <f>RTD("tos.rtd", , "DESCRIPTION", "AMSWA")</f>
        <v>AMERICAN SOFTWARE INC COM CL A</v>
      </c>
    </row>
    <row r="135" spans="2:3" x14ac:dyDescent="0.35">
      <c r="B135" t="s">
        <v>130</v>
      </c>
      <c r="C135" t="str">
        <f>RTD("tos.rtd", , "DESCRIPTION", "CGNT")</f>
        <v>COGNYTE SOFTWARE LTD COM</v>
      </c>
    </row>
    <row r="136" spans="2:3" x14ac:dyDescent="0.35">
      <c r="B136" t="s">
        <v>131</v>
      </c>
      <c r="C136" t="str">
        <f>RTD("tos.rtd", , "DESCRIPTION", "LPSN")</f>
        <v>LIVEPERSON INC COM</v>
      </c>
    </row>
    <row r="137" spans="2:3" x14ac:dyDescent="0.35">
      <c r="B137" t="s">
        <v>132</v>
      </c>
      <c r="C137" t="str">
        <f>RTD("tos.rtd", , "DESCRIPTION", "BLND")</f>
        <v>BLEND LABS INC COM CL A</v>
      </c>
    </row>
    <row r="138" spans="2:3" x14ac:dyDescent="0.35">
      <c r="B138" t="s">
        <v>133</v>
      </c>
      <c r="C138" t="str">
        <f>RTD("tos.rtd", , "DESCRIPTION", "EXFY")</f>
        <v>EXPENSIFY INC COM CL A</v>
      </c>
    </row>
    <row r="139" spans="2:3" x14ac:dyDescent="0.35">
      <c r="B139" t="s">
        <v>134</v>
      </c>
      <c r="C139" t="str">
        <f>RTD("tos.rtd", , "DESCRIPTION", "ONTF")</f>
        <v>ON24 INC COM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Grenci</dc:creator>
  <cp:lastModifiedBy>Michael Grenci</cp:lastModifiedBy>
  <dcterms:created xsi:type="dcterms:W3CDTF">2023-08-15T23:14:51Z</dcterms:created>
  <dcterms:modified xsi:type="dcterms:W3CDTF">2023-08-16T01:28:56Z</dcterms:modified>
</cp:coreProperties>
</file>