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defaultThemeVersion="124226"/>
  <workbookProtection workbookPassword="F69D" lockStructure="1"/>
  <bookViews>
    <workbookView xWindow="360" yWindow="60" windowWidth="11295" windowHeight="5580"/>
  </bookViews>
  <sheets>
    <sheet name="Projekt NM Harasiuk Mateusz    " sheetId="1" r:id="rId1"/>
  </sheets>
  <calcPr calcId="144525"/>
</workbook>
</file>

<file path=xl/calcChain.xml><?xml version="1.0" encoding="utf-8"?>
<calcChain xmlns="http://schemas.openxmlformats.org/spreadsheetml/2006/main">
  <c r="E227" i="1" l="1"/>
  <c r="E228" i="1"/>
  <c r="E233" i="1" s="1"/>
  <c r="E160" i="1"/>
  <c r="E159" i="1"/>
  <c r="E191" i="1" s="1"/>
  <c r="D15" i="1"/>
  <c r="E156" i="1" s="1"/>
  <c r="E185" i="1"/>
  <c r="E188" i="1"/>
  <c r="E178" i="1"/>
  <c r="E220" i="1"/>
  <c r="E212" i="1"/>
  <c r="E213" i="1" s="1"/>
  <c r="E208" i="1"/>
  <c r="E99" i="1"/>
  <c r="E190" i="1"/>
  <c r="E197" i="1"/>
  <c r="E202" i="1" s="1"/>
  <c r="E198" i="1"/>
  <c r="E199" i="1"/>
  <c r="E201" i="1" s="1"/>
  <c r="E166" i="1"/>
  <c r="E167" i="1" s="1"/>
  <c r="E179" i="1"/>
  <c r="M35" i="1"/>
  <c r="I111" i="1"/>
  <c r="I109" i="1"/>
  <c r="J108" i="1"/>
  <c r="J107" i="1"/>
  <c r="J106" i="1"/>
  <c r="J105" i="1"/>
  <c r="H70" i="1"/>
  <c r="D34" i="1"/>
  <c r="G34" i="1" s="1"/>
  <c r="D33" i="1"/>
  <c r="D24" i="1"/>
  <c r="D37" i="1" s="1"/>
  <c r="D23" i="1"/>
  <c r="J20" i="1"/>
  <c r="I74" i="1"/>
  <c r="H74" i="1"/>
  <c r="H73" i="1"/>
  <c r="I73" i="1"/>
  <c r="I70" i="1"/>
  <c r="H69" i="1"/>
  <c r="I69" i="1"/>
  <c r="D16" i="1"/>
  <c r="E181" i="1" s="1"/>
  <c r="E161" i="1" s="1"/>
  <c r="D17" i="1"/>
  <c r="J24" i="1"/>
  <c r="J23" i="1" s="1"/>
  <c r="N87" i="1"/>
  <c r="N86" i="1"/>
  <c r="J82" i="1"/>
  <c r="J92" i="1"/>
  <c r="D90" i="1"/>
  <c r="D59" i="1"/>
  <c r="D58" i="1"/>
  <c r="J84" i="1"/>
  <c r="N92" i="1"/>
  <c r="J94" i="1"/>
  <c r="J93" i="1"/>
  <c r="N89" i="1" s="1"/>
  <c r="D84" i="1"/>
  <c r="J98" i="1" s="1"/>
  <c r="J85" i="1"/>
  <c r="E49" i="1"/>
  <c r="B49" i="1"/>
  <c r="E155" i="1" l="1"/>
  <c r="E157" i="1" s="1"/>
  <c r="E203" i="1"/>
  <c r="E204" i="1" s="1"/>
  <c r="E172" i="1"/>
  <c r="E171" i="1"/>
  <c r="D26" i="1"/>
  <c r="E214" i="1"/>
  <c r="E229" i="1" s="1"/>
  <c r="E231" i="1" s="1"/>
  <c r="D60" i="1"/>
  <c r="G60" i="1" s="1"/>
  <c r="D18" i="1"/>
  <c r="I110" i="1" s="1"/>
  <c r="E180" i="1"/>
  <c r="E186" i="1" s="1"/>
  <c r="D40" i="1"/>
  <c r="D85" i="1"/>
  <c r="D56" i="1"/>
  <c r="D55" i="1"/>
  <c r="J34" i="1" s="1"/>
  <c r="J33" i="1" s="1"/>
  <c r="M74" i="1"/>
  <c r="M73" i="1"/>
  <c r="L74" i="1"/>
  <c r="L73" i="1"/>
  <c r="W4" i="1"/>
  <c r="J89" i="1"/>
  <c r="E170" i="1" l="1"/>
  <c r="E158" i="1" s="1"/>
  <c r="E182" i="1"/>
  <c r="E239" i="1"/>
  <c r="E232" i="1"/>
  <c r="E236" i="1" s="1"/>
  <c r="N24" i="1"/>
  <c r="Z4" i="1"/>
  <c r="D62" i="1"/>
  <c r="D61" i="1"/>
  <c r="D71" i="1"/>
  <c r="D70" i="1" s="1"/>
  <c r="D45" i="1"/>
  <c r="G37" i="1"/>
  <c r="D47" i="1"/>
  <c r="Z5" i="1"/>
  <c r="H50" i="1" s="1"/>
  <c r="D41" i="1"/>
  <c r="D74" i="1" s="1"/>
  <c r="D42" i="1"/>
  <c r="E193" i="1" l="1"/>
  <c r="E192" i="1"/>
  <c r="E194" i="1" s="1"/>
  <c r="D91" i="1"/>
  <c r="E238" i="1"/>
  <c r="E237" i="1"/>
  <c r="D73" i="1"/>
  <c r="G61" i="1"/>
  <c r="Z7" i="1"/>
  <c r="N29" i="1" s="1"/>
  <c r="H49" i="1"/>
  <c r="D46" i="1"/>
  <c r="D44" i="1" s="1"/>
  <c r="G44" i="1" s="1"/>
  <c r="D43" i="1"/>
  <c r="Z9" i="1" l="1"/>
  <c r="N28" i="1" s="1"/>
  <c r="D52" i="1"/>
  <c r="D53" i="1" s="1"/>
  <c r="E50" i="1"/>
  <c r="D69" i="1" s="1"/>
  <c r="W5" i="1"/>
  <c r="J21" i="1" l="1"/>
  <c r="D29" i="1" s="1"/>
  <c r="D31" i="1" s="1"/>
  <c r="D72" i="1"/>
  <c r="D75" i="1" s="1"/>
  <c r="N25" i="1"/>
  <c r="D64" i="1"/>
  <c r="G53" i="1" s="1"/>
  <c r="C249" i="1" s="1"/>
  <c r="J88" i="1"/>
  <c r="C109" i="1" l="1"/>
  <c r="D78" i="1"/>
  <c r="G56" i="1"/>
  <c r="G57" i="1" s="1"/>
  <c r="G58" i="1" s="1"/>
  <c r="J17" i="1"/>
  <c r="D83" i="1"/>
  <c r="J97" i="1" s="1"/>
  <c r="J95" i="1"/>
  <c r="N90" i="1"/>
  <c r="D89" i="1"/>
  <c r="D65" i="1"/>
  <c r="D66" i="1"/>
  <c r="D121" i="1" l="1"/>
  <c r="D109" i="1"/>
  <c r="G54" i="1"/>
  <c r="G55" i="1" s="1"/>
  <c r="C121" i="1"/>
  <c r="L69" i="1" l="1"/>
  <c r="J83" i="1"/>
  <c r="D82" i="1" l="1"/>
  <c r="D81" i="1"/>
  <c r="D93" i="1"/>
  <c r="D92" i="1"/>
  <c r="G92" i="1" l="1"/>
  <c r="G81" i="1"/>
</calcChain>
</file>

<file path=xl/sharedStrings.xml><?xml version="1.0" encoding="utf-8"?>
<sst xmlns="http://schemas.openxmlformats.org/spreadsheetml/2006/main" count="668" uniqueCount="394">
  <si>
    <t>Moc</t>
  </si>
  <si>
    <t>Predkość obrotowa silnika</t>
  </si>
  <si>
    <t>Przelożenbie przekładni zebatej</t>
  </si>
  <si>
    <t>Trwałość godzinowa</t>
  </si>
  <si>
    <t>Czas włączania sprzegła</t>
  </si>
  <si>
    <t>Liczba włączeń na godzinę</t>
  </si>
  <si>
    <t>Maszyna napędzająca</t>
  </si>
  <si>
    <t>Maszyna napędzana</t>
  </si>
  <si>
    <t>KM</t>
  </si>
  <si>
    <t>obr/min</t>
  </si>
  <si>
    <t>[ - ]</t>
  </si>
  <si>
    <t>h</t>
  </si>
  <si>
    <t>s</t>
  </si>
  <si>
    <t>1/h</t>
  </si>
  <si>
    <t>miekki</t>
  </si>
  <si>
    <t>pozioma</t>
  </si>
  <si>
    <t>W</t>
  </si>
  <si>
    <t>rad/s</t>
  </si>
  <si>
    <t>ulepszanie</t>
  </si>
  <si>
    <r>
      <t xml:space="preserve">Kąt przyporu </t>
    </r>
    <r>
      <rPr>
        <sz val="11"/>
        <color theme="1"/>
        <rFont val="Czcionka tekstu podstawowego"/>
        <charset val="238"/>
      </rPr>
      <t>α</t>
    </r>
    <r>
      <rPr>
        <vertAlign val="subscript"/>
        <sz val="11"/>
        <color theme="1"/>
        <rFont val="Czcionka tekstu podstawowego"/>
        <charset val="238"/>
      </rPr>
      <t>n</t>
    </r>
  </si>
  <si>
    <r>
      <t>Liczba zębów zębnika z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</si>
  <si>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t>mm</t>
  </si>
  <si>
    <t>Wspolczyniki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</si>
  <si>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j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</si>
  <si>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</si>
  <si>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zcionka tekstu podstawowego"/>
        <charset val="238"/>
      </rPr>
      <t>α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</si>
  <si>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zcionka tekstu podstawowego"/>
        <charset val="238"/>
      </rPr>
      <t>β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</si>
  <si>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H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</si>
  <si>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M</t>
    </r>
  </si>
  <si>
    <r>
      <t>Z</t>
    </r>
    <r>
      <rPr>
        <vertAlign val="subscript"/>
        <sz val="11"/>
        <color theme="1"/>
        <rFont val="Czcionka tekstu podstawowego"/>
        <charset val="238"/>
      </rPr>
      <t>ε</t>
    </r>
  </si>
  <si>
    <t>E</t>
  </si>
  <si>
    <t>MPa</t>
  </si>
  <si>
    <t>Obliczenia pomocnicze</t>
  </si>
  <si>
    <r>
      <rPr>
        <sz val="11"/>
        <color theme="1"/>
        <rFont val="Czcionka tekstu podstawowego"/>
        <charset val="238"/>
      </rPr>
      <t>σ</t>
    </r>
    <r>
      <rPr>
        <vertAlign val="subscript"/>
        <sz val="11"/>
        <color theme="1"/>
        <rFont val="Calibri"/>
        <family val="2"/>
        <charset val="238"/>
        <scheme val="minor"/>
      </rPr>
      <t>HP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</si>
  <si>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R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</si>
  <si>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</si>
  <si>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L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</si>
  <si>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HX</t>
    </r>
  </si>
  <si>
    <r>
      <t>Średnica podziałowa d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</si>
  <si>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t>Nm</t>
  </si>
  <si>
    <r>
      <t>Obliczeninia wstepne modułu m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</si>
  <si>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Moduł normalny m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 </t>
    </r>
    <r>
      <rPr>
        <sz val="11"/>
        <color theme="1"/>
        <rFont val="Calibri"/>
        <family val="2"/>
        <charset val="238"/>
        <scheme val="minor"/>
      </rPr>
      <t>znormalizowany</t>
    </r>
  </si>
  <si>
    <t>PN-78/M-88502</t>
  </si>
  <si>
    <r>
      <t xml:space="preserve">Błąd przełożenia </t>
    </r>
    <r>
      <rPr>
        <sz val="11"/>
        <color theme="1"/>
        <rFont val="Czcionka tekstu podstawowego"/>
        <charset val="238"/>
      </rPr>
      <t>ΔU</t>
    </r>
  </si>
  <si>
    <t>%</t>
  </si>
  <si>
    <r>
      <t>Zerowa odległość osi a</t>
    </r>
    <r>
      <rPr>
        <vertAlign val="subscript"/>
        <sz val="11"/>
        <color theme="1"/>
        <rFont val="Calibri"/>
        <family val="2"/>
        <charset val="238"/>
        <scheme val="minor"/>
      </rPr>
      <t>0</t>
    </r>
  </si>
  <si>
    <r>
      <t>Znormalizowana odległość osi a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</si>
  <si>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r>
      <t xml:space="preserve">Kat zarysu w przekroju czołowym </t>
    </r>
    <r>
      <rPr>
        <sz val="11"/>
        <color theme="1"/>
        <rFont val="Czcionka tekstu podstawowego"/>
        <charset val="238"/>
      </rPr>
      <t>α</t>
    </r>
    <r>
      <rPr>
        <vertAlign val="subscript"/>
        <sz val="11"/>
        <color theme="1"/>
        <rFont val="Calibri"/>
        <family val="2"/>
        <charset val="238"/>
      </rPr>
      <t>t</t>
    </r>
  </si>
  <si>
    <t>rad</t>
  </si>
  <si>
    <r>
      <t>inv α</t>
    </r>
    <r>
      <rPr>
        <vertAlign val="subscript"/>
        <sz val="11"/>
        <color theme="1"/>
        <rFont val="Calibri"/>
        <family val="2"/>
        <charset val="238"/>
        <scheme val="minor"/>
      </rPr>
      <t>tw</t>
    </r>
  </si>
  <si>
    <r>
      <t>inv α</t>
    </r>
    <r>
      <rPr>
        <vertAlign val="subscript"/>
        <sz val="11"/>
        <color theme="1"/>
        <rFont val="Calibri"/>
        <family val="2"/>
        <charset val="238"/>
        <scheme val="minor"/>
      </rPr>
      <t>t</t>
    </r>
  </si>
  <si>
    <r>
      <t>Średnica podziałowa d</t>
    </r>
    <r>
      <rPr>
        <vertAlign val="subscript"/>
        <sz val="11"/>
        <color theme="1"/>
        <rFont val="Calibri"/>
        <family val="2"/>
        <charset val="238"/>
        <scheme val="minor"/>
      </rPr>
      <t>11</t>
    </r>
  </si>
  <si>
    <r>
      <t>Średnica podziałowa d</t>
    </r>
    <r>
      <rPr>
        <vertAlign val="subscript"/>
        <sz val="11"/>
        <color theme="1"/>
        <rFont val="Calibri"/>
        <family val="2"/>
        <charset val="238"/>
        <scheme val="minor"/>
      </rPr>
      <t>12</t>
    </r>
  </si>
  <si>
    <r>
      <t>Średnica toczna d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</si>
  <si>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Średnica toczna d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</si>
  <si>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r>
      <t>Kąt pochylenia lini zeba β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</si>
  <si>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r>
      <t xml:space="preserve">Kąt pochylenia lini zeba </t>
    </r>
    <r>
      <rPr>
        <sz val="11"/>
        <color theme="1"/>
        <rFont val="Czcionka tekstu podstawowego"/>
        <charset val="238"/>
      </rPr>
      <t>β</t>
    </r>
    <r>
      <rPr>
        <vertAlign val="subscript"/>
        <sz val="11"/>
        <color theme="1"/>
        <rFont val="Czcionka tekstu podstawowego"/>
        <charset val="238"/>
      </rPr>
      <t>w1</t>
    </r>
  </si>
  <si>
    <t>N</t>
  </si>
  <si>
    <t>Współczynnik zsunięcia k</t>
  </si>
  <si>
    <r>
      <t>Pozorna odległość osi a</t>
    </r>
    <r>
      <rPr>
        <vertAlign val="subscript"/>
        <sz val="11"/>
        <color theme="1"/>
        <rFont val="Calibri"/>
        <family val="2"/>
        <charset val="238"/>
        <scheme val="minor"/>
      </rPr>
      <t>p</t>
    </r>
  </si>
  <si>
    <r>
      <t>Siła promieniowa S</t>
    </r>
    <r>
      <rPr>
        <vertAlign val="subscript"/>
        <sz val="11"/>
        <color theme="1"/>
        <rFont val="Calibri"/>
        <family val="2"/>
        <charset val="238"/>
        <scheme val="minor"/>
      </rPr>
      <t>mr</t>
    </r>
  </si>
  <si>
    <r>
      <t>Siła styczna S</t>
    </r>
    <r>
      <rPr>
        <vertAlign val="subscript"/>
        <sz val="11"/>
        <color theme="1"/>
        <rFont val="Calibri"/>
        <family val="2"/>
        <charset val="238"/>
        <scheme val="minor"/>
      </rPr>
      <t>mt</t>
    </r>
  </si>
  <si>
    <r>
      <t>Siła wzdłużna S</t>
    </r>
    <r>
      <rPr>
        <vertAlign val="subscript"/>
        <sz val="11"/>
        <color theme="1"/>
        <rFont val="Calibri"/>
        <family val="2"/>
        <charset val="238"/>
        <scheme val="minor"/>
      </rPr>
      <t>mo</t>
    </r>
  </si>
  <si>
    <t>Czołowa liczba przyporu</t>
  </si>
  <si>
    <r>
      <t>Współczynniki wysokości głowy zeba h</t>
    </r>
    <r>
      <rPr>
        <vertAlign val="subscript"/>
        <sz val="11"/>
        <color theme="1"/>
        <rFont val="Calibri"/>
        <family val="2"/>
        <charset val="238"/>
        <scheme val="minor"/>
      </rPr>
      <t>a1</t>
    </r>
  </si>
  <si>
    <r>
      <t>Współczynniki wysokości głowy zeba h</t>
    </r>
    <r>
      <rPr>
        <vertAlign val="subscript"/>
        <sz val="11"/>
        <color theme="1"/>
        <rFont val="Calibri"/>
        <family val="2"/>
        <charset val="238"/>
        <scheme val="minor"/>
      </rPr>
      <t>a2</t>
    </r>
  </si>
  <si>
    <t>Współczynnik przesuniecia osi</t>
  </si>
  <si>
    <r>
      <t xml:space="preserve">Wspolczynnik </t>
    </r>
    <r>
      <rPr>
        <sz val="11"/>
        <color theme="1"/>
        <rFont val="Czcionka tekstu podstawowego"/>
        <charset val="238"/>
      </rPr>
      <t>ε</t>
    </r>
    <r>
      <rPr>
        <vertAlign val="subscript"/>
        <sz val="11"/>
        <color theme="1"/>
        <rFont val="Czcionka tekstu podstawowego"/>
        <charset val="238"/>
      </rPr>
      <t>α</t>
    </r>
    <r>
      <rPr>
        <vertAlign val="subscript"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>'</t>
    </r>
  </si>
  <si>
    <r>
      <t xml:space="preserve">Wspolczynnik  </t>
    </r>
    <r>
      <rPr>
        <sz val="13"/>
        <color theme="1"/>
        <rFont val="Calibri"/>
        <family val="2"/>
        <charset val="238"/>
        <scheme val="minor"/>
      </rPr>
      <t>ε</t>
    </r>
    <r>
      <rPr>
        <vertAlign val="subscript"/>
        <sz val="11"/>
        <color theme="1"/>
        <rFont val="Calibri"/>
        <family val="2"/>
        <charset val="238"/>
        <scheme val="minor"/>
      </rPr>
      <t>α1</t>
    </r>
    <r>
      <rPr>
        <sz val="11"/>
        <color theme="1"/>
        <rFont val="Calibri"/>
        <family val="2"/>
        <charset val="238"/>
        <scheme val="minor"/>
      </rPr>
      <t>'</t>
    </r>
  </si>
  <si>
    <r>
      <t xml:space="preserve">Wspolczynnik  </t>
    </r>
    <r>
      <rPr>
        <sz val="13"/>
        <color theme="1"/>
        <rFont val="Calibri"/>
        <family val="2"/>
        <charset val="238"/>
        <scheme val="minor"/>
      </rPr>
      <t>ε</t>
    </r>
    <r>
      <rPr>
        <vertAlign val="subscript"/>
        <sz val="11"/>
        <color theme="1"/>
        <rFont val="Calibri"/>
        <family val="2"/>
        <charset val="238"/>
        <scheme val="minor"/>
      </rPr>
      <t>αa</t>
    </r>
    <r>
      <rPr>
        <sz val="11"/>
        <color theme="1"/>
        <rFont val="Calibri"/>
        <family val="2"/>
        <charset val="238"/>
        <scheme val="minor"/>
      </rPr>
      <t>'</t>
    </r>
  </si>
  <si>
    <t>Poskokowa liczba przyporu</t>
  </si>
  <si>
    <r>
      <t xml:space="preserve">Poskokowy wskaznik zazebienia </t>
    </r>
    <r>
      <rPr>
        <sz val="13"/>
        <color theme="1"/>
        <rFont val="Calibri"/>
        <family val="2"/>
        <charset val="238"/>
        <scheme val="minor"/>
      </rPr>
      <t>ε</t>
    </r>
    <r>
      <rPr>
        <vertAlign val="subscript"/>
        <sz val="11"/>
        <color theme="1"/>
        <rFont val="Czcionka tekstu podstawowego"/>
        <charset val="238"/>
      </rPr>
      <t>β</t>
    </r>
  </si>
  <si>
    <t>Sprawdzenie napreżeń stopy</t>
  </si>
  <si>
    <t>Wspolczynniki</t>
  </si>
  <si>
    <t>b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</si>
  <si>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</si>
  <si>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</si>
  <si>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</si>
  <si>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FX</t>
    </r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</si>
  <si>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</si>
  <si>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t>β</t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</si>
  <si>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F1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</si>
  <si>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F2</t>
    </r>
  </si>
  <si>
    <r>
      <rPr>
        <sz val="11"/>
        <color theme="1"/>
        <rFont val="Czcionka tekstu podstawowego"/>
        <charset val="238"/>
      </rPr>
      <t>σ</t>
    </r>
    <r>
      <rPr>
        <vertAlign val="subscript"/>
        <sz val="11"/>
        <color theme="1"/>
        <rFont val="Calibri"/>
        <family val="2"/>
        <charset val="238"/>
      </rPr>
      <t>Flim(2)</t>
    </r>
  </si>
  <si>
    <r>
      <rPr>
        <sz val="11"/>
        <color theme="1"/>
        <rFont val="Czcionka tekstu podstawowego"/>
        <charset val="238"/>
      </rPr>
      <t>σ</t>
    </r>
    <r>
      <rPr>
        <vertAlign val="subscript"/>
        <sz val="11"/>
        <color theme="1"/>
        <rFont val="Calibri"/>
        <family val="2"/>
        <charset val="238"/>
      </rPr>
      <t>Flim(1)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</si>
  <si>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F1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</si>
  <si>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F2</t>
    </r>
  </si>
  <si>
    <r>
      <t>Wspolczynnik udziału obciazenia Y</t>
    </r>
    <r>
      <rPr>
        <vertAlign val="subscript"/>
        <sz val="11"/>
        <color theme="1"/>
        <rFont val="Czcionka tekstu podstawowego"/>
        <charset val="238"/>
      </rPr>
      <t>ε</t>
    </r>
  </si>
  <si>
    <r>
      <t>Wspolczynnik kata lini srubowej Y</t>
    </r>
    <r>
      <rPr>
        <vertAlign val="subscript"/>
        <sz val="11"/>
        <color theme="1"/>
        <rFont val="Czcionka tekstu podstawowego"/>
        <charset val="238"/>
      </rPr>
      <t>β</t>
    </r>
  </si>
  <si>
    <r>
      <t>Liczba wpływu kształtu Z</t>
    </r>
    <r>
      <rPr>
        <vertAlign val="subscript"/>
        <sz val="11"/>
        <color theme="1"/>
        <rFont val="Calibri"/>
        <family val="2"/>
        <charset val="238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</si>
  <si>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Hmin</t>
    </r>
  </si>
  <si>
    <r>
      <rPr>
        <sz val="13"/>
        <color theme="1"/>
        <rFont val="Calibri"/>
        <family val="2"/>
        <charset val="238"/>
        <scheme val="minor"/>
      </rPr>
      <t>σ</t>
    </r>
    <r>
      <rPr>
        <vertAlign val="subscript"/>
        <sz val="11"/>
        <color theme="1"/>
        <rFont val="Calibri"/>
        <family val="2"/>
        <charset val="238"/>
        <scheme val="minor"/>
      </rPr>
      <t>Hlim(2)</t>
    </r>
  </si>
  <si>
    <r>
      <rPr>
        <sz val="13"/>
        <color theme="1"/>
        <rFont val="Calibri"/>
        <family val="2"/>
        <charset val="238"/>
        <scheme val="minor"/>
      </rPr>
      <t>σ</t>
    </r>
    <r>
      <rPr>
        <vertAlign val="subscript"/>
        <sz val="11"/>
        <color theme="1"/>
        <rFont val="Calibri"/>
        <family val="2"/>
        <charset val="238"/>
        <scheme val="minor"/>
      </rPr>
      <t>Hlim(1)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</si>
  <si>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</si>
  <si>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H1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</si>
  <si>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H2</t>
    </r>
  </si>
  <si>
    <t>Materiał koła I - kolo miekkie</t>
  </si>
  <si>
    <t>Materiał zebnik I - kolo twarde</t>
  </si>
  <si>
    <t>220HV10</t>
  </si>
  <si>
    <t>400HV10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</si>
  <si>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</si>
  <si>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</si>
  <si>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</si>
  <si>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v1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</si>
  <si>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v2</t>
    </r>
  </si>
  <si>
    <t>przedzial (0,3 - 0,9)</t>
  </si>
  <si>
    <t>srednia</t>
  </si>
  <si>
    <r>
      <t xml:space="preserve">Czołowy wskaznik przyporu </t>
    </r>
    <r>
      <rPr>
        <sz val="11"/>
        <color theme="1"/>
        <rFont val="Czcionka tekstu podstawowego"/>
        <charset val="238"/>
      </rPr>
      <t>ε</t>
    </r>
    <r>
      <rPr>
        <vertAlign val="subscript"/>
        <sz val="11"/>
        <color theme="1"/>
        <rFont val="Czcionka tekstu podstawowego"/>
        <charset val="238"/>
      </rPr>
      <t>α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</si>
  <si>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Fmin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</si>
  <si>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vertAlign val="subscript"/>
        <sz val="11"/>
        <color theme="1"/>
        <rFont val="Czcionka tekstu podstawowego"/>
        <charset val="238"/>
      </rPr>
      <t>α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</si>
  <si>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vertAlign val="subscript"/>
        <sz val="11"/>
        <color theme="1"/>
        <rFont val="Czcionka tekstu podstawowego"/>
        <charset val="238"/>
      </rPr>
      <t>β</t>
    </r>
  </si>
  <si>
    <r>
      <t>Y</t>
    </r>
    <r>
      <rPr>
        <vertAlign val="subscript"/>
        <sz val="12"/>
        <color theme="1"/>
        <rFont val="Calibri"/>
        <family val="2"/>
        <charset val="238"/>
        <scheme val="minor"/>
      </rPr>
      <t>β</t>
    </r>
  </si>
  <si>
    <r>
      <t>Y</t>
    </r>
    <r>
      <rPr>
        <vertAlign val="subscript"/>
        <sz val="12"/>
        <color theme="1"/>
        <rFont val="Calibri"/>
        <family val="2"/>
        <charset val="238"/>
        <scheme val="minor"/>
      </rPr>
      <t>ε</t>
    </r>
  </si>
  <si>
    <t>34HNM</t>
  </si>
  <si>
    <t>310HV10</t>
  </si>
  <si>
    <t>Odczyt do wykresu</t>
  </si>
  <si>
    <r>
      <t>Kat pochylenia lini zeba na walcu β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</si>
  <si>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Legenda</t>
  </si>
  <si>
    <t>Nazwy wielkości</t>
  </si>
  <si>
    <t>Wielkości sterowane</t>
  </si>
  <si>
    <t>Wartości wynikowe</t>
  </si>
  <si>
    <t>Merytoryka obliczeń</t>
  </si>
  <si>
    <t>Dobrany silnik</t>
  </si>
  <si>
    <t>Sg 132M-4</t>
  </si>
  <si>
    <t>GÓRA Odległości</t>
  </si>
  <si>
    <t>DÓŁ Odległości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</si>
  <si>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</si>
  <si>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</si>
  <si>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</si>
  <si>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t>Stal</t>
  </si>
  <si>
    <t>C45</t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</si>
  <si>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go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</si>
  <si>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sj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</si>
  <si>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WB</t>
    </r>
  </si>
  <si>
    <r>
      <t>σ</t>
    </r>
    <r>
      <rPr>
        <vertAlign val="subscript"/>
        <sz val="11"/>
        <color theme="1"/>
        <rFont val="Calibri"/>
        <family val="2"/>
        <charset val="238"/>
        <scheme val="minor"/>
      </rPr>
      <t>Hlim(1)</t>
    </r>
  </si>
  <si>
    <r>
      <t>β</t>
    </r>
    <r>
      <rPr>
        <vertAlign val="subscript"/>
        <sz val="11"/>
        <color theme="1"/>
        <rFont val="Calibri"/>
        <family val="2"/>
        <charset val="238"/>
        <scheme val="minor"/>
      </rPr>
      <t>w1</t>
    </r>
    <r>
      <rPr>
        <sz val="11"/>
        <color theme="1"/>
        <rFont val="Calibri"/>
        <family val="2"/>
        <charset val="238"/>
        <scheme val="minor"/>
      </rPr>
      <t xml:space="preserve"> = β</t>
    </r>
    <r>
      <rPr>
        <vertAlign val="subscript"/>
        <sz val="11"/>
        <color theme="1"/>
        <rFont val="Calibri"/>
        <family val="2"/>
        <charset val="238"/>
        <scheme val="minor"/>
      </rPr>
      <t>w2</t>
    </r>
  </si>
  <si>
    <t>Szerokości wienców b</t>
  </si>
  <si>
    <r>
      <t xml:space="preserve">( 0,8 </t>
    </r>
    <r>
      <rPr>
        <sz val="11"/>
        <color theme="1"/>
        <rFont val="Czcionka tekstu podstawowego"/>
        <charset val="238"/>
      </rPr>
      <t xml:space="preserve">÷ </t>
    </r>
    <r>
      <rPr>
        <sz val="11"/>
        <color theme="1"/>
        <rFont val="Calibri"/>
        <family val="2"/>
        <charset val="238"/>
        <scheme val="minor"/>
      </rPr>
      <t>1,5)</t>
    </r>
  </si>
  <si>
    <t>Wielkości narzucne/powtóżone</t>
  </si>
  <si>
    <t>Warunki</t>
  </si>
  <si>
    <t xml:space="preserve">Średnica stóp </t>
  </si>
  <si>
    <t>Sprawdzenie</t>
  </si>
  <si>
    <r>
      <t>Sprawdzenie=a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</si>
  <si>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t>Wspólczynnik wielkoœci luzu wierzcholkowego</t>
  </si>
  <si>
    <t>Wspólczynnik wysokoœci zebów</t>
  </si>
  <si>
    <r>
      <t>Odchyłki odległości osi a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</si>
  <si>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t>± 0,07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</si>
  <si>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</si>
  <si>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</si>
  <si>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dop</t>
    </r>
  </si>
  <si>
    <t>Długość z normy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</si>
  <si>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</si>
  <si>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t>Materiał</t>
  </si>
  <si>
    <t>Norma</t>
  </si>
  <si>
    <t>PN−70/M−85005</t>
  </si>
  <si>
    <t>Nmm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</si>
  <si>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</si>
  <si>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H1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11"/>
        <color theme="1"/>
        <rFont val="Czcionka tekstu podstawowego"/>
        <charset val="238"/>
      </rPr>
      <t>≥</t>
    </r>
    <r>
      <rPr>
        <sz val="11"/>
        <color theme="1"/>
        <rFont val="Calibri"/>
        <family val="2"/>
        <charset val="238"/>
      </rPr>
      <t xml:space="preserve"> S</t>
    </r>
    <r>
      <rPr>
        <vertAlign val="subscript"/>
        <sz val="11"/>
        <color theme="1"/>
        <rFont val="Calibri"/>
        <family val="2"/>
        <charset val="238"/>
      </rPr>
      <t>Hmin</t>
    </r>
    <r>
      <rPr>
        <sz val="11"/>
        <color theme="1"/>
        <rFont val="Calibri"/>
        <family val="2"/>
        <charset val="238"/>
      </rPr>
      <t xml:space="preserve">                          S</t>
    </r>
    <r>
      <rPr>
        <vertAlign val="subscript"/>
        <sz val="11"/>
        <color theme="1"/>
        <rFont val="Calibri"/>
        <family val="2"/>
        <charset val="238"/>
      </rPr>
      <t>H2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theme="1"/>
        <rFont val="Czcionka tekstu podstawowego"/>
        <charset val="238"/>
      </rPr>
      <t>≥</t>
    </r>
    <r>
      <rPr>
        <sz val="11"/>
        <color theme="1"/>
        <rFont val="Calibri"/>
        <family val="2"/>
        <charset val="238"/>
      </rPr>
      <t xml:space="preserve"> S</t>
    </r>
    <r>
      <rPr>
        <vertAlign val="subscript"/>
        <sz val="11"/>
        <color theme="1"/>
        <rFont val="Calibri"/>
        <family val="2"/>
        <charset val="238"/>
      </rPr>
      <t>Hmin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</si>
  <si>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F1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11"/>
        <color theme="1"/>
        <rFont val="Czcionka tekstu podstawowego"/>
        <charset val="238"/>
      </rPr>
      <t>≥</t>
    </r>
    <r>
      <rPr>
        <sz val="11"/>
        <color theme="1"/>
        <rFont val="Calibri"/>
        <family val="2"/>
        <charset val="238"/>
      </rPr>
      <t xml:space="preserve"> S</t>
    </r>
    <r>
      <rPr>
        <vertAlign val="subscript"/>
        <sz val="11"/>
        <color theme="1"/>
        <rFont val="Calibri"/>
        <family val="2"/>
        <charset val="238"/>
      </rPr>
      <t>Fmin</t>
    </r>
    <r>
      <rPr>
        <sz val="11"/>
        <color theme="1"/>
        <rFont val="Calibri"/>
        <family val="2"/>
        <charset val="238"/>
      </rPr>
      <t xml:space="preserve">                            S</t>
    </r>
    <r>
      <rPr>
        <vertAlign val="subscript"/>
        <sz val="11"/>
        <color theme="1"/>
        <rFont val="Calibri"/>
        <family val="2"/>
        <charset val="238"/>
      </rPr>
      <t>F2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theme="1"/>
        <rFont val="Czcionka tekstu podstawowego"/>
        <charset val="238"/>
      </rPr>
      <t>≥</t>
    </r>
    <r>
      <rPr>
        <sz val="11"/>
        <color theme="1"/>
        <rFont val="Calibri"/>
        <family val="2"/>
        <charset val="238"/>
      </rPr>
      <t xml:space="preserve"> S</t>
    </r>
    <r>
      <rPr>
        <vertAlign val="subscript"/>
        <sz val="11"/>
        <color theme="1"/>
        <rFont val="Calibri"/>
        <family val="2"/>
        <charset val="238"/>
      </rPr>
      <t>Fmin</t>
    </r>
  </si>
  <si>
    <t>dla kola osadczego</t>
  </si>
  <si>
    <t>dla lola zebatego</t>
  </si>
  <si>
    <t>Y</t>
  </si>
  <si>
    <t>Nazwa</t>
  </si>
  <si>
    <t>Współżedne</t>
  </si>
  <si>
    <t>Z</t>
  </si>
  <si>
    <t>Wzdłużna X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</si>
  <si>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>=1,5;S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>=2</t>
    </r>
  </si>
  <si>
    <r>
      <t>dm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3 </t>
    </r>
    <r>
      <rPr>
        <sz val="11"/>
        <color theme="1"/>
        <rFont val="Czcionka tekstu podstawowego"/>
        <charset val="238"/>
      </rPr>
      <t>~ l</t>
    </r>
  </si>
  <si>
    <t>x</t>
  </si>
  <si>
    <r>
      <t xml:space="preserve">( 3,5 </t>
    </r>
    <r>
      <rPr>
        <sz val="11"/>
        <color theme="1"/>
        <rFont val="Czcionka tekstu podstawowego"/>
        <charset val="238"/>
      </rPr>
      <t>÷</t>
    </r>
    <r>
      <rPr>
        <sz val="11"/>
        <color theme="1"/>
        <rFont val="Calibri"/>
        <family val="2"/>
        <charset val="238"/>
      </rPr>
      <t xml:space="preserve"> 11 )</t>
    </r>
  </si>
  <si>
    <t>Objetość V</t>
  </si>
  <si>
    <t>m/s</t>
  </si>
  <si>
    <t>Zanurzenie kola</t>
  </si>
  <si>
    <r>
      <t xml:space="preserve">( 1 </t>
    </r>
    <r>
      <rPr>
        <sz val="11"/>
        <color theme="1"/>
        <rFont val="Czcionka tekstu podstawowego"/>
        <charset val="238"/>
      </rPr>
      <t>÷ 6 )</t>
    </r>
  </si>
  <si>
    <t>Olej w reduktorze</t>
  </si>
  <si>
    <t>sil, elek,</t>
  </si>
  <si>
    <t>prze, lanc,</t>
  </si>
  <si>
    <t xml:space="preserve">Płaszczyzna wyz, Przez osie goł zeb, </t>
  </si>
  <si>
    <t>Rodzaj mat, Na koła zebate</t>
  </si>
  <si>
    <t xml:space="preserve">Śred, korekcji </t>
  </si>
  <si>
    <t>Śred, ilosci zebow</t>
  </si>
  <si>
    <t>Kąt poczylenia lini, śrub zeba β</t>
  </si>
  <si>
    <t>Odległości wpisane do programu wal99,</t>
  </si>
  <si>
    <t>Materiały zast, do wal maszynowy  dla obu</t>
  </si>
  <si>
    <t>Spr, nap, stykowych w biegunie zazebienia</t>
  </si>
  <si>
    <t>Liczba wpływu ws, przyporu Zε</t>
  </si>
  <si>
    <t>Nr, seryjny łożyska</t>
  </si>
  <si>
    <t>Lewe górne ( nie ruch, )</t>
  </si>
  <si>
    <t>Lewe dolne ( ruch, )</t>
  </si>
  <si>
    <t>Prawe górne ( ruch, )</t>
  </si>
  <si>
    <t>Prawe dolne ( nie ruch, )</t>
  </si>
  <si>
    <t>Predkość pierwszego wału</t>
  </si>
  <si>
    <t>Predkość drugiego wału</t>
  </si>
  <si>
    <t>Trwałość łożysk</t>
  </si>
  <si>
    <t>Siły oraz wartości na łożyska</t>
  </si>
  <si>
    <t>Wypadkowa (Y-Z)</t>
  </si>
  <si>
    <t>Szer. dla mat. miekkich</t>
  </si>
  <si>
    <t>Średnica wierzch.</t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</si>
  <si>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</rPr>
      <t>&lt;</t>
    </r>
    <r>
      <rPr>
        <sz val="11"/>
        <color theme="1"/>
        <rFont val="Calibri"/>
        <family val="2"/>
        <charset val="238"/>
        <scheme val="minor"/>
      </rPr>
      <t xml:space="preserve"> a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</si>
  <si>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t>Dodatkowe parametry (do sprawdzenia oraz rysunku )</t>
  </si>
  <si>
    <r>
      <t>cosβ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</si>
  <si>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Predkość v na sred. podizalowej</t>
  </si>
  <si>
    <t>Założenia dla sprawdzenia (do sprawdzenia oraz rysnuków)</t>
  </si>
  <si>
    <r>
      <rPr>
        <sz val="11"/>
        <color theme="1"/>
        <rFont val="Czcionka tekstu podstawowego"/>
        <charset val="238"/>
      </rPr>
      <t>β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</si>
  <si>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t>liczba z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wzg. pierwsza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</si>
  <si>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</si>
  <si>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J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</si>
  <si>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rz</t>
    </r>
  </si>
  <si>
    <r>
      <t>Możemy przyjąć S</t>
    </r>
    <r>
      <rPr>
        <vertAlign val="subscript"/>
        <sz val="11"/>
        <color theme="1"/>
        <rFont val="Calibri"/>
        <family val="2"/>
        <charset val="238"/>
        <scheme val="minor"/>
      </rPr>
      <t>s</t>
    </r>
    <r>
      <rPr>
        <sz val="11"/>
        <color theme="1"/>
        <rFont val="Calibri"/>
        <family val="2"/>
        <charset val="238"/>
        <scheme val="minor"/>
      </rPr>
      <t>=1 oraz S</t>
    </r>
    <r>
      <rPr>
        <vertAlign val="subscript"/>
        <sz val="11"/>
        <color theme="1"/>
        <rFont val="Calibri"/>
        <family val="2"/>
        <charset val="238"/>
        <scheme val="minor"/>
      </rPr>
      <t>d</t>
    </r>
    <r>
      <rPr>
        <sz val="11"/>
        <color theme="1"/>
        <rFont val="Calibri"/>
        <family val="2"/>
        <charset val="238"/>
        <scheme val="minor"/>
      </rPr>
      <t>=K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j </t>
    </r>
  </si>
  <si>
    <t>Wpust robimy z najsłabszego materiału współpracujacego</t>
  </si>
  <si>
    <t>Preferowany materiał na wpusty to C45,S235JR,E295 lub E335</t>
  </si>
  <si>
    <t>E335</t>
  </si>
  <si>
    <t>Teoretycznie rzecz biorąc łożyska na drugim wale powinny    wyjść wieksze niż na wale zebnika lub równe.</t>
  </si>
  <si>
    <t>Obliczenia wpóstów dla ( wału I/wal II )</t>
  </si>
  <si>
    <t>Wartości sił oraz momentów ( wpisywanych do wal99 )</t>
  </si>
  <si>
    <t>Luz weirzchołkowy c</t>
  </si>
  <si>
    <t>stopnie</t>
  </si>
  <si>
    <r>
      <t>Długość l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/l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</si>
  <si>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rPr>
        <sz val="11"/>
        <color theme="0" tint="-4.9989318521683403E-2"/>
        <rFont val="Czcionka tekstu podstawowego"/>
        <charset val="238"/>
      </rPr>
      <t>β</t>
    </r>
    <r>
      <rPr>
        <vertAlign val="subscript"/>
        <sz val="11"/>
        <color theme="0" tint="-4.9989318521683403E-2"/>
        <rFont val="Calibri"/>
        <family val="2"/>
        <charset val="238"/>
        <scheme val="minor"/>
      </rPr>
      <t>b</t>
    </r>
  </si>
  <si>
    <r>
      <t>Z</t>
    </r>
    <r>
      <rPr>
        <vertAlign val="subscript"/>
        <sz val="11"/>
        <color theme="0" tint="-4.9989318521683403E-2"/>
        <rFont val="Calibri"/>
        <family val="2"/>
        <charset val="238"/>
        <scheme val="minor"/>
      </rPr>
      <t>v1</t>
    </r>
  </si>
  <si>
    <r>
      <t>cosβ</t>
    </r>
    <r>
      <rPr>
        <vertAlign val="subscript"/>
        <sz val="11"/>
        <color theme="0" tint="-4.9989318521683403E-2"/>
        <rFont val="Calibri"/>
        <family val="2"/>
        <charset val="238"/>
        <scheme val="minor"/>
      </rPr>
      <t>b</t>
    </r>
  </si>
  <si>
    <r>
      <t>Z</t>
    </r>
    <r>
      <rPr>
        <vertAlign val="subscript"/>
        <sz val="11"/>
        <color theme="0" tint="-4.9989318521683403E-2"/>
        <rFont val="Calibri"/>
        <family val="2"/>
        <charset val="238"/>
        <scheme val="minor"/>
      </rPr>
      <t>v2</t>
    </r>
  </si>
  <si>
    <t>Obliczenia dotyczące sprzęgła które będzie połączone z czopem wału wejsciowego</t>
  </si>
  <si>
    <t>Jednostkowy nacisk na powierzchnię styku</t>
  </si>
  <si>
    <r>
      <rPr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alibri"/>
        <family val="2"/>
        <charset val="238"/>
        <scheme val="minor"/>
      </rPr>
      <t xml:space="preserve">Wspólczynnik zalezny od rodzaju maszyny </t>
    </r>
    <r>
      <rPr>
        <sz val="11"/>
        <color theme="1"/>
        <rFont val="Czcionka tekstu podstawowego"/>
        <charset val="238"/>
      </rPr>
      <t>β (Tab. 1)</t>
    </r>
  </si>
  <si>
    <t>Jednostkowy nacisk dla jednej powierzchni tarcia p</t>
  </si>
  <si>
    <t>Liczba płytek sprzegla i</t>
  </si>
  <si>
    <t>Bilans Cieplny</t>
  </si>
  <si>
    <r>
      <t xml:space="preserve">Prędkość kątowa poślizgu </t>
    </r>
    <r>
      <rPr>
        <sz val="11"/>
        <color theme="1"/>
        <rFont val="Czcionka tekstu podstawowego"/>
        <charset val="238"/>
      </rPr>
      <t>ῳ</t>
    </r>
    <r>
      <rPr>
        <sz val="9.35"/>
        <color theme="1"/>
        <rFont val="Calibri"/>
        <family val="2"/>
        <charset val="238"/>
      </rPr>
      <t>poslizgu</t>
    </r>
  </si>
  <si>
    <r>
      <t xml:space="preserve">Współczynnik przejmowania ciepła </t>
    </r>
    <r>
      <rPr>
        <sz val="11"/>
        <color theme="1"/>
        <rFont val="Czcionka tekstu podstawowego"/>
        <charset val="238"/>
      </rPr>
      <t>α</t>
    </r>
  </si>
  <si>
    <r>
      <t>kW/m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K</t>
    </r>
  </si>
  <si>
    <t>Zużycie objętościowe V</t>
  </si>
  <si>
    <t>Powierzchnia okładziny A</t>
  </si>
  <si>
    <t>Zurzycie liniowe</t>
  </si>
  <si>
    <t>Średnica wewnętrzna okładziny dw</t>
  </si>
  <si>
    <t>Średnica zewnętrzna okładziny dz</t>
  </si>
  <si>
    <r>
      <t>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</si>
  <si>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</si>
  <si>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t>Szerokość okłądziny</t>
  </si>
  <si>
    <t>Zużycie elementów ciernych</t>
  </si>
  <si>
    <t>Trwałość powierzchni ciernych L</t>
  </si>
  <si>
    <t>Informacja</t>
  </si>
  <si>
    <r>
      <t>Promien średni działania siły tarcia z warunku z równomiernie rozłożonych nacisków r</t>
    </r>
    <r>
      <rPr>
        <vertAlign val="subscript"/>
        <sz val="11"/>
        <color theme="1"/>
        <rFont val="Calibri"/>
        <family val="2"/>
        <charset val="238"/>
        <scheme val="minor"/>
      </rPr>
      <t>śr</t>
    </r>
  </si>
  <si>
    <r>
      <t>Promien średni działania siły tarcia z warunku goemetrycznego r</t>
    </r>
    <r>
      <rPr>
        <vertAlign val="subscript"/>
        <sz val="11"/>
        <color theme="1"/>
        <rFont val="Calibri"/>
        <family val="2"/>
        <charset val="238"/>
        <scheme val="minor"/>
      </rPr>
      <t>śr</t>
    </r>
  </si>
  <si>
    <r>
      <t>Średnia prędkość V</t>
    </r>
    <r>
      <rPr>
        <vertAlign val="subscript"/>
        <sz val="11"/>
        <color theme="1"/>
        <rFont val="Calibri"/>
        <family val="2"/>
        <charset val="238"/>
        <scheme val="minor"/>
      </rPr>
      <t>śr</t>
    </r>
  </si>
  <si>
    <r>
      <t xml:space="preserve">Wsplczynnik tarcia </t>
    </r>
    <r>
      <rPr>
        <sz val="11"/>
        <color theme="1"/>
        <rFont val="Czcionka tekstu podstawowego"/>
        <charset val="238"/>
      </rPr>
      <t>μ</t>
    </r>
    <r>
      <rPr>
        <sz val="11"/>
        <color theme="1"/>
        <rFont val="Calibri"/>
        <family val="2"/>
        <charset val="238"/>
        <scheme val="minor"/>
      </rPr>
      <t xml:space="preserve"> (Tab. 4)</t>
    </r>
  </si>
  <si>
    <t>Założenia</t>
  </si>
  <si>
    <r>
      <t xml:space="preserve">Prędkość kątowa </t>
    </r>
    <r>
      <rPr>
        <sz val="11"/>
        <color theme="1"/>
        <rFont val="Czcionka tekstu podstawowego"/>
        <charset val="238"/>
      </rPr>
      <t>ῳ</t>
    </r>
  </si>
  <si>
    <t>Średnia moc ciepła doprowadzonego w ciągu godziny</t>
  </si>
  <si>
    <t>Średnia moc ciepła odprowadzonego w ciągu godziny</t>
  </si>
  <si>
    <t>Zewnętrzna powierzchnia sprzęgła F</t>
  </si>
  <si>
    <t>K</t>
  </si>
  <si>
    <t>Długośc części współpracującej sprzęgła</t>
  </si>
  <si>
    <t>Zużycie właściwe q (Tab. 4)</t>
  </si>
  <si>
    <r>
      <t>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/kWh</t>
    </r>
  </si>
  <si>
    <r>
      <t>Średnia prędkość V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śr </t>
    </r>
    <r>
      <rPr>
        <sz val="11"/>
        <color theme="1"/>
        <rFont val="Calibri"/>
        <family val="2"/>
        <charset val="238"/>
        <scheme val="minor"/>
      </rPr>
      <t>(Tab. 2)</t>
    </r>
  </si>
  <si>
    <t xml:space="preserve">Moment obliczenowy obliczone we wzoru pierwszego Mo </t>
  </si>
  <si>
    <t xml:space="preserve">Moment obliczenowy obliczone we wzoru drugiego Mo </t>
  </si>
  <si>
    <t>Współczynnik przeciążenia sprzęgła K</t>
  </si>
  <si>
    <r>
      <t xml:space="preserve">( 50 </t>
    </r>
    <r>
      <rPr>
        <sz val="11"/>
        <color theme="1"/>
        <rFont val="Czcionka tekstu podstawowego"/>
        <charset val="238"/>
      </rPr>
      <t>÷</t>
    </r>
    <r>
      <rPr>
        <sz val="11"/>
        <color theme="1"/>
        <rFont val="Calibri"/>
        <family val="2"/>
        <charset val="238"/>
        <scheme val="minor"/>
      </rPr>
      <t xml:space="preserve"> 100 )</t>
    </r>
  </si>
  <si>
    <r>
      <t>Graniczna liczba włączeń m</t>
    </r>
    <r>
      <rPr>
        <vertAlign val="subscript"/>
        <sz val="11"/>
        <color theme="1"/>
        <rFont val="Calibri"/>
        <family val="2"/>
        <charset val="238"/>
        <scheme val="minor"/>
      </rPr>
      <t>gr</t>
    </r>
  </si>
  <si>
    <r>
      <t xml:space="preserve"> Wspol. zalezny od liczby wlaczen w czasie 1/h k</t>
    </r>
    <r>
      <rPr>
        <vertAlign val="subscript"/>
        <sz val="11"/>
        <color theme="1"/>
        <rFont val="Calibri"/>
        <family val="2"/>
        <charset val="238"/>
        <scheme val="minor"/>
      </rPr>
      <t>m</t>
    </r>
  </si>
  <si>
    <t>OK</t>
  </si>
  <si>
    <r>
      <t>Średnica zewnętrzna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wspolpracujaca D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</si>
  <si>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r>
      <t>Średnica wewnętrzna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wspolpracujaca  D</t>
    </r>
    <r>
      <rPr>
        <vertAlign val="subscript"/>
        <sz val="11"/>
        <color theme="1"/>
        <rFont val="Calibri"/>
        <family val="2"/>
        <charset val="238"/>
        <scheme val="minor"/>
      </rPr>
      <t>z</t>
    </r>
  </si>
  <si>
    <t xml:space="preserve">Moment sił przenoszony przez sprzęgło obliczenia ze wzoru pierwszego M               </t>
  </si>
  <si>
    <t>Moment sił przenoszony przez sprzęgło obliczenie ze wzoru drugiego M</t>
  </si>
  <si>
    <r>
      <t>Wspólczynnik prêdkoœci poslizgu k</t>
    </r>
    <r>
      <rPr>
        <vertAlign val="subscript"/>
        <sz val="11"/>
        <color theme="1"/>
        <rFont val="Calibri"/>
        <family val="2"/>
        <charset val="238"/>
        <scheme val="minor"/>
      </rPr>
      <t>v</t>
    </r>
    <r>
      <rPr>
        <sz val="11"/>
        <color theme="1"/>
        <rFont val="Calibri"/>
        <family val="2"/>
        <charset val="238"/>
        <scheme val="minor"/>
      </rPr>
      <t xml:space="preserve"> (Tab. 2)</t>
    </r>
  </si>
  <si>
    <t>( 3 ; 5 ; 7 ; 9 )</t>
  </si>
  <si>
    <r>
      <t>Siła nacisku P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</si>
  <si>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t>Dla sprzegieł wilopłytkowych</t>
  </si>
  <si>
    <r>
      <t>Wspólczynnik zmniejszenia momentu k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(Tab. 3)</t>
    </r>
  </si>
  <si>
    <r>
      <t>Praca tarcia podczas jednego wlaczenia L</t>
    </r>
    <r>
      <rPr>
        <vertAlign val="subscript"/>
        <sz val="11"/>
        <color theme="1"/>
        <rFont val="Calibri"/>
        <family val="2"/>
        <charset val="238"/>
        <scheme val="minor"/>
      </rPr>
      <t>t</t>
    </r>
  </si>
  <si>
    <r>
      <t>Liczba włączeń na godzinę m</t>
    </r>
    <r>
      <rPr>
        <vertAlign val="subscript"/>
        <sz val="11"/>
        <color theme="1"/>
        <rFont val="Calibri"/>
        <family val="2"/>
        <charset val="238"/>
        <scheme val="minor"/>
      </rPr>
      <t>w</t>
    </r>
  </si>
  <si>
    <r>
      <t>Czas włączania sprzęgła t</t>
    </r>
    <r>
      <rPr>
        <vertAlign val="subscript"/>
        <sz val="11"/>
        <color theme="1"/>
        <rFont val="Calibri"/>
        <family val="2"/>
        <charset val="238"/>
        <scheme val="minor"/>
      </rPr>
      <t>h</t>
    </r>
  </si>
  <si>
    <t>J</t>
  </si>
  <si>
    <t>Szerokość płytki z okładziną</t>
  </si>
  <si>
    <t>Szerokość płytki bez okładziny</t>
  </si>
  <si>
    <r>
      <t>Średnia prędkość V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śr </t>
    </r>
    <r>
      <rPr>
        <sz val="11"/>
        <color theme="1"/>
        <rFont val="Calibri"/>
        <family val="2"/>
        <charset val="238"/>
        <scheme val="minor"/>
      </rPr>
      <t>poślizgu</t>
    </r>
  </si>
  <si>
    <r>
      <t>Średnia prędkość V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śr </t>
    </r>
    <r>
      <rPr>
        <sz val="11"/>
        <color theme="1"/>
        <rFont val="Calibri"/>
        <family val="2"/>
        <charset val="238"/>
        <scheme val="minor"/>
      </rPr>
      <t>poślizgu (Tab. 2)</t>
    </r>
  </si>
  <si>
    <t>Temperatura dopuszczalna</t>
  </si>
  <si>
    <r>
      <rPr>
        <sz val="11"/>
        <color theme="1"/>
        <rFont val="Times New Roman"/>
        <family val="1"/>
        <charset val="238"/>
      </rPr>
      <t>°</t>
    </r>
    <r>
      <rPr>
        <sz val="11"/>
        <color theme="1"/>
        <rFont val="Calibri"/>
        <family val="2"/>
        <charset val="238"/>
      </rPr>
      <t>C</t>
    </r>
  </si>
  <si>
    <t>Temperatura dopuszczalna (Tab. 4)</t>
  </si>
  <si>
    <r>
      <t xml:space="preserve">Średna różnica temperatur </t>
    </r>
    <r>
      <rPr>
        <sz val="12"/>
        <color theme="1"/>
        <rFont val="Calibri"/>
        <family val="2"/>
        <charset val="238"/>
        <scheme val="minor"/>
      </rPr>
      <t>Δt</t>
    </r>
  </si>
  <si>
    <t>Współczynnik zużycia grubości okłądziny</t>
  </si>
  <si>
    <r>
      <t xml:space="preserve">( 0,8 </t>
    </r>
    <r>
      <rPr>
        <sz val="11"/>
        <color theme="1"/>
        <rFont val="Czcionka tekstu podstawowego"/>
        <charset val="238"/>
      </rPr>
      <t>÷</t>
    </r>
    <r>
      <rPr>
        <sz val="9.35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  <charset val="238"/>
      </rPr>
      <t>0,9 )</t>
    </r>
  </si>
  <si>
    <t xml:space="preserve">Stos. szer. wien. zeb. do sred. pod. </t>
  </si>
  <si>
    <r>
      <t>Moduł czołowy m</t>
    </r>
    <r>
      <rPr>
        <vertAlign val="subscript"/>
        <sz val="11"/>
        <color theme="1"/>
        <rFont val="Calibri"/>
        <family val="2"/>
        <charset val="238"/>
        <scheme val="minor"/>
      </rPr>
      <t>t</t>
    </r>
  </si>
  <si>
    <t>Moc P</t>
  </si>
  <si>
    <r>
      <t xml:space="preserve">Predkość obrotowa silnika </t>
    </r>
    <r>
      <rPr>
        <sz val="11"/>
        <color theme="1"/>
        <rFont val="Czcionka tekstu podstawowego"/>
        <charset val="238"/>
      </rPr>
      <t>ῳ</t>
    </r>
    <r>
      <rPr>
        <vertAlign val="subscript"/>
        <sz val="11"/>
        <color theme="1"/>
        <rFont val="Czcionka tekstu podstawowego"/>
        <charset val="238"/>
      </rPr>
      <t>1</t>
    </r>
  </si>
  <si>
    <r>
      <t xml:space="preserve">Predkośc obr. walka drugiego </t>
    </r>
    <r>
      <rPr>
        <sz val="11"/>
        <color theme="1"/>
        <rFont val="Czcionka tekstu podstawowego"/>
        <charset val="238"/>
      </rPr>
      <t>ῳ</t>
    </r>
    <r>
      <rPr>
        <vertAlign val="subscript"/>
        <sz val="9.35"/>
        <color theme="1"/>
        <rFont val="Calibri"/>
        <family val="2"/>
        <charset val="238"/>
      </rPr>
      <t>2</t>
    </r>
  </si>
  <si>
    <t>Kl. dokładnosci</t>
  </si>
  <si>
    <t>Moment obciążający M</t>
  </si>
  <si>
    <r>
      <t>Liczba zebow kola z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wg. obliczen</t>
    </r>
  </si>
  <si>
    <r>
      <t>Liczba zebow kola z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wg. rzeczywista</t>
    </r>
  </si>
  <si>
    <r>
      <t>Kat przyp. tocznym w przek. kol. α</t>
    </r>
    <r>
      <rPr>
        <vertAlign val="subscript"/>
        <sz val="11"/>
        <color theme="1"/>
        <rFont val="Calibri"/>
        <family val="2"/>
        <charset val="238"/>
        <scheme val="minor"/>
      </rPr>
      <t>tw</t>
    </r>
  </si>
  <si>
    <r>
      <t>Kat przyp. tocznym w przek. Kol. α</t>
    </r>
    <r>
      <rPr>
        <vertAlign val="subscript"/>
        <sz val="11"/>
        <color theme="1"/>
        <rFont val="Calibri"/>
        <family val="2"/>
        <charset val="238"/>
        <scheme val="minor"/>
      </rPr>
      <t>tw</t>
    </r>
  </si>
  <si>
    <r>
      <t>Suma wsp, korekcji 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</si>
  <si>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Przyb. wart. sumy wsp. korekcji 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</si>
  <si>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Średnica wału wejscia</t>
  </si>
  <si>
    <t>Średnica wału wyjści.</t>
  </si>
  <si>
    <t>azot. kapiel.</t>
  </si>
  <si>
    <t>dla kola zebatego</t>
  </si>
  <si>
    <t>Ugiecia maksymalne dopuszczalne</t>
  </si>
  <si>
    <t>Wał może być prezsztywniony</t>
  </si>
  <si>
    <r>
      <t>Liczba wp, mat, dla nap, stykowych Z</t>
    </r>
    <r>
      <rPr>
        <vertAlign val="subscript"/>
        <sz val="11"/>
        <color theme="1"/>
        <rFont val="Calibri"/>
        <family val="2"/>
        <charset val="238"/>
        <scheme val="minor"/>
      </rPr>
      <t>M</t>
    </r>
  </si>
  <si>
    <t>Projekt napedów mechanicznych reduktora ( dane wejściowe )</t>
  </si>
  <si>
    <t>Typ wpustu</t>
  </si>
  <si>
    <t>Wp. pryzmatyczny typu A</t>
  </si>
  <si>
    <t>Ilosc wp.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</si>
  <si>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</si>
  <si>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/2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</si>
  <si>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</si>
  <si>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/2</t>
    </r>
  </si>
  <si>
    <t>Tabele z wartościami wg. których należy przyjmować wartości. ( Wycinki z odpoweidnich norm. )</t>
  </si>
  <si>
    <t>Ogólna idea działania reduktora oraz założeń</t>
  </si>
  <si>
    <t>Wartości X ,Y oraz Z bierzemy           z programu wal99             w miejscu gdzie są zamocowane łożyska.</t>
  </si>
  <si>
    <t>Obliczenia ( dla koła zebnika miekkiego ) - koła o zębach skosnych</t>
  </si>
  <si>
    <t>Dobeirmay z Tab. 4</t>
  </si>
  <si>
    <t>Dobeirmay z Tab. 3</t>
  </si>
  <si>
    <t>Dobieramy z Tab. 4</t>
  </si>
  <si>
    <t>Dobieramy z Tab. 2</t>
  </si>
  <si>
    <t>Dla gorszego przyp.</t>
  </si>
  <si>
    <t>Dobieramy z Tab. 1</t>
  </si>
  <si>
    <t>Dobieramy aby przeniesc moment</t>
  </si>
  <si>
    <t xml:space="preserve">Obliczone wartości są zbliżone wg. obliczen z dwóch warunków więc do dalszych obliczen przyjmujemy obojętnie, którą wartości wg. ktoregokolwiek warunku. </t>
  </si>
  <si>
    <t>Dobieramy zawsze wartości znormalizowane dla przypadków gorszych bądź równych względem obliczen.</t>
  </si>
  <si>
    <t>IT10 - B</t>
  </si>
  <si>
    <t>Obliczenia dźwigienki w sprzęgle</t>
  </si>
  <si>
    <t>Ogólna idea działąnia dźwigienki w sprzęgle.</t>
  </si>
  <si>
    <t>Moduł Younga E</t>
  </si>
  <si>
    <t>Maksymalne ugięcie dźwigienki</t>
  </si>
  <si>
    <t xml:space="preserve">Przyjmujemy następujące dane </t>
  </si>
  <si>
    <r>
      <t xml:space="preserve">Współczynnik tarcia </t>
    </r>
    <r>
      <rPr>
        <sz val="11"/>
        <color theme="1"/>
        <rFont val="Czcionka tekstu podstawowego"/>
        <charset val="238"/>
      </rPr>
      <t>μ</t>
    </r>
    <r>
      <rPr>
        <vertAlign val="subscript"/>
        <sz val="9.35"/>
        <color theme="1"/>
        <rFont val="Calibri"/>
        <family val="2"/>
        <charset val="238"/>
      </rPr>
      <t>1</t>
    </r>
  </si>
  <si>
    <r>
      <t xml:space="preserve">Współczynnik tarcia </t>
    </r>
    <r>
      <rPr>
        <sz val="11"/>
        <color theme="1"/>
        <rFont val="Czcionka tekstu podstawowego"/>
        <charset val="238"/>
      </rPr>
      <t>μ</t>
    </r>
    <r>
      <rPr>
        <vertAlign val="subscript"/>
        <sz val="9.35"/>
        <color theme="1"/>
        <rFont val="Calibri"/>
        <family val="2"/>
        <charset val="238"/>
      </rPr>
      <t>3</t>
    </r>
    <r>
      <rPr>
        <sz val="11"/>
        <color theme="1"/>
        <rFont val="Czcionka tekstu podstawowego"/>
        <family val="2"/>
        <charset val="238"/>
      </rPr>
      <t/>
    </r>
  </si>
  <si>
    <r>
      <t xml:space="preserve">Współczynnik tarcia </t>
    </r>
    <r>
      <rPr>
        <sz val="11"/>
        <color theme="1"/>
        <rFont val="Czcionka tekstu podstawowego"/>
        <charset val="238"/>
      </rPr>
      <t>μ</t>
    </r>
    <r>
      <rPr>
        <vertAlign val="subscript"/>
        <sz val="9.35"/>
        <color theme="1"/>
        <rFont val="Calibri"/>
        <family val="2"/>
        <charset val="238"/>
      </rPr>
      <t>2</t>
    </r>
  </si>
  <si>
    <t>Odległość h</t>
  </si>
  <si>
    <t>Odległość a</t>
  </si>
  <si>
    <t>Odległość d</t>
  </si>
  <si>
    <t>Odległość b</t>
  </si>
  <si>
    <t>radiany</t>
  </si>
  <si>
    <t xml:space="preserve">Kąt pochylenia części współpracującej </t>
  </si>
  <si>
    <t>( 15 ÷ 25 )</t>
  </si>
  <si>
    <r>
      <t>( 15</t>
    </r>
    <r>
      <rPr>
        <sz val="11"/>
        <color theme="1"/>
        <rFont val="Times New Roman"/>
        <family val="1"/>
        <charset val="238"/>
      </rPr>
      <t>°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theme="1"/>
        <rFont val="Czcionka tekstu podstawowego"/>
        <charset val="238"/>
      </rPr>
      <t>÷</t>
    </r>
    <r>
      <rPr>
        <sz val="11"/>
        <color theme="1"/>
        <rFont val="Calibri"/>
        <family val="2"/>
        <charset val="238"/>
      </rPr>
      <t xml:space="preserve">  30° )</t>
    </r>
  </si>
  <si>
    <t>Odległość e</t>
  </si>
  <si>
    <t>Odległość c</t>
  </si>
  <si>
    <t>Obliczenia wytrzymałościowe</t>
  </si>
  <si>
    <t xml:space="preserve"> [ - ]</t>
  </si>
  <si>
    <r>
      <t>( 8</t>
    </r>
    <r>
      <rPr>
        <sz val="11"/>
        <color theme="1"/>
        <rFont val="Times New Roman"/>
        <family val="1"/>
        <charset val="238"/>
      </rPr>
      <t xml:space="preserve">° </t>
    </r>
    <r>
      <rPr>
        <sz val="11"/>
        <color theme="1"/>
        <rFont val="Calibri"/>
        <family val="2"/>
        <charset val="238"/>
      </rPr>
      <t>÷ 15° )</t>
    </r>
  </si>
  <si>
    <r>
      <t xml:space="preserve">( 0,8 </t>
    </r>
    <r>
      <rPr>
        <sz val="11"/>
        <color theme="1"/>
        <rFont val="Czcionka tekstu podstawowego"/>
        <charset val="238"/>
      </rPr>
      <t>÷</t>
    </r>
    <r>
      <rPr>
        <sz val="11"/>
        <color theme="1"/>
        <rFont val="Calibri"/>
        <family val="2"/>
        <charset val="238"/>
        <scheme val="minor"/>
      </rPr>
      <t>1,5 )</t>
    </r>
  </si>
  <si>
    <t>Stal na dźwigienkę</t>
  </si>
  <si>
    <t>C90S</t>
  </si>
  <si>
    <t>stal sprężynowa</t>
  </si>
  <si>
    <t>Ilośc dźwigienek i</t>
  </si>
  <si>
    <r>
      <t>Siła tarcia T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</si>
  <si>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Maksymalny możliwy nacisk P</t>
    </r>
    <r>
      <rPr>
        <vertAlign val="subscript"/>
        <sz val="11"/>
        <color theme="1"/>
        <rFont val="Calibri"/>
        <family val="2"/>
        <charset val="238"/>
        <scheme val="minor"/>
      </rPr>
      <t>W1</t>
    </r>
  </si>
  <si>
    <r>
      <t>Maksymalna siła nasuniecia nasuwy P</t>
    </r>
    <r>
      <rPr>
        <vertAlign val="subscript"/>
        <sz val="11"/>
        <color theme="1"/>
        <rFont val="Calibri"/>
        <family val="2"/>
        <charset val="238"/>
        <scheme val="minor"/>
      </rPr>
      <t>N1</t>
    </r>
  </si>
  <si>
    <r>
      <t>Składowa siły przypadająca na jedna z i dzwigieneik P</t>
    </r>
    <r>
      <rPr>
        <vertAlign val="subscript"/>
        <sz val="11"/>
        <color theme="1"/>
        <rFont val="Calibri"/>
        <family val="2"/>
        <charset val="238"/>
        <scheme val="minor"/>
      </rPr>
      <t>N1</t>
    </r>
  </si>
  <si>
    <r>
      <t>Składowa siły przypadająca na jedna z idzwigieneik P</t>
    </r>
    <r>
      <rPr>
        <vertAlign val="subscript"/>
        <sz val="11"/>
        <color theme="1"/>
        <rFont val="Calibri"/>
        <family val="2"/>
        <charset val="238"/>
        <scheme val="minor"/>
      </rPr>
      <t>R1</t>
    </r>
  </si>
  <si>
    <t>Maksymalne ugiecie dzwigienki z obliczeń</t>
  </si>
  <si>
    <r>
      <t>Zakłądamy wysokość h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</si>
  <si>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r>
      <t>Zakłądamy szerokosć b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</si>
  <si>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r>
      <t>Naprężenia na rozciaganie po ulepszeniau p</t>
    </r>
    <r>
      <rPr>
        <vertAlign val="subscript"/>
        <sz val="11"/>
        <color theme="1"/>
        <rFont val="Calibri"/>
        <family val="2"/>
        <charset val="238"/>
        <scheme val="minor"/>
      </rPr>
      <t>dop</t>
    </r>
  </si>
  <si>
    <t>Są to odległości poszczególnych elementów po wczesnym skonstruowaniu, które sa widoczen na schemacie po prawej.</t>
  </si>
  <si>
    <t>Oz. mat.</t>
  </si>
  <si>
    <t>rod. ob. ciepl.</t>
  </si>
  <si>
    <t>Tw. rdzenia</t>
  </si>
  <si>
    <t>Tw. bok. zeba</t>
  </si>
  <si>
    <t>Gran. zmecz. bok. zeba  [MPa]</t>
  </si>
  <si>
    <t>Gran. zmecz. st. zeba [MPa]</t>
  </si>
  <si>
    <t>Wyt. sta. st. zeba  [MPa]</t>
  </si>
  <si>
    <t>max. ± 2,5 %</t>
  </si>
  <si>
    <t>Preferowana stal to C45 lub C35 kiedy mamy uszczelniacze lub E295 kiedy nie potrzebujemy ulepszać cieplnie.</t>
  </si>
  <si>
    <t>Jest to najlepsze i najprostsze rozwiązanie stosowania łożysk ustalonych po przekątnej oraz łożysk pływających po drugiej przekątnej. Siły są dzielone na dwa aby teoretycznie pozbyc się w całości momentów gnących.</t>
  </si>
  <si>
    <t>Sterujemy szerokościa b aby przy danej szerokości były spełnione warunki naprężęń.</t>
  </si>
  <si>
    <t>Wał może być przesztywniony</t>
  </si>
  <si>
    <t>Jeśeli łożyska wyjdą różne ale różnica w obliczeniach wyjdą stosunkowo małe wartości po konsultacji z prowadzącym należy przyjąć te same i dodac komentaż, że stosujemy te same łożyska ze względu na okres eksploatacji i równoczesny czas wymiany.</t>
  </si>
  <si>
    <r>
      <t xml:space="preserve">Zakładamy te same wartości </t>
    </r>
    <r>
      <rPr>
        <sz val="11"/>
        <color theme="1"/>
        <rFont val="Czcionka tekstu podstawowego"/>
        <charset val="238"/>
      </rPr>
      <t>μ</t>
    </r>
    <r>
      <rPr>
        <sz val="11"/>
        <color theme="1"/>
        <rFont val="Calibri"/>
        <family val="2"/>
        <charset val="238"/>
        <scheme val="minor"/>
      </rPr>
      <t xml:space="preserve">                     co na sprzegło.</t>
    </r>
  </si>
  <si>
    <t>Obliczenia wpustu dla czopa silnika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</si>
  <si>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1 </t>
    </r>
    <r>
      <rPr>
        <sz val="11"/>
        <color theme="1"/>
        <rFont val="Calibri"/>
        <family val="2"/>
        <charset val="238"/>
        <scheme val="minor"/>
      </rPr>
      <t xml:space="preserve">dobieramy z dobranego silnika </t>
    </r>
  </si>
  <si>
    <t>Wp. pryzmatyczny typu AB</t>
  </si>
  <si>
    <r>
      <t>Długość l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</si>
  <si>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Pole poweirzchni w miejscu najbardzej niebezpiecznym A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</si>
  <si>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 xml:space="preserve">Napreżenia zginające </t>
    </r>
    <r>
      <rPr>
        <sz val="11"/>
        <color theme="1"/>
        <rFont val="Czcionka tekstu podstawowego"/>
        <charset val="238"/>
      </rPr>
      <t>σ</t>
    </r>
    <r>
      <rPr>
        <sz val="9.35"/>
        <color theme="1"/>
        <rFont val="Calibri"/>
        <family val="2"/>
        <charset val="238"/>
      </rPr>
      <t>g1</t>
    </r>
  </si>
  <si>
    <r>
      <t xml:space="preserve">Naprężenia ścinające </t>
    </r>
    <r>
      <rPr>
        <sz val="11"/>
        <color theme="1"/>
        <rFont val="Czcionka tekstu podstawowego"/>
        <charset val="238"/>
      </rPr>
      <t>τ</t>
    </r>
    <r>
      <rPr>
        <sz val="9.35"/>
        <color theme="1"/>
        <rFont val="Calibri"/>
        <family val="2"/>
        <charset val="238"/>
      </rPr>
      <t>s1</t>
    </r>
  </si>
  <si>
    <r>
      <t xml:space="preserve">Naprężenia ściskające </t>
    </r>
    <r>
      <rPr>
        <sz val="11"/>
        <color theme="1"/>
        <rFont val="Czcionka tekstu podstawowego"/>
        <charset val="238"/>
      </rPr>
      <t>σ</t>
    </r>
    <r>
      <rPr>
        <vertAlign val="subscript"/>
        <sz val="11"/>
        <color theme="1"/>
        <rFont val="Czcionka tekstu podstawowego"/>
        <charset val="238"/>
      </rPr>
      <t>c1</t>
    </r>
  </si>
  <si>
    <t>° C</t>
  </si>
  <si>
    <r>
      <t>Warunek spełniony również dla h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>=1</t>
    </r>
  </si>
  <si>
    <t>Ogłólna idea projektu reduktora</t>
  </si>
  <si>
    <t>Możeby dobra je z katalogu, który  np. znajduje się na stronie dr Pakowskiego</t>
  </si>
  <si>
    <t>Ogólna idea mechanizmu oraz zabezpieczeń w reduktorze</t>
  </si>
  <si>
    <t>Ogólna idea działąnia sprzęgła (działa na zasadzie "0' lub "1").</t>
  </si>
  <si>
    <t>Ogólna idea działałania projektu .Od strony sprzęgła jest czop połączony z silnikiem notomiast od strony gdzie jest wał końcowy wychodziący z reduktora jest połączony ze współpracującą maszyną dla której jest projektowany.</t>
  </si>
  <si>
    <t>Ogólna idea i efekt docelowy projektu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</si>
</sst>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0"/>
    <numFmt numFmtId="166" formatCode="0.0"/>
    <numFmt numFmtId="167" formatCode="#,##0.000"/>
    <numFmt numFmtId="168" formatCode="0.00000"/>
  </numFmts>
  <fonts count="2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  <font>
      <sz val="11"/>
      <color theme="1"/>
      <name val="Czcionka tekstu podstawowego"/>
      <charset val="238"/>
    </font>
    <font>
      <vertAlign val="subscript"/>
      <sz val="11"/>
      <color theme="1"/>
      <name val="Czcionka tekstu podstawowego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theme="0" tint="-4.9989318521683403E-2"/>
      <name val="Czcionka tekstu podstawowego"/>
      <charset val="238"/>
    </font>
    <font>
      <vertAlign val="subscript"/>
      <sz val="11"/>
      <color theme="0" tint="-4.9989318521683403E-2"/>
      <name val="Calibri"/>
      <family val="2"/>
      <charset val="238"/>
      <scheme val="minor"/>
    </font>
    <font>
      <sz val="9.35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vertAlign val="subscript"/>
      <sz val="9.35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Font="1"/>
    <xf numFmtId="164" fontId="0" fillId="4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4" borderId="1" xfId="0" applyNumberFormat="1" applyFont="1" applyFill="1" applyBorder="1" applyAlignment="1">
      <alignment horizontal="center" vertical="center"/>
    </xf>
    <xf numFmtId="165" fontId="0" fillId="4" borderId="2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4" borderId="12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/>
    </xf>
    <xf numFmtId="0" fontId="0" fillId="0" borderId="10" xfId="0" applyFont="1" applyBorder="1" applyAlignment="1"/>
    <xf numFmtId="0" fontId="0" fillId="5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164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4" borderId="15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6" fontId="0" fillId="5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Font="1" applyBorder="1"/>
    <xf numFmtId="0" fontId="0" fillId="0" borderId="29" xfId="0" applyBorder="1"/>
    <xf numFmtId="0" fontId="0" fillId="0" borderId="20" xfId="0" applyFont="1" applyBorder="1" applyAlignment="1">
      <alignment vertical="center"/>
    </xf>
    <xf numFmtId="0" fontId="0" fillId="0" borderId="10" xfId="0" applyFont="1" applyBorder="1"/>
    <xf numFmtId="0" fontId="0" fillId="0" borderId="18" xfId="0" applyFont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0" fontId="0" fillId="0" borderId="19" xfId="0" applyFont="1" applyBorder="1"/>
    <xf numFmtId="0" fontId="0" fillId="5" borderId="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2" fontId="11" fillId="5" borderId="33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10" xfId="0" applyBorder="1" applyAlignment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0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3" borderId="37" xfId="0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7" xfId="0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30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3" borderId="2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3" borderId="37" xfId="0" applyNumberFormat="1" applyFill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164" fontId="0" fillId="3" borderId="39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4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37" xfId="0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98613</xdr:colOff>
      <xdr:row>152</xdr:row>
      <xdr:rowOff>150425</xdr:rowOff>
    </xdr:from>
    <xdr:to>
      <xdr:col>14</xdr:col>
      <xdr:colOff>377497</xdr:colOff>
      <xdr:row>159</xdr:row>
      <xdr:rowOff>170330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3413" y="29859460"/>
          <a:ext cx="6381608" cy="2341764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295837</xdr:colOff>
      <xdr:row>159</xdr:row>
      <xdr:rowOff>304802</xdr:rowOff>
    </xdr:from>
    <xdr:to>
      <xdr:col>14</xdr:col>
      <xdr:colOff>414619</xdr:colOff>
      <xdr:row>164</xdr:row>
      <xdr:rowOff>168161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220637" y="32335696"/>
          <a:ext cx="6221506" cy="1001876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197224</xdr:colOff>
      <xdr:row>164</xdr:row>
      <xdr:rowOff>120413</xdr:rowOff>
    </xdr:from>
    <xdr:to>
      <xdr:col>14</xdr:col>
      <xdr:colOff>307042</xdr:colOff>
      <xdr:row>198</xdr:row>
      <xdr:rowOff>149898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22024" y="33289825"/>
          <a:ext cx="6212542" cy="648407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800529</xdr:colOff>
      <xdr:row>115</xdr:row>
      <xdr:rowOff>28531</xdr:rowOff>
    </xdr:from>
    <xdr:to>
      <xdr:col>14</xdr:col>
      <xdr:colOff>387724</xdr:colOff>
      <xdr:row>146</xdr:row>
      <xdr:rowOff>133886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801964" y="22933355"/>
          <a:ext cx="6613283" cy="578897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100352</xdr:colOff>
      <xdr:row>134</xdr:row>
      <xdr:rowOff>88790</xdr:rowOff>
    </xdr:from>
    <xdr:to>
      <xdr:col>8</xdr:col>
      <xdr:colOff>322728</xdr:colOff>
      <xdr:row>146</xdr:row>
      <xdr:rowOff>125505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2258" y="26525708"/>
          <a:ext cx="2642847" cy="218824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412376</xdr:colOff>
      <xdr:row>128</xdr:row>
      <xdr:rowOff>39309</xdr:rowOff>
    </xdr:from>
    <xdr:to>
      <xdr:col>5</xdr:col>
      <xdr:colOff>1362635</xdr:colOff>
      <xdr:row>146</xdr:row>
      <xdr:rowOff>115320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74376" y="25391497"/>
          <a:ext cx="4500283" cy="331227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125505</xdr:colOff>
      <xdr:row>50</xdr:row>
      <xdr:rowOff>1</xdr:rowOff>
    </xdr:from>
    <xdr:to>
      <xdr:col>14</xdr:col>
      <xdr:colOff>463662</xdr:colOff>
      <xdr:row>61</xdr:row>
      <xdr:rowOff>188260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704729" y="9771530"/>
          <a:ext cx="5481657" cy="254597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71715</xdr:colOff>
      <xdr:row>207</xdr:row>
      <xdr:rowOff>35864</xdr:rowOff>
    </xdr:from>
    <xdr:to>
      <xdr:col>13</xdr:col>
      <xdr:colOff>655747</xdr:colOff>
      <xdr:row>223</xdr:row>
      <xdr:rowOff>152402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8193739" y="41354193"/>
          <a:ext cx="5640127" cy="306592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358140</xdr:colOff>
      <xdr:row>61</xdr:row>
      <xdr:rowOff>135124</xdr:rowOff>
    </xdr:from>
    <xdr:to>
      <xdr:col>14</xdr:col>
      <xdr:colOff>821167</xdr:colOff>
      <xdr:row>62</xdr:row>
      <xdr:rowOff>142091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4241780" y="12410944"/>
          <a:ext cx="463027" cy="22032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892436</xdr:colOff>
      <xdr:row>145</xdr:row>
      <xdr:rowOff>99072</xdr:rowOff>
    </xdr:from>
    <xdr:to>
      <xdr:col>5</xdr:col>
      <xdr:colOff>1343022</xdr:colOff>
      <xdr:row>146</xdr:row>
      <xdr:rowOff>150606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105848" y="31408307"/>
          <a:ext cx="450586" cy="242034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179294</xdr:colOff>
      <xdr:row>145</xdr:row>
      <xdr:rowOff>65535</xdr:rowOff>
    </xdr:from>
    <xdr:to>
      <xdr:col>8</xdr:col>
      <xdr:colOff>609600</xdr:colOff>
      <xdr:row>146</xdr:row>
      <xdr:rowOff>129091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8309834" y="28876755"/>
          <a:ext cx="430306" cy="246436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300636</xdr:colOff>
      <xdr:row>144</xdr:row>
      <xdr:rowOff>175260</xdr:rowOff>
    </xdr:from>
    <xdr:to>
      <xdr:col>14</xdr:col>
      <xdr:colOff>809515</xdr:colOff>
      <xdr:row>146</xdr:row>
      <xdr:rowOff>104439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4184276" y="28803600"/>
          <a:ext cx="508879" cy="29493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81138</xdr:colOff>
      <xdr:row>227</xdr:row>
      <xdr:rowOff>44822</xdr:rowOff>
    </xdr:from>
    <xdr:to>
      <xdr:col>10</xdr:col>
      <xdr:colOff>741839</xdr:colOff>
      <xdr:row>243</xdr:row>
      <xdr:rowOff>212911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7152050" y="49104175"/>
          <a:ext cx="3540613" cy="355226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331692</xdr:colOff>
      <xdr:row>248</xdr:row>
      <xdr:rowOff>62754</xdr:rowOff>
    </xdr:from>
    <xdr:to>
      <xdr:col>10</xdr:col>
      <xdr:colOff>358588</xdr:colOff>
      <xdr:row>272</xdr:row>
      <xdr:rowOff>158005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4643716" y="49619648"/>
          <a:ext cx="5925672" cy="442520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219450</xdr:colOff>
      <xdr:row>242</xdr:row>
      <xdr:rowOff>154640</xdr:rowOff>
    </xdr:from>
    <xdr:to>
      <xdr:col>10</xdr:col>
      <xdr:colOff>768721</xdr:colOff>
      <xdr:row>243</xdr:row>
      <xdr:rowOff>207979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0170274" y="52407669"/>
          <a:ext cx="549271" cy="24383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140513</xdr:colOff>
      <xdr:row>271</xdr:row>
      <xdr:rowOff>71716</xdr:rowOff>
    </xdr:from>
    <xdr:to>
      <xdr:col>10</xdr:col>
      <xdr:colOff>673698</xdr:colOff>
      <xdr:row>272</xdr:row>
      <xdr:rowOff>100853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0306489" y="53779269"/>
          <a:ext cx="533185" cy="208431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393537</xdr:colOff>
      <xdr:row>222</xdr:row>
      <xdr:rowOff>125505</xdr:rowOff>
    </xdr:from>
    <xdr:to>
      <xdr:col>13</xdr:col>
      <xdr:colOff>982082</xdr:colOff>
      <xdr:row>223</xdr:row>
      <xdr:rowOff>177503</xdr:rowOff>
    </xdr:to>
    <xdr:pic>
      <xdr:nvPicPr>
        <xdr:cNvPr id="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3257890" y="44536658"/>
          <a:ext cx="588545" cy="24025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58267</xdr:colOff>
      <xdr:row>1</xdr:row>
      <xdr:rowOff>78440</xdr:rowOff>
    </xdr:from>
    <xdr:to>
      <xdr:col>6</xdr:col>
      <xdr:colOff>1418874</xdr:colOff>
      <xdr:row>11</xdr:row>
      <xdr:rowOff>159124</xdr:rowOff>
    </xdr:to>
    <xdr:pic>
      <xdr:nvPicPr>
        <xdr:cNvPr id="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271679" y="291352"/>
          <a:ext cx="2750136" cy="207533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4"/>
  <sheetViews>
    <sheetView tabSelected="1" zoomScale="85" zoomScaleNormal="85" workbookViewId="0">
      <selection activeCell="M240" sqref="M240"/>
    </sheetView>
  </sheetViews>
  <sheetFormatPr defaultRowHeight="15"/>
  <cols>
    <col min="1" max="1" width="11.140625" customWidth="1"/>
    <col min="2" max="2" width="11.5703125" customWidth="1"/>
    <col min="3" max="3" width="11.7109375" customWidth="1"/>
    <col min="4" max="4" width="16" customWidth="1"/>
    <col min="5" max="5" width="12.7109375" customWidth="1"/>
    <col min="6" max="6" width="20.85546875" customWidth="1"/>
    <col min="7" max="7" width="22" customWidth="1"/>
    <col min="8" max="8" width="13.42578125" customWidth="1"/>
    <col min="9" max="9" width="14" customWidth="1"/>
    <col min="10" max="10" width="15.7109375" customWidth="1"/>
    <col min="11" max="11" width="14" customWidth="1"/>
    <col min="12" max="12" width="12.42578125" customWidth="1"/>
    <col min="13" max="13" width="17.7109375" customWidth="1"/>
    <col min="14" max="14" width="15.28515625" customWidth="1"/>
    <col min="15" max="15" width="14" customWidth="1"/>
    <col min="16" max="16" width="12.28515625" bestFit="1" customWidth="1"/>
    <col min="17" max="17" width="14.42578125" customWidth="1"/>
    <col min="18" max="18" width="14.140625" customWidth="1"/>
    <col min="19" max="19" width="15.5703125" customWidth="1"/>
    <col min="21" max="21" width="15.85546875" customWidth="1"/>
  </cols>
  <sheetData>
    <row r="1" spans="1:33" ht="16.5" thickTop="1" thickBot="1">
      <c r="A1" s="291" t="s">
        <v>306</v>
      </c>
      <c r="B1" s="207"/>
      <c r="C1" s="207"/>
      <c r="D1" s="207"/>
      <c r="E1" s="292"/>
      <c r="F1" s="165" t="s">
        <v>393</v>
      </c>
      <c r="G1" s="224"/>
      <c r="H1" s="26"/>
      <c r="I1" s="206" t="s">
        <v>96</v>
      </c>
      <c r="J1" s="207"/>
      <c r="K1" s="207"/>
      <c r="L1" s="207"/>
      <c r="M1" s="207"/>
      <c r="N1" s="207"/>
      <c r="O1" s="208"/>
      <c r="P1" s="26"/>
      <c r="Q1" s="26"/>
      <c r="R1" s="26"/>
      <c r="S1" s="26"/>
      <c r="U1" s="66"/>
      <c r="V1" s="67" t="s">
        <v>32</v>
      </c>
      <c r="W1" s="67"/>
      <c r="X1" s="67"/>
      <c r="Y1" s="67"/>
      <c r="Z1" s="67"/>
      <c r="AA1" s="66"/>
      <c r="AB1" s="66"/>
      <c r="AC1" s="66"/>
      <c r="AD1" s="66"/>
      <c r="AE1" s="66"/>
      <c r="AF1" s="66"/>
      <c r="AG1" s="66"/>
    </row>
    <row r="2" spans="1:33" ht="15.75" thickTop="1">
      <c r="A2" s="293" t="s">
        <v>122</v>
      </c>
      <c r="B2" s="293"/>
      <c r="C2" s="293"/>
      <c r="D2" s="294" t="s">
        <v>123</v>
      </c>
      <c r="E2" s="295"/>
      <c r="F2" s="189"/>
      <c r="G2" s="191"/>
      <c r="H2" s="26"/>
      <c r="I2" s="214" t="s">
        <v>364</v>
      </c>
      <c r="J2" s="214" t="s">
        <v>365</v>
      </c>
      <c r="K2" s="214" t="s">
        <v>366</v>
      </c>
      <c r="L2" s="214" t="s">
        <v>367</v>
      </c>
      <c r="M2" s="158" t="s">
        <v>368</v>
      </c>
      <c r="N2" s="158" t="s">
        <v>369</v>
      </c>
      <c r="O2" s="158" t="s">
        <v>370</v>
      </c>
      <c r="P2" s="26"/>
      <c r="Q2" s="26"/>
      <c r="R2" s="26"/>
      <c r="S2" s="2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>
      <c r="A3" s="261" t="s">
        <v>0</v>
      </c>
      <c r="B3" s="261"/>
      <c r="C3" s="261"/>
      <c r="D3" s="24">
        <v>10</v>
      </c>
      <c r="E3" s="153" t="s">
        <v>8</v>
      </c>
      <c r="F3" s="192"/>
      <c r="G3" s="194"/>
      <c r="H3" s="26"/>
      <c r="I3" s="186"/>
      <c r="J3" s="186"/>
      <c r="K3" s="186"/>
      <c r="L3" s="186"/>
      <c r="M3" s="232"/>
      <c r="N3" s="232"/>
      <c r="O3" s="232"/>
      <c r="P3" s="26"/>
      <c r="Q3" s="26"/>
      <c r="R3" s="26"/>
      <c r="S3" s="2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ht="15" customHeight="1">
      <c r="A4" s="186" t="s">
        <v>1</v>
      </c>
      <c r="B4" s="186"/>
      <c r="C4" s="186"/>
      <c r="D4" s="24">
        <v>1450</v>
      </c>
      <c r="E4" s="153" t="s">
        <v>9</v>
      </c>
      <c r="F4" s="192"/>
      <c r="G4" s="194"/>
      <c r="H4" s="26"/>
      <c r="I4" s="15" t="s">
        <v>113</v>
      </c>
      <c r="J4" s="2" t="s">
        <v>18</v>
      </c>
      <c r="K4" s="2" t="s">
        <v>114</v>
      </c>
      <c r="L4" s="2" t="s">
        <v>114</v>
      </c>
      <c r="M4" s="2">
        <v>770</v>
      </c>
      <c r="N4" s="2">
        <v>320</v>
      </c>
      <c r="O4" s="2">
        <v>1300</v>
      </c>
      <c r="P4" s="26"/>
      <c r="Q4" s="26"/>
      <c r="R4" s="26"/>
      <c r="S4" s="26"/>
      <c r="U4" s="66"/>
      <c r="V4" s="66" t="s">
        <v>218</v>
      </c>
      <c r="W4" s="66">
        <f>ATAN((TAN(D24))*COS(ATAN((TAN(D23)/(COS(D24))))))</f>
        <v>0.21299160599715944</v>
      </c>
      <c r="X4" s="66"/>
      <c r="Y4" s="66" t="s">
        <v>219</v>
      </c>
      <c r="Z4" s="66">
        <f>D27/(((COS(W4))^2)*COS(D24))</f>
        <v>26.857700164562413</v>
      </c>
      <c r="AA4" s="66"/>
      <c r="AB4" s="66"/>
      <c r="AC4" s="66"/>
      <c r="AD4" s="66"/>
      <c r="AE4" s="66"/>
      <c r="AF4" s="66"/>
      <c r="AG4" s="66"/>
    </row>
    <row r="5" spans="1:33" ht="18">
      <c r="A5" s="261" t="s">
        <v>2</v>
      </c>
      <c r="B5" s="261"/>
      <c r="C5" s="261"/>
      <c r="D5" s="24">
        <v>2.8</v>
      </c>
      <c r="E5" s="153" t="s">
        <v>10</v>
      </c>
      <c r="F5" s="192"/>
      <c r="G5" s="19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66"/>
      <c r="V5" s="66" t="s">
        <v>220</v>
      </c>
      <c r="W5" s="66">
        <f>COS(W4)</f>
        <v>0.97740290922629336</v>
      </c>
      <c r="X5" s="66"/>
      <c r="Y5" s="66" t="s">
        <v>221</v>
      </c>
      <c r="Z5" s="66">
        <f>E49/(((COS(W4))^2)*COS(D24))</f>
        <v>76.275868467357256</v>
      </c>
      <c r="AA5" s="66"/>
      <c r="AB5" s="66"/>
      <c r="AC5" s="66"/>
      <c r="AD5" s="66"/>
      <c r="AE5" s="66"/>
      <c r="AF5" s="66"/>
      <c r="AG5" s="66"/>
    </row>
    <row r="6" spans="1:33" ht="15.75" thickBot="1">
      <c r="A6" s="261" t="s">
        <v>3</v>
      </c>
      <c r="B6" s="261"/>
      <c r="C6" s="261"/>
      <c r="D6" s="24">
        <v>4000</v>
      </c>
      <c r="E6" s="153" t="s">
        <v>11</v>
      </c>
      <c r="F6" s="192"/>
      <c r="G6" s="194"/>
      <c r="H6" s="26"/>
      <c r="I6" s="296"/>
      <c r="J6" s="296"/>
      <c r="K6" s="296"/>
      <c r="L6" s="26"/>
      <c r="M6" s="26"/>
      <c r="N6" s="26"/>
      <c r="O6" s="26"/>
      <c r="P6" s="26"/>
      <c r="Q6" s="26"/>
      <c r="R6" s="26"/>
      <c r="S6" s="2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</row>
    <row r="7" spans="1:33" ht="16.5" thickTop="1" thickBot="1">
      <c r="A7" s="261" t="s">
        <v>4</v>
      </c>
      <c r="B7" s="261"/>
      <c r="C7" s="261"/>
      <c r="D7" s="24">
        <v>1.3</v>
      </c>
      <c r="E7" s="153" t="s">
        <v>12</v>
      </c>
      <c r="F7" s="192"/>
      <c r="G7" s="194"/>
      <c r="H7" s="26"/>
      <c r="I7" s="206" t="s">
        <v>97</v>
      </c>
      <c r="J7" s="207"/>
      <c r="K7" s="207"/>
      <c r="L7" s="207"/>
      <c r="M7" s="207"/>
      <c r="N7" s="207"/>
      <c r="O7" s="208"/>
      <c r="P7" s="26"/>
      <c r="Q7" s="26"/>
      <c r="R7" s="26"/>
      <c r="S7" s="26"/>
      <c r="U7" s="66"/>
      <c r="V7" s="66"/>
      <c r="W7" s="66"/>
      <c r="X7" s="66"/>
      <c r="Y7" s="66" t="s">
        <v>106</v>
      </c>
      <c r="Z7" s="66">
        <f>AVERAGE(Z4:Z5)</f>
        <v>51.566784315959836</v>
      </c>
      <c r="AA7" s="66"/>
      <c r="AB7" s="66"/>
      <c r="AC7" s="66"/>
      <c r="AD7" s="66"/>
      <c r="AE7" s="66"/>
      <c r="AF7" s="66"/>
      <c r="AG7" s="66"/>
    </row>
    <row r="8" spans="1:33" ht="15.75" thickTop="1">
      <c r="A8" s="261" t="s">
        <v>5</v>
      </c>
      <c r="B8" s="261"/>
      <c r="C8" s="261"/>
      <c r="D8" s="24">
        <v>30</v>
      </c>
      <c r="E8" s="153" t="s">
        <v>13</v>
      </c>
      <c r="F8" s="192"/>
      <c r="G8" s="194"/>
      <c r="H8" s="26"/>
      <c r="I8" s="214" t="s">
        <v>364</v>
      </c>
      <c r="J8" s="214" t="s">
        <v>365</v>
      </c>
      <c r="K8" s="214" t="s">
        <v>366</v>
      </c>
      <c r="L8" s="214" t="s">
        <v>367</v>
      </c>
      <c r="M8" s="158" t="s">
        <v>368</v>
      </c>
      <c r="N8" s="158" t="s">
        <v>369</v>
      </c>
      <c r="O8" s="158" t="s">
        <v>370</v>
      </c>
      <c r="P8" s="26"/>
      <c r="Q8" s="26"/>
      <c r="R8" s="26"/>
      <c r="S8" s="2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</row>
    <row r="9" spans="1:33">
      <c r="A9" s="261" t="s">
        <v>6</v>
      </c>
      <c r="B9" s="261"/>
      <c r="C9" s="261"/>
      <c r="D9" s="25" t="s">
        <v>175</v>
      </c>
      <c r="E9" s="153" t="s">
        <v>10</v>
      </c>
      <c r="F9" s="192"/>
      <c r="G9" s="194"/>
      <c r="H9" s="26"/>
      <c r="I9" s="186"/>
      <c r="J9" s="186"/>
      <c r="K9" s="186"/>
      <c r="L9" s="186"/>
      <c r="M9" s="232"/>
      <c r="N9" s="232"/>
      <c r="O9" s="232"/>
      <c r="P9" s="26"/>
      <c r="Q9" s="26"/>
      <c r="R9" s="26"/>
      <c r="S9" s="26"/>
      <c r="U9" s="66"/>
      <c r="V9" s="66"/>
      <c r="W9" s="66"/>
      <c r="X9" s="66"/>
      <c r="Y9" s="66" t="s">
        <v>106</v>
      </c>
      <c r="Z9" s="66">
        <f>D44/2</f>
        <v>0.38755114014591485</v>
      </c>
      <c r="AA9" s="66"/>
      <c r="AB9" s="66"/>
      <c r="AC9" s="66"/>
      <c r="AD9" s="66"/>
      <c r="AE9" s="66"/>
      <c r="AF9" s="66"/>
      <c r="AG9" s="66"/>
    </row>
    <row r="10" spans="1:33">
      <c r="A10" s="261" t="s">
        <v>7</v>
      </c>
      <c r="B10" s="261"/>
      <c r="C10" s="261"/>
      <c r="D10" s="25" t="s">
        <v>176</v>
      </c>
      <c r="E10" s="153" t="s">
        <v>10</v>
      </c>
      <c r="F10" s="192"/>
      <c r="G10" s="194"/>
      <c r="H10" s="26"/>
      <c r="I10" s="2">
        <v>45</v>
      </c>
      <c r="J10" s="15" t="s">
        <v>301</v>
      </c>
      <c r="K10" s="2" t="s">
        <v>98</v>
      </c>
      <c r="L10" s="2" t="s">
        <v>99</v>
      </c>
      <c r="M10" s="2">
        <v>1100</v>
      </c>
      <c r="N10" s="2">
        <v>350</v>
      </c>
      <c r="O10" s="2">
        <v>1100</v>
      </c>
      <c r="P10" s="26"/>
      <c r="Q10" s="26"/>
      <c r="R10" s="26"/>
      <c r="S10" s="2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</row>
    <row r="11" spans="1:33">
      <c r="A11" s="261" t="s">
        <v>177</v>
      </c>
      <c r="B11" s="261"/>
      <c r="C11" s="261"/>
      <c r="D11" s="25" t="s">
        <v>15</v>
      </c>
      <c r="E11" s="153" t="s">
        <v>10</v>
      </c>
      <c r="F11" s="192"/>
      <c r="G11" s="194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12" spans="1:33" ht="15.75" thickBot="1">
      <c r="A12" s="261" t="s">
        <v>178</v>
      </c>
      <c r="B12" s="261"/>
      <c r="C12" s="261"/>
      <c r="D12" s="25" t="s">
        <v>14</v>
      </c>
      <c r="E12" s="153" t="s">
        <v>10</v>
      </c>
      <c r="F12" s="195"/>
      <c r="G12" s="197"/>
      <c r="H12" s="26"/>
      <c r="I12" s="26"/>
      <c r="J12" s="3"/>
      <c r="K12" s="26"/>
      <c r="L12" s="26"/>
      <c r="M12" s="26"/>
      <c r="N12" s="26"/>
      <c r="O12" s="26"/>
      <c r="P12" s="26"/>
      <c r="Q12" s="26"/>
      <c r="R12" s="26"/>
      <c r="S12" s="2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</row>
    <row r="13" spans="1:33" ht="16.5" thickTop="1" thickBot="1">
      <c r="A13" s="26"/>
      <c r="B13" s="26"/>
      <c r="C13" s="26"/>
      <c r="D13" s="26"/>
      <c r="E13" s="26"/>
      <c r="F13" s="26"/>
      <c r="G13" s="19"/>
      <c r="H13" s="26"/>
      <c r="I13" s="206" t="s">
        <v>22</v>
      </c>
      <c r="J13" s="207"/>
      <c r="K13" s="208"/>
      <c r="L13" s="26"/>
      <c r="M13" s="255" t="s">
        <v>117</v>
      </c>
      <c r="N13" s="203"/>
      <c r="O13" s="204"/>
      <c r="P13" s="26"/>
      <c r="Q13" s="26"/>
      <c r="R13" s="26"/>
      <c r="S13" s="2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</row>
    <row r="14" spans="1:33" ht="20.25" thickTop="1" thickBot="1">
      <c r="A14" s="198" t="s">
        <v>317</v>
      </c>
      <c r="B14" s="245"/>
      <c r="C14" s="245"/>
      <c r="D14" s="245"/>
      <c r="E14" s="246"/>
      <c r="F14" s="26"/>
      <c r="G14" s="19"/>
      <c r="H14" s="26"/>
      <c r="I14" s="69" t="s">
        <v>25</v>
      </c>
      <c r="J14" s="28">
        <v>1.5</v>
      </c>
      <c r="K14" s="5" t="s">
        <v>10</v>
      </c>
      <c r="L14" s="26"/>
      <c r="M14" s="73"/>
      <c r="N14" s="205" t="s">
        <v>118</v>
      </c>
      <c r="O14" s="205"/>
      <c r="P14" s="26"/>
      <c r="Q14" s="26"/>
      <c r="R14" s="26"/>
      <c r="S14" s="2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</row>
    <row r="15" spans="1:33" ht="18.75" thickTop="1">
      <c r="A15" s="304" t="s">
        <v>288</v>
      </c>
      <c r="B15" s="293"/>
      <c r="C15" s="293"/>
      <c r="D15" s="27">
        <f>$D$3*735.49875</f>
        <v>7354.9874999999993</v>
      </c>
      <c r="E15" s="5" t="s">
        <v>16</v>
      </c>
      <c r="F15" s="26"/>
      <c r="G15" s="19"/>
      <c r="H15" s="26"/>
      <c r="I15" s="5" t="s">
        <v>23</v>
      </c>
      <c r="J15" s="28">
        <v>1.6</v>
      </c>
      <c r="K15" s="5" t="s">
        <v>10</v>
      </c>
      <c r="L15" s="26"/>
      <c r="M15" s="2"/>
      <c r="N15" s="186" t="s">
        <v>119</v>
      </c>
      <c r="O15" s="186"/>
      <c r="P15" s="26"/>
      <c r="Q15" s="26"/>
      <c r="R15" s="26"/>
      <c r="S15" s="2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</row>
    <row r="16" spans="1:33" ht="18.75">
      <c r="A16" s="209" t="s">
        <v>289</v>
      </c>
      <c r="B16" s="186"/>
      <c r="C16" s="186"/>
      <c r="D16" s="29">
        <f>2*PI()*$D$4/60</f>
        <v>151.84364492350667</v>
      </c>
      <c r="E16" s="23" t="s">
        <v>17</v>
      </c>
      <c r="F16" s="26"/>
      <c r="G16" s="26"/>
      <c r="H16" s="26"/>
      <c r="I16" s="23" t="s">
        <v>24</v>
      </c>
      <c r="J16" s="14">
        <v>1</v>
      </c>
      <c r="K16" s="23" t="s">
        <v>10</v>
      </c>
      <c r="L16" s="26"/>
      <c r="M16" s="14"/>
      <c r="N16" s="186" t="s">
        <v>138</v>
      </c>
      <c r="O16" s="186"/>
      <c r="P16" s="26"/>
      <c r="Q16" s="26"/>
      <c r="R16" s="26"/>
      <c r="S16" s="2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</row>
    <row r="17" spans="1:26" ht="18.75">
      <c r="A17" s="261" t="s">
        <v>3</v>
      </c>
      <c r="B17" s="261"/>
      <c r="C17" s="261"/>
      <c r="D17" s="30">
        <f>$D$6*3600</f>
        <v>14400000</v>
      </c>
      <c r="E17" s="23" t="s">
        <v>12</v>
      </c>
      <c r="F17" s="26"/>
      <c r="G17" s="26"/>
      <c r="H17" s="26"/>
      <c r="I17" s="23" t="s">
        <v>25</v>
      </c>
      <c r="J17" s="31">
        <f>D75</f>
        <v>1.4640211137567212</v>
      </c>
      <c r="K17" s="23" t="s">
        <v>10</v>
      </c>
      <c r="L17" s="26"/>
      <c r="M17" s="32"/>
      <c r="N17" s="186" t="s">
        <v>121</v>
      </c>
      <c r="O17" s="186"/>
      <c r="P17" s="26"/>
      <c r="Q17" s="26"/>
      <c r="R17" s="26"/>
      <c r="S17" s="26"/>
      <c r="V17" s="1"/>
      <c r="W17" s="1"/>
      <c r="X17" s="1"/>
      <c r="Y17" s="1"/>
      <c r="Z17" s="9"/>
    </row>
    <row r="18" spans="1:26" ht="18.75">
      <c r="A18" s="159" t="s">
        <v>290</v>
      </c>
      <c r="B18" s="210"/>
      <c r="C18" s="185"/>
      <c r="D18" s="29">
        <f>D4/N92</f>
        <v>510.56338028169017</v>
      </c>
      <c r="E18" s="23" t="s">
        <v>9</v>
      </c>
      <c r="F18" s="26"/>
      <c r="G18" s="26"/>
      <c r="H18" s="26"/>
      <c r="I18" s="23" t="s">
        <v>26</v>
      </c>
      <c r="J18" s="14">
        <v>1</v>
      </c>
      <c r="K18" s="23" t="s">
        <v>10</v>
      </c>
      <c r="L18" s="26"/>
      <c r="M18" s="11"/>
      <c r="N18" s="186" t="s">
        <v>120</v>
      </c>
      <c r="O18" s="186"/>
      <c r="P18" s="26"/>
      <c r="Q18" s="26"/>
      <c r="R18" s="26"/>
      <c r="S18" s="26"/>
      <c r="Z18" s="13"/>
    </row>
    <row r="19" spans="1:26" ht="18">
      <c r="A19" s="159" t="s">
        <v>286</v>
      </c>
      <c r="B19" s="210"/>
      <c r="C19" s="185"/>
      <c r="D19" s="2">
        <v>1</v>
      </c>
      <c r="E19" s="62" t="s">
        <v>349</v>
      </c>
      <c r="F19" s="26"/>
      <c r="G19" s="26"/>
      <c r="H19" s="26"/>
      <c r="I19" s="23" t="s">
        <v>27</v>
      </c>
      <c r="J19" s="14">
        <v>1.65</v>
      </c>
      <c r="K19" s="23" t="s">
        <v>10</v>
      </c>
      <c r="L19" s="26"/>
      <c r="M19" s="33"/>
      <c r="N19" s="261" t="s">
        <v>139</v>
      </c>
      <c r="O19" s="261"/>
      <c r="P19" s="26"/>
      <c r="Q19" s="26"/>
      <c r="R19" s="26"/>
      <c r="S19" s="26"/>
      <c r="Z19" s="13"/>
    </row>
    <row r="20" spans="1:26" ht="18">
      <c r="A20" s="298" t="s">
        <v>291</v>
      </c>
      <c r="B20" s="299"/>
      <c r="C20" s="299"/>
      <c r="D20" s="123" t="s">
        <v>327</v>
      </c>
      <c r="E20" s="20" t="s">
        <v>10</v>
      </c>
      <c r="F20" s="26"/>
      <c r="G20" s="26"/>
      <c r="H20" s="26"/>
      <c r="I20" s="23" t="s">
        <v>28</v>
      </c>
      <c r="J20" s="29">
        <f>SQRT((0.35*J22))</f>
        <v>271.10883423451918</v>
      </c>
      <c r="K20" s="23" t="s">
        <v>10</v>
      </c>
      <c r="L20" s="26"/>
      <c r="M20" s="26"/>
      <c r="N20" s="26"/>
      <c r="O20" s="26"/>
      <c r="P20" s="26"/>
      <c r="Q20" s="26"/>
      <c r="R20" s="26"/>
      <c r="S20" s="26"/>
      <c r="Z20" s="13"/>
    </row>
    <row r="21" spans="1:26" ht="18.75">
      <c r="A21" s="209" t="s">
        <v>19</v>
      </c>
      <c r="B21" s="186"/>
      <c r="C21" s="186"/>
      <c r="D21" s="14">
        <v>20</v>
      </c>
      <c r="E21" s="20" t="s">
        <v>216</v>
      </c>
      <c r="F21" s="26"/>
      <c r="G21" s="26"/>
      <c r="H21" s="26"/>
      <c r="I21" s="23" t="s">
        <v>29</v>
      </c>
      <c r="J21" s="29">
        <f>SQRT(((W5)/(J14)))</f>
        <v>0.80721864416290312</v>
      </c>
      <c r="K21" s="23" t="s">
        <v>10</v>
      </c>
      <c r="L21" s="26"/>
      <c r="M21" s="26"/>
      <c r="N21" s="26"/>
      <c r="O21" s="26"/>
      <c r="P21" s="26"/>
      <c r="Q21" s="26"/>
      <c r="R21" s="26"/>
      <c r="S21" s="26"/>
      <c r="Z21" s="13"/>
    </row>
    <row r="22" spans="1:26" ht="15.75" thickBot="1">
      <c r="A22" s="186" t="s">
        <v>181</v>
      </c>
      <c r="B22" s="186"/>
      <c r="C22" s="186"/>
      <c r="D22" s="2">
        <v>13</v>
      </c>
      <c r="E22" s="111" t="s">
        <v>348</v>
      </c>
      <c r="F22" s="26"/>
      <c r="G22" s="26"/>
      <c r="H22" s="26"/>
      <c r="I22" s="7" t="s">
        <v>30</v>
      </c>
      <c r="J22" s="34">
        <v>210000</v>
      </c>
      <c r="K22" s="22" t="s">
        <v>31</v>
      </c>
      <c r="L22" s="26"/>
      <c r="M22" s="26"/>
      <c r="N22" s="26"/>
      <c r="O22" s="26"/>
      <c r="P22" s="26"/>
      <c r="Q22" s="26"/>
      <c r="R22" s="26"/>
      <c r="S22" s="26"/>
      <c r="Z22" s="13"/>
    </row>
    <row r="23" spans="1:26" ht="15" customHeight="1" thickTop="1" thickBot="1">
      <c r="A23" s="186" t="s">
        <v>19</v>
      </c>
      <c r="B23" s="186"/>
      <c r="C23" s="186"/>
      <c r="D23" s="11">
        <f>RADIANS($D$21)</f>
        <v>0.3490658503988659</v>
      </c>
      <c r="E23" s="23" t="s">
        <v>48</v>
      </c>
      <c r="F23" s="26"/>
      <c r="G23" s="26"/>
      <c r="H23" s="26"/>
      <c r="I23" s="6" t="s">
        <v>33</v>
      </c>
      <c r="J23" s="29">
        <f>(J24/J29)*J25*J26*J27*J28</f>
        <v>733.33333333333337</v>
      </c>
      <c r="K23" s="23" t="s">
        <v>31</v>
      </c>
      <c r="L23" s="26"/>
      <c r="M23" s="255" t="s">
        <v>116</v>
      </c>
      <c r="N23" s="203"/>
      <c r="O23" s="204"/>
      <c r="P23" s="26"/>
      <c r="Q23" s="26"/>
      <c r="R23" s="26"/>
      <c r="S23" s="26"/>
      <c r="Z23" s="13"/>
    </row>
    <row r="24" spans="1:26" ht="18.75" thickTop="1">
      <c r="A24" s="186" t="s">
        <v>181</v>
      </c>
      <c r="B24" s="186"/>
      <c r="C24" s="186"/>
      <c r="D24" s="11">
        <f>RADIANS($D$22)</f>
        <v>0.22689280275926285</v>
      </c>
      <c r="E24" s="23" t="s">
        <v>48</v>
      </c>
      <c r="F24" s="26"/>
      <c r="G24" s="26"/>
      <c r="H24" s="26"/>
      <c r="I24" s="23" t="s">
        <v>134</v>
      </c>
      <c r="J24" s="14">
        <f>M10</f>
        <v>1100</v>
      </c>
      <c r="K24" s="23" t="s">
        <v>31</v>
      </c>
      <c r="L24" s="26"/>
      <c r="M24" s="74" t="s">
        <v>203</v>
      </c>
      <c r="N24" s="70">
        <f>W4</f>
        <v>0.21299160599715944</v>
      </c>
      <c r="O24" s="69" t="s">
        <v>48</v>
      </c>
      <c r="P24" s="26"/>
      <c r="Q24" s="26"/>
      <c r="R24" s="26"/>
      <c r="S24" s="26"/>
      <c r="Z24" s="13"/>
    </row>
    <row r="25" spans="1:26" ht="18">
      <c r="A25" s="26"/>
      <c r="B25" s="26"/>
      <c r="C25" s="26"/>
      <c r="D25" s="26"/>
      <c r="E25" s="26"/>
      <c r="F25" s="26"/>
      <c r="G25" s="26"/>
      <c r="H25" s="26"/>
      <c r="I25" s="23" t="s">
        <v>36</v>
      </c>
      <c r="J25" s="14">
        <v>1</v>
      </c>
      <c r="K25" s="23" t="s">
        <v>10</v>
      </c>
      <c r="L25" s="26"/>
      <c r="M25" s="23" t="s">
        <v>200</v>
      </c>
      <c r="N25" s="11">
        <f>W5</f>
        <v>0.97740290922629336</v>
      </c>
      <c r="O25" s="23" t="s">
        <v>10</v>
      </c>
      <c r="P25" s="26"/>
      <c r="Q25" s="26"/>
      <c r="R25" s="26"/>
      <c r="S25" s="26"/>
    </row>
    <row r="26" spans="1:26" ht="18.75" thickBot="1">
      <c r="A26" s="297" t="s">
        <v>292</v>
      </c>
      <c r="B26" s="275"/>
      <c r="C26" s="275"/>
      <c r="D26" s="8">
        <f>($D$15)/($D$16)</f>
        <v>48.437901393273165</v>
      </c>
      <c r="E26" s="23" t="s">
        <v>39</v>
      </c>
      <c r="F26" s="26"/>
      <c r="G26" s="26"/>
      <c r="H26" s="26"/>
      <c r="I26" s="23" t="s">
        <v>37</v>
      </c>
      <c r="J26" s="14">
        <v>1</v>
      </c>
      <c r="K26" s="23" t="s">
        <v>10</v>
      </c>
      <c r="L26" s="26"/>
      <c r="M26" s="3"/>
      <c r="N26" s="3"/>
      <c r="O26" s="26"/>
      <c r="P26" s="26"/>
      <c r="Q26" s="26"/>
      <c r="R26" s="26"/>
      <c r="S26" s="26"/>
    </row>
    <row r="27" spans="1:26" ht="19.5" thickTop="1" thickBot="1">
      <c r="A27" s="184" t="s">
        <v>20</v>
      </c>
      <c r="B27" s="210"/>
      <c r="C27" s="185"/>
      <c r="D27" s="2">
        <v>25</v>
      </c>
      <c r="E27" s="101" t="s">
        <v>342</v>
      </c>
      <c r="F27" s="26"/>
      <c r="G27" s="26"/>
      <c r="H27" s="26"/>
      <c r="I27" s="6" t="s">
        <v>34</v>
      </c>
      <c r="J27" s="14">
        <v>1</v>
      </c>
      <c r="K27" s="23" t="s">
        <v>10</v>
      </c>
      <c r="L27" s="26"/>
      <c r="M27" s="244" t="s">
        <v>115</v>
      </c>
      <c r="N27" s="246"/>
      <c r="O27" s="26"/>
      <c r="P27" s="26"/>
      <c r="Q27" s="26"/>
      <c r="R27" s="26"/>
      <c r="S27" s="26"/>
    </row>
    <row r="28" spans="1:26" ht="18.75" thickTop="1">
      <c r="A28" s="26"/>
      <c r="B28" s="26"/>
      <c r="C28" s="26"/>
      <c r="D28" s="26"/>
      <c r="E28" s="26"/>
      <c r="F28" s="26"/>
      <c r="G28" s="26"/>
      <c r="H28" s="26"/>
      <c r="I28" s="6" t="s">
        <v>35</v>
      </c>
      <c r="J28" s="14">
        <v>1</v>
      </c>
      <c r="K28" s="23" t="s">
        <v>10</v>
      </c>
      <c r="L28" s="26"/>
      <c r="M28" s="69" t="s">
        <v>179</v>
      </c>
      <c r="N28" s="71">
        <f>Z9</f>
        <v>0.38755114014591485</v>
      </c>
      <c r="O28" s="26"/>
      <c r="P28" s="26"/>
      <c r="Q28" s="26"/>
      <c r="R28" s="26"/>
      <c r="S28" s="26"/>
    </row>
    <row r="29" spans="1:26" ht="18">
      <c r="A29" s="300" t="s">
        <v>38</v>
      </c>
      <c r="B29" s="301"/>
      <c r="C29" s="201"/>
      <c r="D29" s="29">
        <f>(((((((2*$D$26*1000*$J$15*$J$16*$J$14*$J$18*($J$19*$J$20*$J$21)^2))/((($D$19*$J$23*$J$23))))))*((($D$5+1)/($D$5)))))^(1/3)</f>
        <v>42.451752315409394</v>
      </c>
      <c r="E29" s="23" t="s">
        <v>21</v>
      </c>
      <c r="F29" s="26"/>
      <c r="G29" s="26"/>
      <c r="H29" s="26"/>
      <c r="I29" s="6" t="s">
        <v>90</v>
      </c>
      <c r="J29" s="14">
        <v>1.5</v>
      </c>
      <c r="K29" s="23" t="s">
        <v>10</v>
      </c>
      <c r="L29" s="26"/>
      <c r="M29" s="155" t="s">
        <v>180</v>
      </c>
      <c r="N29" s="29">
        <f>Z7</f>
        <v>51.566784315959836</v>
      </c>
      <c r="O29" s="26"/>
      <c r="P29" s="26"/>
      <c r="Q29" s="26"/>
      <c r="R29" s="26"/>
      <c r="S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26" ht="18.75" thickBot="1">
      <c r="A31" s="184" t="s">
        <v>40</v>
      </c>
      <c r="B31" s="210"/>
      <c r="C31" s="185"/>
      <c r="D31" s="29">
        <f>($D$29/$D$27)*COS($D$24)</f>
        <v>1.6545486661524884</v>
      </c>
      <c r="E31" s="23" t="s">
        <v>21</v>
      </c>
      <c r="F31" s="35"/>
      <c r="G31" s="26"/>
      <c r="H31" s="26"/>
      <c r="I31" s="36"/>
      <c r="J31" s="36"/>
      <c r="K31" s="36"/>
      <c r="L31" s="26"/>
      <c r="M31" s="36"/>
      <c r="N31" s="36"/>
      <c r="O31" s="36"/>
      <c r="P31" s="26"/>
      <c r="Q31" s="26"/>
      <c r="R31" s="26"/>
      <c r="S31" s="26"/>
    </row>
    <row r="32" spans="1:26" ht="19.5" thickTop="1" thickBot="1">
      <c r="A32" s="184" t="s">
        <v>41</v>
      </c>
      <c r="B32" s="210"/>
      <c r="C32" s="185"/>
      <c r="D32" s="2">
        <v>2</v>
      </c>
      <c r="E32" s="23" t="s">
        <v>21</v>
      </c>
      <c r="F32" s="23" t="s">
        <v>42</v>
      </c>
      <c r="G32" s="26"/>
      <c r="H32" s="26"/>
      <c r="I32" s="244" t="s">
        <v>174</v>
      </c>
      <c r="J32" s="245"/>
      <c r="K32" s="245"/>
      <c r="L32" s="245"/>
      <c r="M32" s="245"/>
      <c r="N32" s="246"/>
      <c r="O32" s="26"/>
      <c r="P32" s="26"/>
      <c r="Q32" s="26"/>
      <c r="R32" s="26"/>
      <c r="S32" s="26"/>
    </row>
    <row r="33" spans="1:19" ht="18.75" thickTop="1">
      <c r="A33" s="159" t="s">
        <v>293</v>
      </c>
      <c r="B33" s="210"/>
      <c r="C33" s="185"/>
      <c r="D33" s="11">
        <f>$D$27*$D$5</f>
        <v>70</v>
      </c>
      <c r="E33" s="23" t="s">
        <v>10</v>
      </c>
      <c r="F33" s="26"/>
      <c r="G33" s="26"/>
      <c r="H33" s="26"/>
      <c r="I33" s="5" t="s">
        <v>170</v>
      </c>
      <c r="J33" s="27">
        <f>M33*(D15/1000)*(((0.1/(D27*COS(D22))))+((0.03/(2+J34))))</f>
        <v>0.76829003235922488</v>
      </c>
      <c r="K33" s="75" t="s">
        <v>167</v>
      </c>
      <c r="L33" s="76" t="s">
        <v>168</v>
      </c>
      <c r="M33" s="28">
        <v>11</v>
      </c>
      <c r="N33" s="77" t="s">
        <v>169</v>
      </c>
      <c r="O33" s="26"/>
      <c r="P33" s="26"/>
      <c r="Q33" s="26"/>
      <c r="R33" s="26"/>
      <c r="S33" s="26"/>
    </row>
    <row r="34" spans="1:19" ht="14.45" customHeight="1">
      <c r="A34" s="184" t="s">
        <v>43</v>
      </c>
      <c r="B34" s="210"/>
      <c r="C34" s="185"/>
      <c r="D34" s="29">
        <f>(($D$5-($D$35/$D$27))/$D$5)*100</f>
        <v>-1.4285714285714299</v>
      </c>
      <c r="E34" s="10" t="s">
        <v>44</v>
      </c>
      <c r="F34" s="112" t="s">
        <v>371</v>
      </c>
      <c r="G34" s="21" t="str">
        <f>IF(AND(-2.5&lt;=D34,D34&lt;=2.5),"OK","BLAD")</f>
        <v>OK</v>
      </c>
      <c r="H34" s="26"/>
      <c r="I34" s="232" t="s">
        <v>201</v>
      </c>
      <c r="J34" s="281">
        <f>D16*(D55*0.001/2)</f>
        <v>3.8959439131829017</v>
      </c>
      <c r="K34" s="280" t="s">
        <v>171</v>
      </c>
      <c r="L34" s="274" t="s">
        <v>172</v>
      </c>
      <c r="M34" s="2">
        <v>3</v>
      </c>
      <c r="N34" s="38" t="s">
        <v>173</v>
      </c>
      <c r="O34" s="26"/>
      <c r="P34" s="26"/>
      <c r="Q34" s="26"/>
      <c r="R34" s="26"/>
      <c r="S34" s="26"/>
    </row>
    <row r="35" spans="1:19" ht="18">
      <c r="A35" s="159" t="s">
        <v>294</v>
      </c>
      <c r="B35" s="210"/>
      <c r="C35" s="185"/>
      <c r="D35" s="2">
        <v>71</v>
      </c>
      <c r="E35" s="23" t="s">
        <v>10</v>
      </c>
      <c r="F35" s="23" t="s">
        <v>204</v>
      </c>
      <c r="G35" s="26"/>
      <c r="H35" s="26"/>
      <c r="I35" s="232"/>
      <c r="J35" s="282"/>
      <c r="K35" s="280"/>
      <c r="L35" s="272"/>
      <c r="M35" s="302">
        <f>M34*D32</f>
        <v>6</v>
      </c>
      <c r="N35" s="275" t="s">
        <v>21</v>
      </c>
      <c r="O35" s="26"/>
      <c r="P35" s="26"/>
      <c r="Q35" s="26"/>
      <c r="R35" s="26"/>
      <c r="S35" s="26"/>
    </row>
    <row r="36" spans="1:19">
      <c r="A36" s="3"/>
      <c r="B36" s="3"/>
      <c r="C36" s="3"/>
      <c r="D36" s="3"/>
      <c r="E36" s="3"/>
      <c r="F36" s="26"/>
      <c r="G36" s="26"/>
      <c r="H36" s="26"/>
      <c r="I36" s="232"/>
      <c r="J36" s="283"/>
      <c r="K36" s="280"/>
      <c r="L36" s="273"/>
      <c r="M36" s="303"/>
      <c r="N36" s="205"/>
      <c r="O36" s="26"/>
      <c r="P36" s="26"/>
      <c r="Q36" s="26"/>
      <c r="R36" s="26"/>
      <c r="S36" s="26"/>
    </row>
    <row r="37" spans="1:19" ht="18.75" thickBot="1">
      <c r="A37" s="184" t="s">
        <v>45</v>
      </c>
      <c r="B37" s="210"/>
      <c r="C37" s="185"/>
      <c r="D37" s="29">
        <f>(($D$27+$D$35)*$D$32)/(2*COS($D$24))</f>
        <v>98.525194348165584</v>
      </c>
      <c r="E37" s="23" t="s">
        <v>21</v>
      </c>
      <c r="F37" s="275" t="s">
        <v>198</v>
      </c>
      <c r="G37" s="276" t="str">
        <f>IF(D37&lt;D38,"OK","BLAD")</f>
        <v>OK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ht="19.5" thickTop="1" thickBot="1">
      <c r="A38" s="184" t="s">
        <v>46</v>
      </c>
      <c r="B38" s="210"/>
      <c r="C38" s="185"/>
      <c r="D38" s="2">
        <v>100</v>
      </c>
      <c r="E38" s="6" t="s">
        <v>21</v>
      </c>
      <c r="F38" s="205"/>
      <c r="G38" s="277"/>
      <c r="H38" s="26"/>
      <c r="I38" s="255" t="s">
        <v>183</v>
      </c>
      <c r="J38" s="203"/>
      <c r="K38" s="268"/>
      <c r="L38" s="255" t="s">
        <v>182</v>
      </c>
      <c r="M38" s="203"/>
      <c r="N38" s="203"/>
      <c r="O38" s="204"/>
      <c r="P38" s="26"/>
      <c r="Q38" s="26"/>
      <c r="R38" s="26"/>
      <c r="S38" s="26"/>
    </row>
    <row r="39" spans="1:19" ht="18.75" thickTop="1">
      <c r="A39" s="3"/>
      <c r="B39" s="3"/>
      <c r="C39" s="3"/>
      <c r="D39" s="3"/>
      <c r="E39" s="3"/>
      <c r="F39" s="26"/>
      <c r="G39" s="26"/>
      <c r="H39" s="26"/>
      <c r="I39" s="69" t="s">
        <v>129</v>
      </c>
      <c r="J39" s="28" t="s">
        <v>130</v>
      </c>
      <c r="K39" s="75" t="s">
        <v>10</v>
      </c>
      <c r="L39" s="272" t="s">
        <v>124</v>
      </c>
      <c r="M39" s="69" t="s">
        <v>126</v>
      </c>
      <c r="N39" s="69" t="s">
        <v>127</v>
      </c>
      <c r="O39" s="69" t="s">
        <v>128</v>
      </c>
      <c r="P39" s="26"/>
      <c r="Q39" s="26"/>
      <c r="R39" s="26"/>
      <c r="S39" s="26"/>
    </row>
    <row r="40" spans="1:19" ht="18">
      <c r="A40" s="184" t="s">
        <v>47</v>
      </c>
      <c r="B40" s="210"/>
      <c r="C40" s="185"/>
      <c r="D40" s="39">
        <f>ATAN(TAN(D23)/COS(D24))</f>
        <v>0.35749369508151713</v>
      </c>
      <c r="E40" s="107" t="s">
        <v>340</v>
      </c>
      <c r="F40" s="26"/>
      <c r="G40" s="26"/>
      <c r="H40" s="26"/>
      <c r="I40" s="23" t="s">
        <v>132</v>
      </c>
      <c r="J40" s="2">
        <v>300</v>
      </c>
      <c r="K40" s="37" t="s">
        <v>31</v>
      </c>
      <c r="L40" s="273"/>
      <c r="M40" s="2">
        <v>230</v>
      </c>
      <c r="N40" s="2">
        <v>64</v>
      </c>
      <c r="O40" s="2">
        <v>64</v>
      </c>
      <c r="P40" s="26"/>
      <c r="Q40" s="26"/>
      <c r="R40" s="26"/>
      <c r="S40" s="26"/>
    </row>
    <row r="41" spans="1:19" ht="18">
      <c r="A41" s="159" t="s">
        <v>295</v>
      </c>
      <c r="B41" s="210"/>
      <c r="C41" s="185"/>
      <c r="D41" s="40">
        <f>ACOS((D37/D38)*COS(D40))</f>
        <v>0.39509201350076584</v>
      </c>
      <c r="E41" s="107" t="s">
        <v>340</v>
      </c>
      <c r="F41" s="26"/>
      <c r="G41" s="26"/>
      <c r="H41" s="26"/>
      <c r="I41" s="23" t="s">
        <v>131</v>
      </c>
      <c r="J41" s="2">
        <v>250</v>
      </c>
      <c r="K41" s="37" t="s">
        <v>31</v>
      </c>
      <c r="L41" s="274" t="s">
        <v>125</v>
      </c>
      <c r="M41" s="23" t="s">
        <v>126</v>
      </c>
      <c r="N41" s="23" t="s">
        <v>127</v>
      </c>
      <c r="O41" s="23" t="s">
        <v>128</v>
      </c>
      <c r="P41" s="26"/>
      <c r="Q41" s="26"/>
      <c r="R41" s="26"/>
      <c r="S41" s="26"/>
    </row>
    <row r="42" spans="1:19" ht="18">
      <c r="A42" s="184" t="s">
        <v>47</v>
      </c>
      <c r="B42" s="210"/>
      <c r="C42" s="185"/>
      <c r="D42" s="41">
        <f>DEGREES(D40)</f>
        <v>20.482879930707689</v>
      </c>
      <c r="E42" s="107" t="s">
        <v>216</v>
      </c>
      <c r="F42" s="26"/>
      <c r="G42" s="26"/>
      <c r="H42" s="26"/>
      <c r="I42" s="23" t="s">
        <v>133</v>
      </c>
      <c r="J42" s="2">
        <v>2</v>
      </c>
      <c r="K42" s="37" t="s">
        <v>10</v>
      </c>
      <c r="L42" s="273"/>
      <c r="M42" s="2">
        <v>64</v>
      </c>
      <c r="N42" s="2">
        <v>64</v>
      </c>
      <c r="O42" s="2">
        <v>230</v>
      </c>
      <c r="P42" s="26"/>
      <c r="Q42" s="26"/>
      <c r="R42" s="26"/>
      <c r="S42" s="26"/>
    </row>
    <row r="43" spans="1:19" ht="18">
      <c r="A43" s="159" t="s">
        <v>296</v>
      </c>
      <c r="B43" s="210"/>
      <c r="C43" s="185"/>
      <c r="D43" s="41">
        <f>DEGREES(D41)</f>
        <v>22.637104892919623</v>
      </c>
      <c r="E43" s="107" t="s">
        <v>216</v>
      </c>
      <c r="F43" s="26"/>
      <c r="G43" s="26"/>
      <c r="H43" s="26"/>
      <c r="I43" s="312" t="s">
        <v>372</v>
      </c>
      <c r="J43" s="313"/>
      <c r="K43" s="274"/>
      <c r="L43" s="26"/>
      <c r="M43" s="26"/>
      <c r="N43" s="26"/>
      <c r="O43" s="26"/>
      <c r="P43" s="26"/>
      <c r="Q43" s="26"/>
      <c r="R43" s="26"/>
      <c r="S43" s="26"/>
    </row>
    <row r="44" spans="1:19" ht="18">
      <c r="A44" s="159" t="s">
        <v>297</v>
      </c>
      <c r="B44" s="210"/>
      <c r="C44" s="185"/>
      <c r="D44" s="29">
        <f>(D46-D45)*((D27+D35)/(2*TAN(D23)))</f>
        <v>0.7751022802918297</v>
      </c>
      <c r="E44" s="23" t="s">
        <v>21</v>
      </c>
      <c r="F44" s="23" t="s">
        <v>105</v>
      </c>
      <c r="G44" s="21" t="str">
        <f>IF(AND(0.3&lt;=D44,D44&lt;=0.9),"OK","BLAD")</f>
        <v>OK</v>
      </c>
      <c r="H44" s="26"/>
      <c r="I44" s="314"/>
      <c r="J44" s="315"/>
      <c r="K44" s="272"/>
      <c r="L44" s="26"/>
      <c r="M44" s="26"/>
      <c r="N44" s="26"/>
      <c r="O44" s="26"/>
      <c r="P44" s="26"/>
      <c r="Q44" s="26"/>
      <c r="R44" s="26"/>
      <c r="S44" s="26"/>
    </row>
    <row r="45" spans="1:19" ht="18">
      <c r="A45" s="184" t="s">
        <v>50</v>
      </c>
      <c r="B45" s="210"/>
      <c r="C45" s="185"/>
      <c r="D45" s="39">
        <f>TAN(D40)-D40</f>
        <v>1.6050451460409398E-2</v>
      </c>
      <c r="E45" s="62" t="s">
        <v>340</v>
      </c>
      <c r="F45" s="26"/>
      <c r="G45" s="26"/>
      <c r="H45" s="26"/>
      <c r="I45" s="316"/>
      <c r="J45" s="317"/>
      <c r="K45" s="273"/>
      <c r="L45" s="26"/>
      <c r="M45" s="26"/>
      <c r="N45" s="26"/>
      <c r="O45" s="26"/>
      <c r="P45" s="26"/>
      <c r="Q45" s="26"/>
      <c r="R45" s="26"/>
      <c r="S45" s="26"/>
    </row>
    <row r="46" spans="1:19" ht="18">
      <c r="A46" s="184" t="s">
        <v>49</v>
      </c>
      <c r="B46" s="210"/>
      <c r="C46" s="185"/>
      <c r="D46" s="39">
        <f>TAN(D41)-D41</f>
        <v>2.1927829763286166E-2</v>
      </c>
      <c r="E46" s="62" t="s">
        <v>340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ht="18">
      <c r="A47" s="278" t="s">
        <v>298</v>
      </c>
      <c r="B47" s="261"/>
      <c r="C47" s="261"/>
      <c r="D47" s="29">
        <f>(D38-D37)/D32</f>
        <v>0.73740282591720785</v>
      </c>
      <c r="E47" s="6" t="s">
        <v>21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 ht="15.75" thickBo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ht="19.5" thickTop="1" thickBot="1">
      <c r="A49" s="23" t="s">
        <v>76</v>
      </c>
      <c r="B49" s="14">
        <f>D27</f>
        <v>25</v>
      </c>
      <c r="C49" s="26"/>
      <c r="D49" s="6" t="s">
        <v>101</v>
      </c>
      <c r="E49" s="14">
        <f>D35</f>
        <v>71</v>
      </c>
      <c r="F49" s="26"/>
      <c r="G49" s="23" t="s">
        <v>103</v>
      </c>
      <c r="H49" s="29">
        <f>Z4</f>
        <v>26.857700164562413</v>
      </c>
      <c r="I49" s="26"/>
      <c r="J49" s="198" t="s">
        <v>315</v>
      </c>
      <c r="K49" s="245"/>
      <c r="L49" s="245"/>
      <c r="M49" s="245"/>
      <c r="N49" s="245"/>
      <c r="O49" s="246"/>
      <c r="P49" s="26"/>
      <c r="Q49" s="26"/>
      <c r="R49" s="26"/>
      <c r="S49" s="26"/>
    </row>
    <row r="50" spans="1:19" ht="19.5" thickTop="1" thickBot="1">
      <c r="A50" s="23" t="s">
        <v>100</v>
      </c>
      <c r="B50" s="2">
        <v>0.42</v>
      </c>
      <c r="C50" s="26"/>
      <c r="D50" s="6" t="s">
        <v>102</v>
      </c>
      <c r="E50" s="29">
        <f>D44-B50</f>
        <v>0.35510228029182972</v>
      </c>
      <c r="F50" s="26"/>
      <c r="G50" s="22" t="s">
        <v>104</v>
      </c>
      <c r="H50" s="42">
        <f>Z5</f>
        <v>76.275868467357256</v>
      </c>
      <c r="I50" s="26"/>
      <c r="J50" s="279"/>
      <c r="K50" s="279"/>
      <c r="L50" s="279"/>
      <c r="M50" s="279"/>
      <c r="N50" s="279"/>
      <c r="O50" s="279"/>
      <c r="P50" s="26"/>
      <c r="Q50" s="26"/>
      <c r="R50" s="26"/>
      <c r="S50" s="26"/>
    </row>
    <row r="51" spans="1:19" ht="16.5" thickTop="1" thickBot="1">
      <c r="A51" s="26"/>
      <c r="B51" s="26"/>
      <c r="C51" s="26"/>
      <c r="D51" s="26"/>
      <c r="E51" s="26"/>
      <c r="F51" s="111" t="s">
        <v>299</v>
      </c>
      <c r="G51" s="34">
        <v>120</v>
      </c>
      <c r="H51" s="68" t="s">
        <v>21</v>
      </c>
      <c r="I51" s="26"/>
      <c r="J51" s="279"/>
      <c r="K51" s="279"/>
      <c r="L51" s="279"/>
      <c r="M51" s="279"/>
      <c r="N51" s="279"/>
      <c r="O51" s="279"/>
      <c r="P51" s="26"/>
      <c r="Q51" s="26"/>
      <c r="R51" s="26"/>
      <c r="S51" s="26"/>
    </row>
    <row r="52" spans="1:19" ht="19.5" thickTop="1" thickBot="1">
      <c r="A52" s="271" t="s">
        <v>59</v>
      </c>
      <c r="B52" s="271"/>
      <c r="C52" s="271"/>
      <c r="D52" s="29">
        <f>D37+D32*D44</f>
        <v>100.07539890874925</v>
      </c>
      <c r="E52" s="45" t="s">
        <v>21</v>
      </c>
      <c r="F52" s="198" t="s">
        <v>214</v>
      </c>
      <c r="G52" s="245"/>
      <c r="H52" s="246"/>
      <c r="I52" s="26"/>
      <c r="J52" s="279"/>
      <c r="K52" s="279"/>
      <c r="L52" s="279"/>
      <c r="M52" s="279"/>
      <c r="N52" s="279"/>
      <c r="O52" s="279"/>
      <c r="P52" s="26"/>
      <c r="Q52" s="26"/>
      <c r="R52" s="26"/>
      <c r="S52" s="26"/>
    </row>
    <row r="53" spans="1:19" ht="19.5" thickTop="1" thickBot="1">
      <c r="A53" s="271" t="s">
        <v>58</v>
      </c>
      <c r="B53" s="271"/>
      <c r="C53" s="271"/>
      <c r="D53" s="29">
        <f>(D52-D38)/D32</f>
        <v>3.7699454374624963E-2</v>
      </c>
      <c r="E53" s="43" t="s">
        <v>10</v>
      </c>
      <c r="F53" s="69" t="s">
        <v>156</v>
      </c>
      <c r="G53" s="71">
        <f>D64*(D58/2)</f>
        <v>48437.901393273169</v>
      </c>
      <c r="H53" s="69" t="s">
        <v>155</v>
      </c>
      <c r="I53" s="26"/>
      <c r="J53" s="279"/>
      <c r="K53" s="279"/>
      <c r="L53" s="279"/>
      <c r="M53" s="279"/>
      <c r="N53" s="279"/>
      <c r="O53" s="279"/>
      <c r="P53" s="26"/>
      <c r="Q53" s="26"/>
      <c r="R53" s="26"/>
      <c r="S53" s="26"/>
    </row>
    <row r="54" spans="1:19" ht="19.5" thickTop="1" thickBot="1">
      <c r="A54" s="44"/>
      <c r="B54" s="44"/>
      <c r="C54" s="44"/>
      <c r="D54" s="44"/>
      <c r="E54" s="44"/>
      <c r="F54" s="107" t="s">
        <v>310</v>
      </c>
      <c r="G54" s="29">
        <f>2*G53/G51</f>
        <v>807.29835655455281</v>
      </c>
      <c r="H54" s="23" t="s">
        <v>57</v>
      </c>
      <c r="I54" s="26"/>
      <c r="J54" s="279"/>
      <c r="K54" s="279"/>
      <c r="L54" s="279"/>
      <c r="M54" s="279"/>
      <c r="N54" s="279"/>
      <c r="O54" s="279"/>
      <c r="P54" s="26"/>
      <c r="Q54" s="26"/>
      <c r="R54" s="26"/>
      <c r="S54" s="26"/>
    </row>
    <row r="55" spans="1:19" ht="19.5" thickTop="1" thickBot="1">
      <c r="A55" s="271" t="s">
        <v>51</v>
      </c>
      <c r="B55" s="271"/>
      <c r="C55" s="271"/>
      <c r="D55" s="29">
        <f>(B49*D32)/(COS(D24))</f>
        <v>51.315205389669579</v>
      </c>
      <c r="E55" s="43" t="s">
        <v>21</v>
      </c>
      <c r="F55" s="1" t="s">
        <v>311</v>
      </c>
      <c r="G55" s="29">
        <f>G54/2</f>
        <v>403.64917827727641</v>
      </c>
      <c r="H55" s="23" t="s">
        <v>57</v>
      </c>
      <c r="I55" s="26"/>
      <c r="J55" s="279"/>
      <c r="K55" s="279"/>
      <c r="L55" s="279"/>
      <c r="M55" s="279"/>
      <c r="N55" s="279"/>
      <c r="O55" s="279"/>
      <c r="P55" s="26"/>
      <c r="Q55" s="26"/>
      <c r="R55" s="26"/>
      <c r="S55" s="26"/>
    </row>
    <row r="56" spans="1:19" ht="19.5" thickTop="1" thickBot="1">
      <c r="A56" s="271" t="s">
        <v>52</v>
      </c>
      <c r="B56" s="271"/>
      <c r="C56" s="271"/>
      <c r="D56" s="29">
        <f>(E49*D32)/(COS(D24))</f>
        <v>145.73518330666161</v>
      </c>
      <c r="E56" s="43" t="s">
        <v>21</v>
      </c>
      <c r="F56" s="23" t="s">
        <v>156</v>
      </c>
      <c r="G56" s="29">
        <f>D64*(D59/2)</f>
        <v>137563.63995689579</v>
      </c>
      <c r="H56" s="23" t="s">
        <v>155</v>
      </c>
      <c r="I56" s="26"/>
      <c r="J56" s="279"/>
      <c r="K56" s="279"/>
      <c r="L56" s="279"/>
      <c r="M56" s="279"/>
      <c r="N56" s="279"/>
      <c r="O56" s="279"/>
      <c r="P56" s="26"/>
      <c r="Q56" s="26"/>
      <c r="R56" s="26"/>
      <c r="S56" s="26"/>
    </row>
    <row r="57" spans="1:19" ht="19.5" thickTop="1" thickBot="1">
      <c r="A57" s="44"/>
      <c r="B57" s="44"/>
      <c r="C57" s="44"/>
      <c r="D57" s="44"/>
      <c r="E57" s="44"/>
      <c r="F57" s="111" t="s">
        <v>312</v>
      </c>
      <c r="G57" s="29">
        <f>2*G56/G59</f>
        <v>5502.5455982758313</v>
      </c>
      <c r="H57" s="23" t="s">
        <v>57</v>
      </c>
      <c r="I57" s="26"/>
      <c r="J57" s="279"/>
      <c r="K57" s="279"/>
      <c r="L57" s="279"/>
      <c r="M57" s="279"/>
      <c r="N57" s="279"/>
      <c r="O57" s="279"/>
      <c r="P57" s="26"/>
      <c r="Q57" s="19"/>
      <c r="R57" s="26"/>
      <c r="S57" s="26"/>
    </row>
    <row r="58" spans="1:19" ht="19.5" thickTop="1" thickBot="1">
      <c r="A58" s="271" t="s">
        <v>53</v>
      </c>
      <c r="B58" s="271"/>
      <c r="C58" s="271"/>
      <c r="D58" s="29">
        <f>2*(D38/(1+(D35/D27)))</f>
        <v>52.083333333333336</v>
      </c>
      <c r="E58" s="45" t="s">
        <v>21</v>
      </c>
      <c r="F58" s="107" t="s">
        <v>313</v>
      </c>
      <c r="G58" s="46">
        <f>G57/2</f>
        <v>2751.2727991379156</v>
      </c>
      <c r="H58" s="23" t="s">
        <v>57</v>
      </c>
      <c r="I58" s="26"/>
      <c r="J58" s="279"/>
      <c r="K58" s="279"/>
      <c r="L58" s="279"/>
      <c r="M58" s="279"/>
      <c r="N58" s="279"/>
      <c r="O58" s="279"/>
      <c r="P58" s="26"/>
      <c r="Q58" s="19"/>
      <c r="R58" s="26"/>
      <c r="S58" s="26"/>
    </row>
    <row r="59" spans="1:19" ht="19.5" thickTop="1" thickBot="1">
      <c r="A59" s="271" t="s">
        <v>54</v>
      </c>
      <c r="B59" s="271"/>
      <c r="C59" s="271"/>
      <c r="D59" s="29">
        <f>2*(D38/((1+(D35/D27))/(D35/D27)))</f>
        <v>147.91666666666666</v>
      </c>
      <c r="E59" s="43" t="s">
        <v>21</v>
      </c>
      <c r="F59" s="62" t="s">
        <v>300</v>
      </c>
      <c r="G59" s="2">
        <v>50</v>
      </c>
      <c r="H59" s="6" t="s">
        <v>21</v>
      </c>
      <c r="I59" s="26"/>
      <c r="J59" s="279"/>
      <c r="K59" s="279"/>
      <c r="L59" s="279"/>
      <c r="M59" s="279"/>
      <c r="N59" s="279"/>
      <c r="O59" s="279"/>
      <c r="P59" s="26"/>
      <c r="Q59" s="19"/>
      <c r="R59" s="26"/>
      <c r="S59" s="26"/>
    </row>
    <row r="60" spans="1:19" ht="19.5" thickTop="1" thickBot="1">
      <c r="A60" s="270" t="s">
        <v>141</v>
      </c>
      <c r="B60" s="271"/>
      <c r="C60" s="271"/>
      <c r="D60" s="47">
        <f>0.5*(D58 + D59)</f>
        <v>100</v>
      </c>
      <c r="E60" s="43" t="s">
        <v>21</v>
      </c>
      <c r="F60" s="109" t="s">
        <v>142</v>
      </c>
      <c r="G60" s="110" t="str">
        <f>IF(D60=D38,"OK","BLAD")</f>
        <v>OK</v>
      </c>
      <c r="H60" s="26"/>
      <c r="I60" s="26"/>
      <c r="J60" s="279"/>
      <c r="K60" s="279"/>
      <c r="L60" s="279"/>
      <c r="M60" s="279"/>
      <c r="N60" s="279"/>
      <c r="O60" s="279"/>
      <c r="P60" s="26"/>
      <c r="Q60" s="19"/>
      <c r="R60" s="26"/>
      <c r="S60" s="26"/>
    </row>
    <row r="61" spans="1:19" ht="20.25" thickTop="1" thickBot="1">
      <c r="A61" s="271" t="s">
        <v>56</v>
      </c>
      <c r="B61" s="271"/>
      <c r="C61" s="271"/>
      <c r="D61" s="39">
        <f>ATAN((D58/D55)*TAN(D24))</f>
        <v>0.23017125652819137</v>
      </c>
      <c r="E61" s="43" t="s">
        <v>48</v>
      </c>
      <c r="F61" s="186" t="s">
        <v>135</v>
      </c>
      <c r="G61" s="266" t="str">
        <f>IF(D61=D62,"OK","BLAD")</f>
        <v>OK</v>
      </c>
      <c r="H61" s="26"/>
      <c r="I61" s="26"/>
      <c r="J61" s="279"/>
      <c r="K61" s="279"/>
      <c r="L61" s="279"/>
      <c r="M61" s="279"/>
      <c r="N61" s="279"/>
      <c r="O61" s="279"/>
      <c r="P61" s="26"/>
      <c r="Q61" s="19"/>
      <c r="R61" s="26"/>
      <c r="S61" s="26"/>
    </row>
    <row r="62" spans="1:19" ht="19.5" thickTop="1" thickBot="1">
      <c r="A62" s="271" t="s">
        <v>55</v>
      </c>
      <c r="B62" s="271"/>
      <c r="C62" s="271"/>
      <c r="D62" s="39">
        <f>ATAN((D59/D56)*TAN(D24))</f>
        <v>0.23017125652819131</v>
      </c>
      <c r="E62" s="43" t="s">
        <v>48</v>
      </c>
      <c r="F62" s="186"/>
      <c r="G62" s="266"/>
      <c r="H62" s="26"/>
      <c r="I62" s="26"/>
      <c r="J62" s="279"/>
      <c r="K62" s="279"/>
      <c r="L62" s="279"/>
      <c r="M62" s="279"/>
      <c r="N62" s="279"/>
      <c r="O62" s="279"/>
      <c r="P62" s="26"/>
      <c r="Q62" s="19"/>
      <c r="R62" s="26"/>
      <c r="S62" s="26"/>
    </row>
    <row r="63" spans="1:19" ht="16.5" thickTop="1" thickBot="1">
      <c r="A63" s="44"/>
      <c r="B63" s="44"/>
      <c r="C63" s="44"/>
      <c r="D63" s="44"/>
      <c r="E63" s="44"/>
      <c r="F63" s="26"/>
      <c r="G63" s="26"/>
      <c r="H63" s="26"/>
      <c r="I63" s="26"/>
      <c r="J63" s="279"/>
      <c r="K63" s="279"/>
      <c r="L63" s="279"/>
      <c r="M63" s="279"/>
      <c r="N63" s="279"/>
      <c r="O63" s="279"/>
      <c r="P63" s="26"/>
      <c r="Q63" s="19"/>
      <c r="R63" s="26"/>
      <c r="S63" s="26"/>
    </row>
    <row r="64" spans="1:19" ht="16.149999999999999" customHeight="1" thickTop="1">
      <c r="A64" s="271" t="s">
        <v>61</v>
      </c>
      <c r="B64" s="271"/>
      <c r="C64" s="271"/>
      <c r="D64" s="29">
        <f>2*D26*1000/D58</f>
        <v>1860.0154135016896</v>
      </c>
      <c r="E64" s="43" t="s">
        <v>57</v>
      </c>
      <c r="F64" s="4"/>
      <c r="G64" s="65"/>
      <c r="H64" s="26"/>
      <c r="I64" s="35"/>
      <c r="J64" s="284" t="s">
        <v>373</v>
      </c>
      <c r="K64" s="285"/>
      <c r="L64" s="285"/>
      <c r="M64" s="285"/>
      <c r="N64" s="285"/>
      <c r="O64" s="286"/>
      <c r="P64" s="35"/>
      <c r="Q64" s="26"/>
      <c r="R64" s="26"/>
      <c r="S64" s="26"/>
    </row>
    <row r="65" spans="1:19" ht="18">
      <c r="A65" s="271" t="s">
        <v>62</v>
      </c>
      <c r="B65" s="271"/>
      <c r="C65" s="271"/>
      <c r="D65" s="29">
        <f>D64*TAN(D61)</f>
        <v>435.84627954483875</v>
      </c>
      <c r="E65" s="43" t="s">
        <v>57</v>
      </c>
      <c r="F65" s="3"/>
      <c r="G65" s="3"/>
      <c r="H65" s="3"/>
      <c r="I65" s="35"/>
      <c r="J65" s="287"/>
      <c r="K65" s="288"/>
      <c r="L65" s="288"/>
      <c r="M65" s="288"/>
      <c r="N65" s="288"/>
      <c r="O65" s="289"/>
      <c r="P65" s="35"/>
      <c r="Q65" s="26"/>
      <c r="R65" s="26"/>
      <c r="S65" s="26"/>
    </row>
    <row r="66" spans="1:19" ht="18">
      <c r="A66" s="271" t="s">
        <v>60</v>
      </c>
      <c r="B66" s="271"/>
      <c r="C66" s="271"/>
      <c r="D66" s="29">
        <f>D64*TAN(D41)</f>
        <v>775.66333620719547</v>
      </c>
      <c r="E66" s="43" t="s">
        <v>57</v>
      </c>
      <c r="F66" s="3"/>
      <c r="G66" s="3"/>
      <c r="H66" s="3"/>
      <c r="I66" s="26"/>
      <c r="J66" s="221"/>
      <c r="K66" s="222"/>
      <c r="L66" s="222"/>
      <c r="M66" s="222"/>
      <c r="N66" s="222"/>
      <c r="O66" s="290"/>
      <c r="P66" s="26"/>
      <c r="Q66" s="26"/>
      <c r="R66" s="26"/>
      <c r="S66" s="26"/>
    </row>
    <row r="67" spans="1:19" ht="15.75" thickBot="1">
      <c r="A67" s="26"/>
      <c r="B67" s="26"/>
      <c r="C67" s="26"/>
      <c r="D67" s="26"/>
      <c r="E67" s="26"/>
      <c r="F67" s="3"/>
      <c r="G67" s="3"/>
      <c r="H67" s="3"/>
      <c r="I67" s="26"/>
      <c r="J67" s="267"/>
      <c r="K67" s="267"/>
      <c r="L67" s="267"/>
      <c r="M67" s="26"/>
      <c r="N67" s="26"/>
      <c r="O67" s="26"/>
      <c r="P67" s="26"/>
      <c r="Q67" s="26"/>
      <c r="R67" s="26"/>
      <c r="S67" s="26"/>
    </row>
    <row r="68" spans="1:19" ht="16.5" thickTop="1" thickBot="1">
      <c r="A68" s="255" t="s">
        <v>63</v>
      </c>
      <c r="B68" s="203"/>
      <c r="C68" s="203"/>
      <c r="D68" s="203"/>
      <c r="E68" s="204"/>
      <c r="F68" s="3"/>
      <c r="G68" s="263" t="s">
        <v>303</v>
      </c>
      <c r="H68" s="264"/>
      <c r="I68" s="265"/>
      <c r="J68" s="244" t="s">
        <v>136</v>
      </c>
      <c r="K68" s="245"/>
      <c r="L68" s="245"/>
      <c r="M68" s="245"/>
      <c r="N68" s="245"/>
      <c r="O68" s="246"/>
      <c r="P68" s="26"/>
      <c r="Q68" s="26"/>
      <c r="R68" s="26"/>
      <c r="S68" s="26"/>
    </row>
    <row r="69" spans="1:19" ht="18.75" thickTop="1">
      <c r="A69" s="205" t="s">
        <v>64</v>
      </c>
      <c r="B69" s="205"/>
      <c r="C69" s="205"/>
      <c r="D69" s="82">
        <f>ROUND(((1-E50+D71)*COS(D24)),1)</f>
        <v>1.3</v>
      </c>
      <c r="E69" s="83" t="s">
        <v>10</v>
      </c>
      <c r="F69" s="49"/>
      <c r="G69" s="114" t="s">
        <v>302</v>
      </c>
      <c r="H69" s="71">
        <f>0.005*D32</f>
        <v>0.01</v>
      </c>
      <c r="I69" s="80">
        <f>0.01*D32</f>
        <v>0.02</v>
      </c>
      <c r="J69" s="269" t="s">
        <v>196</v>
      </c>
      <c r="K69" s="205"/>
      <c r="L69" s="78">
        <f>ROUND(N69*D29,0.1)</f>
        <v>64</v>
      </c>
      <c r="M69" s="69" t="s">
        <v>21</v>
      </c>
      <c r="N69" s="28">
        <v>1.5</v>
      </c>
      <c r="O69" s="69" t="s">
        <v>137</v>
      </c>
      <c r="P69" s="26"/>
      <c r="Q69" s="26"/>
      <c r="R69" s="26"/>
      <c r="S69" s="26"/>
    </row>
    <row r="70" spans="1:19" ht="18">
      <c r="A70" s="186" t="s">
        <v>65</v>
      </c>
      <c r="B70" s="186"/>
      <c r="C70" s="186"/>
      <c r="D70" s="47">
        <f>ROUND(((1-B50+D71)*COS(D24)),1)</f>
        <v>1.3</v>
      </c>
      <c r="E70" s="48" t="s">
        <v>10</v>
      </c>
      <c r="F70" s="26"/>
      <c r="G70" s="43" t="s">
        <v>159</v>
      </c>
      <c r="H70" s="29">
        <f>2*(N40+O40)/10000</f>
        <v>2.5600000000000001E-2</v>
      </c>
      <c r="I70" s="50">
        <f>3*(N40+O40)/10000</f>
        <v>3.8399999999999997E-2</v>
      </c>
      <c r="J70" s="318" t="s">
        <v>374</v>
      </c>
      <c r="K70" s="210"/>
      <c r="L70" s="210"/>
      <c r="M70" s="210"/>
      <c r="N70" s="210"/>
      <c r="O70" s="185"/>
      <c r="P70" s="26"/>
      <c r="Q70" s="26"/>
      <c r="R70" s="26"/>
      <c r="S70" s="26"/>
    </row>
    <row r="71" spans="1:19" ht="15.75" thickBot="1">
      <c r="A71" s="186" t="s">
        <v>66</v>
      </c>
      <c r="B71" s="186"/>
      <c r="C71" s="186"/>
      <c r="D71" s="29">
        <f>(D38-D37)/D32</f>
        <v>0.73740282591720785</v>
      </c>
      <c r="E71" s="23" t="s">
        <v>10</v>
      </c>
      <c r="F71" s="26"/>
      <c r="G71" s="257" t="s">
        <v>304</v>
      </c>
      <c r="H71" s="258"/>
      <c r="I71" s="259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 ht="20.25" thickTop="1" thickBot="1">
      <c r="A72" s="186" t="s">
        <v>67</v>
      </c>
      <c r="B72" s="186"/>
      <c r="C72" s="186"/>
      <c r="D72" s="29">
        <f>(SQRT((B49^2)*(((1-(COS(D40))^2))/4)+D69*(B49+D69)))/(PI()*COS(D40))</f>
        <v>2.4812472888361641</v>
      </c>
      <c r="E72" s="48" t="s">
        <v>10</v>
      </c>
      <c r="F72" s="26"/>
      <c r="G72" s="263" t="s">
        <v>303</v>
      </c>
      <c r="H72" s="264"/>
      <c r="I72" s="265"/>
      <c r="J72" s="255" t="s">
        <v>199</v>
      </c>
      <c r="K72" s="203"/>
      <c r="L72" s="203"/>
      <c r="M72" s="203"/>
      <c r="N72" s="204"/>
      <c r="O72" s="26"/>
      <c r="P72" s="26"/>
      <c r="Q72" s="26"/>
      <c r="R72" s="26"/>
      <c r="S72" s="26"/>
    </row>
    <row r="73" spans="1:19" ht="18.75" thickTop="1">
      <c r="A73" s="186" t="s">
        <v>68</v>
      </c>
      <c r="B73" s="186"/>
      <c r="C73" s="186"/>
      <c r="D73" s="29">
        <f>(SQRT((E49^2)*(((1-(COS(D40))^2))/4)+D70*(E49+D70)))/(PI()*COS(D40))</f>
        <v>5.3543676895171632</v>
      </c>
      <c r="E73" s="48" t="s">
        <v>10</v>
      </c>
      <c r="F73" s="26"/>
      <c r="G73" s="79" t="s">
        <v>160</v>
      </c>
      <c r="H73" s="71">
        <f>0.005*D32</f>
        <v>0.01</v>
      </c>
      <c r="I73" s="80">
        <f>0.01*D32</f>
        <v>0.02</v>
      </c>
      <c r="J73" s="269" t="s">
        <v>140</v>
      </c>
      <c r="K73" s="205"/>
      <c r="L73" s="71">
        <f>D32*((D27/((COS(D24)))-2.5))</f>
        <v>46.315205389669579</v>
      </c>
      <c r="M73" s="81">
        <f>D32*((D35/((COS(D24)))-2.5))</f>
        <v>140.73518330666161</v>
      </c>
      <c r="N73" s="69" t="s">
        <v>21</v>
      </c>
      <c r="O73" s="26"/>
      <c r="P73" s="26"/>
      <c r="Q73" s="26"/>
      <c r="R73" s="26"/>
      <c r="S73" s="26"/>
    </row>
    <row r="74" spans="1:19" ht="18">
      <c r="A74" s="186" t="s">
        <v>69</v>
      </c>
      <c r="B74" s="186"/>
      <c r="C74" s="186"/>
      <c r="D74" s="29">
        <f>(1/(2*PI()))*(B49+E49)*TAN(D41)</f>
        <v>6.3715938645966057</v>
      </c>
      <c r="E74" s="23" t="s">
        <v>10</v>
      </c>
      <c r="F74" s="26"/>
      <c r="G74" s="43" t="s">
        <v>159</v>
      </c>
      <c r="H74" s="29">
        <f>2*(N42+M42)/10000</f>
        <v>2.5600000000000001E-2</v>
      </c>
      <c r="I74" s="50">
        <f>3*(N42+M42)/10000</f>
        <v>3.8399999999999997E-2</v>
      </c>
      <c r="J74" s="185" t="s">
        <v>197</v>
      </c>
      <c r="K74" s="186"/>
      <c r="L74" s="29">
        <f>D32*((D27/((COS(D24)))+2))</f>
        <v>55.315205389669579</v>
      </c>
      <c r="M74" s="29">
        <f>D32*((E49/((COS(D24)))+2))</f>
        <v>149.73518330666161</v>
      </c>
      <c r="N74" s="23" t="s">
        <v>21</v>
      </c>
      <c r="O74" s="26"/>
      <c r="P74" s="26"/>
      <c r="Q74" s="26"/>
      <c r="R74" s="26"/>
      <c r="S74" s="26"/>
    </row>
    <row r="75" spans="1:19" ht="18.75">
      <c r="A75" s="186" t="s">
        <v>107</v>
      </c>
      <c r="B75" s="186"/>
      <c r="C75" s="186"/>
      <c r="D75" s="29">
        <f>D72+D73-D74</f>
        <v>1.4640211137567212</v>
      </c>
      <c r="E75" s="48" t="s">
        <v>10</v>
      </c>
      <c r="F75" s="26"/>
      <c r="G75" s="159" t="s">
        <v>375</v>
      </c>
      <c r="H75" s="160"/>
      <c r="I75" s="161"/>
      <c r="J75" s="52"/>
      <c r="K75" s="52"/>
      <c r="L75" s="26"/>
      <c r="M75" s="26"/>
      <c r="N75" s="26"/>
      <c r="O75" s="26"/>
      <c r="P75" s="26"/>
      <c r="Q75" s="26"/>
      <c r="R75" s="26"/>
      <c r="S75" s="26"/>
    </row>
    <row r="76" spans="1:19" ht="15.75" thickBot="1">
      <c r="A76" s="3"/>
      <c r="B76" s="3"/>
      <c r="C76" s="3"/>
      <c r="D76" s="3"/>
      <c r="E76" s="3"/>
      <c r="F76" s="26"/>
      <c r="G76" s="36"/>
      <c r="H76" s="36"/>
      <c r="I76" s="3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 ht="16.5" thickTop="1" thickBot="1">
      <c r="A77" s="255" t="s">
        <v>70</v>
      </c>
      <c r="B77" s="203"/>
      <c r="C77" s="203"/>
      <c r="D77" s="203"/>
      <c r="E77" s="204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 ht="19.5" thickTop="1">
      <c r="A78" s="205" t="s">
        <v>71</v>
      </c>
      <c r="B78" s="205"/>
      <c r="C78" s="205"/>
      <c r="D78" s="71">
        <f>(D29*D19*SIN(D24))/(PI()*D32)</f>
        <v>1.5198607036440552</v>
      </c>
      <c r="E78" s="69" t="s">
        <v>10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 ht="15.75" thickBot="1">
      <c r="A79" s="3"/>
      <c r="B79" s="3"/>
      <c r="C79" s="3"/>
      <c r="D79" s="44"/>
      <c r="E79" s="3"/>
      <c r="F79" s="26"/>
      <c r="G79" s="26"/>
      <c r="H79" s="26"/>
      <c r="I79" s="3"/>
      <c r="J79" s="3"/>
      <c r="K79" s="3"/>
      <c r="L79" s="3"/>
      <c r="M79" s="3"/>
      <c r="N79" s="26"/>
      <c r="O79" s="26"/>
      <c r="P79" s="26"/>
      <c r="Q79" s="26"/>
      <c r="R79" s="26"/>
      <c r="S79" s="26"/>
    </row>
    <row r="80" spans="1:19" ht="16.5" thickTop="1" thickBot="1">
      <c r="A80" s="255" t="s">
        <v>72</v>
      </c>
      <c r="B80" s="203"/>
      <c r="C80" s="203"/>
      <c r="D80" s="203"/>
      <c r="E80" s="204"/>
      <c r="F80" s="26"/>
      <c r="G80" s="26"/>
      <c r="H80" s="26"/>
      <c r="I80" s="244" t="s">
        <v>73</v>
      </c>
      <c r="J80" s="245"/>
      <c r="K80" s="246"/>
      <c r="L80" s="3"/>
      <c r="M80" s="244" t="s">
        <v>73</v>
      </c>
      <c r="N80" s="245"/>
      <c r="O80" s="246"/>
      <c r="P80" s="26"/>
      <c r="Q80" s="26"/>
      <c r="R80" s="26"/>
      <c r="S80" s="26"/>
    </row>
    <row r="81" spans="1:19" ht="18.75" thickTop="1">
      <c r="A81" s="205" t="s">
        <v>85</v>
      </c>
      <c r="B81" s="205"/>
      <c r="C81" s="205"/>
      <c r="D81" s="71">
        <f>(J82*L69*((J84)^2)*J85*J86*J87)/(2*J88*1000*(COS(J89))*J90*J97*J98*J93*J94*J95*J96)</f>
        <v>7.1049709124156673</v>
      </c>
      <c r="E81" s="69" t="s">
        <v>10</v>
      </c>
      <c r="F81" s="187" t="s">
        <v>158</v>
      </c>
      <c r="G81" s="276" t="str">
        <f>IF(AND(D81&gt;=J81,D82&gt;=J81),"OK","BLAD")</f>
        <v>OK</v>
      </c>
      <c r="H81" s="26"/>
      <c r="I81" s="69" t="s">
        <v>108</v>
      </c>
      <c r="J81" s="28">
        <v>1.3</v>
      </c>
      <c r="K81" s="69" t="s">
        <v>10</v>
      </c>
      <c r="L81" s="3"/>
      <c r="M81" s="69" t="s">
        <v>90</v>
      </c>
      <c r="N81" s="28">
        <v>1.1000000000000001</v>
      </c>
      <c r="O81" s="69" t="s">
        <v>10</v>
      </c>
      <c r="P81" s="26"/>
      <c r="Q81" s="26"/>
      <c r="R81" s="26"/>
      <c r="S81" s="26"/>
    </row>
    <row r="82" spans="1:19" ht="18">
      <c r="A82" s="186" t="s">
        <v>86</v>
      </c>
      <c r="B82" s="186"/>
      <c r="C82" s="186"/>
      <c r="D82" s="29">
        <f>(J92*L69*((J84)^2)*J85*J86*J87)/(2*J88*1000*(COS(J89))*J91*J97*J98*J93*J94*J95*J96)</f>
        <v>6.7981117035737961</v>
      </c>
      <c r="E82" s="23" t="s">
        <v>10</v>
      </c>
      <c r="F82" s="188"/>
      <c r="G82" s="277"/>
      <c r="H82" s="26"/>
      <c r="I82" s="12" t="s">
        <v>84</v>
      </c>
      <c r="J82" s="14">
        <f>N10</f>
        <v>350</v>
      </c>
      <c r="K82" s="23" t="s">
        <v>31</v>
      </c>
      <c r="L82" s="3"/>
      <c r="M82" s="12" t="s">
        <v>205</v>
      </c>
      <c r="N82" s="14">
        <v>1</v>
      </c>
      <c r="O82" s="23" t="s">
        <v>10</v>
      </c>
      <c r="P82" s="26"/>
      <c r="Q82" s="26"/>
      <c r="R82" s="26"/>
      <c r="S82" s="26"/>
    </row>
    <row r="83" spans="1:19" ht="18.75">
      <c r="A83" s="186" t="s">
        <v>87</v>
      </c>
      <c r="B83" s="186"/>
      <c r="C83" s="186"/>
      <c r="D83" s="29">
        <f>1/D75</f>
        <v>0.68305025836271627</v>
      </c>
      <c r="E83" s="23" t="s">
        <v>10</v>
      </c>
      <c r="F83" s="26"/>
      <c r="G83" s="26"/>
      <c r="H83" s="26"/>
      <c r="I83" s="23" t="s">
        <v>74</v>
      </c>
      <c r="J83" s="53">
        <f>ROUND(D29*D19,0.1)</f>
        <v>42</v>
      </c>
      <c r="K83" s="23" t="s">
        <v>21</v>
      </c>
      <c r="L83" s="3"/>
      <c r="M83" s="23" t="s">
        <v>36</v>
      </c>
      <c r="N83" s="53">
        <v>1</v>
      </c>
      <c r="O83" s="23" t="s">
        <v>10</v>
      </c>
      <c r="P83" s="26"/>
      <c r="Q83" s="26"/>
      <c r="R83" s="26"/>
      <c r="S83" s="26"/>
    </row>
    <row r="84" spans="1:19" ht="18.75">
      <c r="A84" s="186" t="s">
        <v>88</v>
      </c>
      <c r="B84" s="186"/>
      <c r="C84" s="186"/>
      <c r="D84" s="29">
        <f>1-(D22/180)</f>
        <v>0.92777777777777781</v>
      </c>
      <c r="E84" s="23" t="s">
        <v>10</v>
      </c>
      <c r="F84" s="26"/>
      <c r="G84" s="26"/>
      <c r="H84" s="26"/>
      <c r="I84" s="23" t="s">
        <v>75</v>
      </c>
      <c r="J84" s="14">
        <f>D32</f>
        <v>2</v>
      </c>
      <c r="K84" s="23" t="s">
        <v>21</v>
      </c>
      <c r="L84" s="3"/>
      <c r="M84" s="23" t="s">
        <v>37</v>
      </c>
      <c r="N84" s="14">
        <v>1</v>
      </c>
      <c r="O84" s="23" t="s">
        <v>10</v>
      </c>
      <c r="P84" s="26"/>
      <c r="Q84" s="26"/>
      <c r="R84" s="26"/>
      <c r="S84" s="26"/>
    </row>
    <row r="85" spans="1:19" ht="18">
      <c r="A85" s="209" t="s">
        <v>287</v>
      </c>
      <c r="B85" s="186"/>
      <c r="C85" s="186"/>
      <c r="D85" s="29">
        <f>D32/COS(D24)</f>
        <v>2.0526082155867833</v>
      </c>
      <c r="E85" s="20" t="s">
        <v>21</v>
      </c>
      <c r="F85" s="26"/>
      <c r="G85" s="26"/>
      <c r="H85" s="26"/>
      <c r="I85" s="23" t="s">
        <v>76</v>
      </c>
      <c r="J85" s="14">
        <f>D27</f>
        <v>25</v>
      </c>
      <c r="K85" s="23" t="s">
        <v>10</v>
      </c>
      <c r="L85" s="3"/>
      <c r="M85" s="23" t="s">
        <v>34</v>
      </c>
      <c r="N85" s="14">
        <v>1</v>
      </c>
      <c r="O85" s="23" t="s">
        <v>10</v>
      </c>
      <c r="P85" s="26"/>
      <c r="Q85" s="26"/>
      <c r="R85" s="26"/>
      <c r="S85" s="26"/>
    </row>
    <row r="86" spans="1:19" ht="18">
      <c r="A86" s="3"/>
      <c r="B86" s="3"/>
      <c r="C86" s="3"/>
      <c r="D86" s="44"/>
      <c r="E86" s="3"/>
      <c r="F86" s="26"/>
      <c r="G86" s="26"/>
      <c r="H86" s="26"/>
      <c r="I86" s="23" t="s">
        <v>77</v>
      </c>
      <c r="J86" s="14">
        <v>1</v>
      </c>
      <c r="K86" s="23" t="s">
        <v>10</v>
      </c>
      <c r="L86" s="3"/>
      <c r="M86" s="23" t="s">
        <v>92</v>
      </c>
      <c r="N86" s="14">
        <f>M10</f>
        <v>1100</v>
      </c>
      <c r="O86" s="23" t="s">
        <v>31</v>
      </c>
      <c r="P86" s="26"/>
      <c r="Q86" s="26"/>
      <c r="R86" s="26"/>
      <c r="S86" s="26"/>
    </row>
    <row r="87" spans="1:19" ht="18.75" thickBot="1">
      <c r="A87" s="3"/>
      <c r="B87" s="3"/>
      <c r="C87" s="3"/>
      <c r="D87" s="44"/>
      <c r="E87" s="3"/>
      <c r="F87" s="26"/>
      <c r="G87" s="26"/>
      <c r="H87" s="26"/>
      <c r="I87" s="23" t="s">
        <v>78</v>
      </c>
      <c r="J87" s="14">
        <v>1</v>
      </c>
      <c r="K87" s="23" t="s">
        <v>10</v>
      </c>
      <c r="L87" s="3"/>
      <c r="M87" s="23" t="s">
        <v>91</v>
      </c>
      <c r="N87" s="14">
        <f>M4</f>
        <v>770</v>
      </c>
      <c r="O87" s="23" t="s">
        <v>31</v>
      </c>
      <c r="P87" s="26"/>
      <c r="Q87" s="26"/>
      <c r="R87" s="26"/>
      <c r="S87" s="26"/>
    </row>
    <row r="88" spans="1:19" ht="19.5" thickTop="1" thickBot="1">
      <c r="A88" s="255" t="s">
        <v>184</v>
      </c>
      <c r="B88" s="203"/>
      <c r="C88" s="203"/>
      <c r="D88" s="203"/>
      <c r="E88" s="204"/>
      <c r="F88" s="26"/>
      <c r="G88" s="26"/>
      <c r="H88" s="26"/>
      <c r="I88" s="23" t="s">
        <v>79</v>
      </c>
      <c r="J88" s="31">
        <f>D26</f>
        <v>48.437901393273165</v>
      </c>
      <c r="K88" s="23" t="s">
        <v>39</v>
      </c>
      <c r="L88" s="3"/>
      <c r="M88" s="23" t="s">
        <v>93</v>
      </c>
      <c r="N88" s="53">
        <v>1</v>
      </c>
      <c r="O88" s="23" t="s">
        <v>10</v>
      </c>
      <c r="P88" s="26"/>
      <c r="Q88" s="26"/>
      <c r="R88" s="26"/>
      <c r="S88" s="26"/>
    </row>
    <row r="89" spans="1:19" ht="18.75" thickTop="1">
      <c r="A89" s="205" t="s">
        <v>185</v>
      </c>
      <c r="B89" s="205"/>
      <c r="C89" s="205"/>
      <c r="D89" s="71">
        <f>SQRT((COS(W4)/D75))</f>
        <v>0.81707729724395728</v>
      </c>
      <c r="E89" s="69" t="s">
        <v>10</v>
      </c>
      <c r="F89" s="26"/>
      <c r="G89" s="26"/>
      <c r="H89" s="26"/>
      <c r="I89" s="10" t="s">
        <v>80</v>
      </c>
      <c r="J89" s="14">
        <f>D24</f>
        <v>0.22689280275926285</v>
      </c>
      <c r="K89" s="23" t="s">
        <v>48</v>
      </c>
      <c r="L89" s="3"/>
      <c r="M89" s="10" t="s">
        <v>206</v>
      </c>
      <c r="N89" s="14">
        <f>J93</f>
        <v>1.6</v>
      </c>
      <c r="O89" s="23" t="s">
        <v>10</v>
      </c>
      <c r="P89" s="26"/>
      <c r="Q89" s="26"/>
      <c r="R89" s="26"/>
      <c r="S89" s="26"/>
    </row>
    <row r="90" spans="1:19" ht="18.75">
      <c r="A90" s="209" t="s">
        <v>305</v>
      </c>
      <c r="B90" s="186"/>
      <c r="C90" s="186"/>
      <c r="D90" s="29">
        <f>SQRT(0.35*J22)</f>
        <v>271.10883423451918</v>
      </c>
      <c r="E90" s="23" t="s">
        <v>10</v>
      </c>
      <c r="F90" s="26"/>
      <c r="G90" s="26"/>
      <c r="H90" s="26"/>
      <c r="I90" s="23" t="s">
        <v>81</v>
      </c>
      <c r="J90" s="2">
        <v>2.25</v>
      </c>
      <c r="K90" s="23" t="s">
        <v>10</v>
      </c>
      <c r="L90" s="3"/>
      <c r="M90" s="23" t="s">
        <v>25</v>
      </c>
      <c r="N90" s="31">
        <f>D75</f>
        <v>1.4640211137567212</v>
      </c>
      <c r="O90" s="23" t="s">
        <v>10</v>
      </c>
      <c r="P90" s="26"/>
      <c r="Q90" s="26"/>
      <c r="R90" s="26"/>
      <c r="S90" s="26"/>
    </row>
    <row r="91" spans="1:19" ht="18.75">
      <c r="A91" s="186" t="s">
        <v>89</v>
      </c>
      <c r="B91" s="186"/>
      <c r="C91" s="186"/>
      <c r="D91" s="29">
        <f>SQRT((COS(W4)/(((COS(D40))^2)*TAN(D41))))</f>
        <v>1.6342644416494807</v>
      </c>
      <c r="E91" s="23" t="s">
        <v>10</v>
      </c>
      <c r="F91" s="305" t="s">
        <v>387</v>
      </c>
      <c r="G91" s="305"/>
      <c r="H91" s="26"/>
      <c r="I91" s="23" t="s">
        <v>82</v>
      </c>
      <c r="J91" s="2">
        <v>2.15</v>
      </c>
      <c r="K91" s="23" t="s">
        <v>10</v>
      </c>
      <c r="L91" s="3"/>
      <c r="M91" s="23" t="s">
        <v>26</v>
      </c>
      <c r="N91" s="14">
        <v>1</v>
      </c>
      <c r="O91" s="23" t="s">
        <v>10</v>
      </c>
      <c r="P91" s="26"/>
      <c r="Q91" s="26"/>
      <c r="R91" s="26"/>
      <c r="S91" s="26"/>
    </row>
    <row r="92" spans="1:19" ht="18">
      <c r="A92" s="184" t="s">
        <v>94</v>
      </c>
      <c r="B92" s="210"/>
      <c r="C92" s="185"/>
      <c r="D92" s="29">
        <f>ROUND((N86*J84*J85*N82*N85*N84*N83)/(((COS(J89))^2)*D91*D90*D89*(SQRT(((N92+1)/N92)*((2*J88*1000)/L69)))*J93*J94*N90*N91),1)</f>
        <v>1.5</v>
      </c>
      <c r="E92" s="23" t="s">
        <v>10</v>
      </c>
      <c r="F92" s="187" t="s">
        <v>157</v>
      </c>
      <c r="G92" s="276" t="str">
        <f>IF(AND(D92&gt;=N81,D93&gt;=N81),"OK","BLAD")</f>
        <v>OK</v>
      </c>
      <c r="H92" s="26"/>
      <c r="I92" s="12" t="s">
        <v>83</v>
      </c>
      <c r="J92" s="14">
        <f>N4</f>
        <v>320</v>
      </c>
      <c r="K92" s="23" t="s">
        <v>31</v>
      </c>
      <c r="L92" s="3"/>
      <c r="M92" s="12" t="s">
        <v>207</v>
      </c>
      <c r="N92" s="54">
        <f>D35/D27</f>
        <v>2.84</v>
      </c>
      <c r="O92" s="23" t="s">
        <v>10</v>
      </c>
      <c r="P92" s="26"/>
      <c r="Q92" s="26"/>
      <c r="R92" s="26"/>
      <c r="S92" s="26"/>
    </row>
    <row r="93" spans="1:19" ht="18">
      <c r="A93" s="186" t="s">
        <v>95</v>
      </c>
      <c r="B93" s="186"/>
      <c r="C93" s="186"/>
      <c r="D93" s="29">
        <f>ROUND((N87*J84*J85*N82*N85*N84*N83)/(((COS(J89))^2)*D91*D90*D89*(SQRT(((N92+1)/N92)*((2*J88*1000)/L69)))*J93*J94*N90*N91),1)</f>
        <v>1.1000000000000001</v>
      </c>
      <c r="E93" s="23" t="s">
        <v>10</v>
      </c>
      <c r="F93" s="188"/>
      <c r="G93" s="277"/>
      <c r="H93" s="26"/>
      <c r="I93" s="23" t="s">
        <v>23</v>
      </c>
      <c r="J93" s="14">
        <f>J15</f>
        <v>1.6</v>
      </c>
      <c r="K93" s="23" t="s">
        <v>10</v>
      </c>
      <c r="L93" s="3"/>
      <c r="M93" s="3"/>
      <c r="N93" s="26"/>
      <c r="O93" s="26"/>
      <c r="P93" s="26"/>
      <c r="Q93" s="26"/>
      <c r="R93" s="26"/>
      <c r="S93" s="26"/>
    </row>
    <row r="94" spans="1:19" ht="18.75" thickBot="1">
      <c r="A94" s="26"/>
      <c r="B94" s="26"/>
      <c r="C94" s="26"/>
      <c r="D94" s="26"/>
      <c r="E94" s="26"/>
      <c r="F94" s="26"/>
      <c r="G94" s="26"/>
      <c r="H94" s="26"/>
      <c r="I94" s="23" t="s">
        <v>24</v>
      </c>
      <c r="J94" s="14">
        <f>J16</f>
        <v>1</v>
      </c>
      <c r="K94" s="23" t="s">
        <v>10</v>
      </c>
      <c r="L94" s="3"/>
      <c r="M94" s="26"/>
      <c r="N94" s="26"/>
      <c r="O94" s="26"/>
      <c r="P94" s="26"/>
      <c r="Q94" s="26"/>
      <c r="R94" s="26"/>
      <c r="S94" s="26"/>
    </row>
    <row r="95" spans="1:19" ht="20.25" thickTop="1" thickBot="1">
      <c r="A95" s="206" t="s">
        <v>202</v>
      </c>
      <c r="B95" s="207"/>
      <c r="C95" s="207"/>
      <c r="D95" s="207"/>
      <c r="E95" s="208"/>
      <c r="F95" s="26"/>
      <c r="G95" s="26"/>
      <c r="H95" s="26"/>
      <c r="I95" s="55" t="s">
        <v>109</v>
      </c>
      <c r="J95" s="56">
        <f>D75</f>
        <v>1.4640211137567212</v>
      </c>
      <c r="K95" s="38" t="s">
        <v>10</v>
      </c>
      <c r="L95" s="3"/>
      <c r="M95" s="26"/>
      <c r="N95" s="26"/>
      <c r="O95" s="26"/>
      <c r="P95" s="26"/>
      <c r="Q95" s="26"/>
      <c r="R95" s="26"/>
      <c r="S95" s="26"/>
    </row>
    <row r="96" spans="1:19" ht="19.5" thickTop="1">
      <c r="A96" s="205" t="s">
        <v>143</v>
      </c>
      <c r="B96" s="205"/>
      <c r="C96" s="205"/>
      <c r="D96" s="205"/>
      <c r="E96" s="28">
        <v>0.25</v>
      </c>
      <c r="F96" s="20" t="s">
        <v>10</v>
      </c>
      <c r="G96" s="26"/>
      <c r="H96" s="26"/>
      <c r="I96" s="55" t="s">
        <v>110</v>
      </c>
      <c r="J96" s="25">
        <v>1</v>
      </c>
      <c r="K96" s="38" t="s">
        <v>10</v>
      </c>
      <c r="L96" s="3"/>
      <c r="M96" s="26"/>
      <c r="N96" s="26"/>
      <c r="O96" s="26"/>
      <c r="P96" s="26"/>
      <c r="Q96" s="26"/>
      <c r="R96" s="26"/>
      <c r="S96" s="26"/>
    </row>
    <row r="97" spans="1:19" ht="15" customHeight="1">
      <c r="A97" s="186" t="s">
        <v>144</v>
      </c>
      <c r="B97" s="186"/>
      <c r="C97" s="186"/>
      <c r="D97" s="186"/>
      <c r="E97" s="15">
        <v>1</v>
      </c>
      <c r="F97" s="20" t="s">
        <v>10</v>
      </c>
      <c r="G97" s="26"/>
      <c r="H97" s="26"/>
      <c r="I97" s="38" t="s">
        <v>112</v>
      </c>
      <c r="J97" s="56">
        <f>D83</f>
        <v>0.68305025836271627</v>
      </c>
      <c r="K97" s="23" t="s">
        <v>10</v>
      </c>
      <c r="L97" s="3"/>
      <c r="M97" s="26"/>
      <c r="N97" s="26"/>
      <c r="O97" s="26"/>
      <c r="P97" s="26"/>
      <c r="Q97" s="26"/>
      <c r="R97" s="26"/>
      <c r="S97" s="26"/>
    </row>
    <row r="98" spans="1:19" ht="18.75">
      <c r="A98" s="186" t="s">
        <v>145</v>
      </c>
      <c r="B98" s="186"/>
      <c r="C98" s="186"/>
      <c r="D98" s="186"/>
      <c r="E98" s="2" t="s">
        <v>146</v>
      </c>
      <c r="F98" s="23" t="s">
        <v>21</v>
      </c>
      <c r="G98" s="26"/>
      <c r="H98" s="26"/>
      <c r="I98" s="38" t="s">
        <v>111</v>
      </c>
      <c r="J98" s="56">
        <f>D84</f>
        <v>0.92777777777777781</v>
      </c>
      <c r="K98" s="38" t="s">
        <v>10</v>
      </c>
      <c r="L98" s="3"/>
      <c r="M98" s="26"/>
      <c r="N98" s="26"/>
      <c r="O98" s="26"/>
      <c r="P98" s="26"/>
      <c r="Q98" s="26"/>
      <c r="R98" s="26"/>
      <c r="S98" s="26"/>
    </row>
    <row r="99" spans="1:19" ht="15.6" customHeight="1">
      <c r="A99" s="159" t="s">
        <v>215</v>
      </c>
      <c r="B99" s="210"/>
      <c r="C99" s="210"/>
      <c r="D99" s="185"/>
      <c r="E99" s="11">
        <f>E96*D32</f>
        <v>0.5</v>
      </c>
      <c r="F99" s="20" t="s">
        <v>21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19"/>
      <c r="R99" s="26"/>
      <c r="S99" s="26"/>
    </row>
    <row r="100" spans="1:19" ht="15.75" thickBot="1">
      <c r="A100" s="3"/>
      <c r="B100" s="3"/>
      <c r="C100" s="3"/>
      <c r="D100" s="3"/>
      <c r="E100" s="3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 ht="16.5" thickTop="1" thickBot="1">
      <c r="A101" s="202" t="s">
        <v>213</v>
      </c>
      <c r="B101" s="203"/>
      <c r="C101" s="203"/>
      <c r="D101" s="204"/>
      <c r="E101" s="3"/>
      <c r="F101" s="3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 ht="16.5" thickTop="1" thickBot="1">
      <c r="A102" s="69" t="s">
        <v>74</v>
      </c>
      <c r="B102" s="28">
        <v>6</v>
      </c>
      <c r="C102" s="69" t="s">
        <v>21</v>
      </c>
      <c r="D102" s="69" t="s">
        <v>152</v>
      </c>
      <c r="E102" s="3"/>
      <c r="F102" s="3"/>
      <c r="G102" s="57"/>
      <c r="H102" s="26"/>
      <c r="I102" s="26"/>
      <c r="J102" s="26"/>
      <c r="K102" s="26"/>
      <c r="L102" s="26"/>
      <c r="M102" s="26"/>
      <c r="N102" s="26"/>
      <c r="O102" s="122"/>
      <c r="P102" s="26"/>
      <c r="Q102" s="26"/>
      <c r="R102" s="26"/>
      <c r="S102" s="26"/>
    </row>
    <row r="103" spans="1:19" ht="16.5" thickTop="1" thickBot="1">
      <c r="A103" s="23" t="s">
        <v>11</v>
      </c>
      <c r="B103" s="2">
        <v>6</v>
      </c>
      <c r="C103" s="23" t="s">
        <v>21</v>
      </c>
      <c r="D103" s="15" t="s">
        <v>211</v>
      </c>
      <c r="E103" s="3"/>
      <c r="F103" s="3"/>
      <c r="G103" s="255" t="s">
        <v>194</v>
      </c>
      <c r="H103" s="203"/>
      <c r="I103" s="203"/>
      <c r="J103" s="204"/>
      <c r="K103" s="206" t="s">
        <v>186</v>
      </c>
      <c r="L103" s="208"/>
      <c r="M103" s="206" t="s">
        <v>163</v>
      </c>
      <c r="N103" s="208"/>
      <c r="O103" s="225" t="s">
        <v>316</v>
      </c>
      <c r="P103" s="35"/>
      <c r="Q103" s="26"/>
      <c r="R103" s="26"/>
      <c r="S103" s="26"/>
    </row>
    <row r="104" spans="1:19" ht="18.75" thickTop="1">
      <c r="A104" s="23" t="s">
        <v>147</v>
      </c>
      <c r="B104" s="2">
        <v>3.5</v>
      </c>
      <c r="C104" s="23" t="s">
        <v>21</v>
      </c>
      <c r="D104" s="162" t="s">
        <v>209</v>
      </c>
      <c r="E104" s="58"/>
      <c r="F104" s="58"/>
      <c r="G104" s="205" t="s">
        <v>162</v>
      </c>
      <c r="H104" s="205"/>
      <c r="I104" s="69" t="s">
        <v>165</v>
      </c>
      <c r="J104" s="69" t="s">
        <v>195</v>
      </c>
      <c r="K104" s="205" t="s">
        <v>166</v>
      </c>
      <c r="L104" s="205"/>
      <c r="M104" s="69" t="s">
        <v>161</v>
      </c>
      <c r="N104" s="119" t="s">
        <v>164</v>
      </c>
      <c r="O104" s="157"/>
      <c r="P104" s="35"/>
      <c r="Q104" s="26"/>
      <c r="R104" s="26"/>
      <c r="S104" s="26"/>
    </row>
    <row r="105" spans="1:19" ht="15.6" customHeight="1">
      <c r="A105" s="23" t="s">
        <v>148</v>
      </c>
      <c r="B105" s="2">
        <v>2.8</v>
      </c>
      <c r="C105" s="23" t="s">
        <v>21</v>
      </c>
      <c r="D105" s="232"/>
      <c r="E105" s="58"/>
      <c r="F105" s="58"/>
      <c r="G105" s="261" t="s">
        <v>187</v>
      </c>
      <c r="H105" s="261"/>
      <c r="I105" s="59">
        <v>435.846</v>
      </c>
      <c r="J105" s="51">
        <f>SQRT(((M105)^2)+((N105)^2))</f>
        <v>976.93960271093522</v>
      </c>
      <c r="K105" s="254">
        <v>6305</v>
      </c>
      <c r="L105" s="254"/>
      <c r="M105" s="59">
        <v>299.15899999999999</v>
      </c>
      <c r="N105" s="120">
        <v>930.00800000000004</v>
      </c>
      <c r="O105" s="157"/>
      <c r="P105" s="35"/>
      <c r="Q105" s="26"/>
      <c r="R105" s="26"/>
      <c r="S105" s="26"/>
    </row>
    <row r="106" spans="1:19" ht="15.6" customHeight="1">
      <c r="A106" s="7" t="s">
        <v>149</v>
      </c>
      <c r="B106" s="60">
        <v>86</v>
      </c>
      <c r="C106" s="22" t="s">
        <v>31</v>
      </c>
      <c r="D106" s="232"/>
      <c r="E106" s="58"/>
      <c r="F106" s="58"/>
      <c r="G106" s="262" t="s">
        <v>188</v>
      </c>
      <c r="H106" s="262"/>
      <c r="I106" s="16">
        <v>0</v>
      </c>
      <c r="J106" s="17">
        <f>SQRT(((M106)^2)+((N106)^2))</f>
        <v>1128.7536989795426</v>
      </c>
      <c r="K106" s="260">
        <v>6305</v>
      </c>
      <c r="L106" s="260"/>
      <c r="M106" s="18">
        <v>930.00800000000004</v>
      </c>
      <c r="N106" s="121">
        <v>639.66399999999999</v>
      </c>
      <c r="O106" s="157"/>
      <c r="P106" s="35"/>
      <c r="Q106" s="26"/>
      <c r="R106" s="26"/>
      <c r="S106" s="26"/>
    </row>
    <row r="107" spans="1:19" ht="15.6" customHeight="1">
      <c r="A107" s="23" t="s">
        <v>151</v>
      </c>
      <c r="B107" s="2">
        <v>18</v>
      </c>
      <c r="C107" s="23" t="s">
        <v>21</v>
      </c>
      <c r="D107" s="232"/>
      <c r="E107" s="58"/>
      <c r="F107" s="58"/>
      <c r="G107" s="261" t="s">
        <v>189</v>
      </c>
      <c r="H107" s="261"/>
      <c r="I107" s="61">
        <v>0</v>
      </c>
      <c r="J107" s="51">
        <f>SQRT(((M107)^2)+((N107)^2))</f>
        <v>1044.9741346464036</v>
      </c>
      <c r="K107" s="254">
        <v>6305</v>
      </c>
      <c r="L107" s="254"/>
      <c r="M107" s="59">
        <v>476.50400000000002</v>
      </c>
      <c r="N107" s="120">
        <v>930.00800000000004</v>
      </c>
      <c r="O107" s="157"/>
      <c r="P107" s="26"/>
      <c r="Q107" s="26"/>
      <c r="R107" s="26"/>
      <c r="S107" s="26"/>
    </row>
    <row r="108" spans="1:19">
      <c r="A108" s="106" t="s">
        <v>309</v>
      </c>
      <c r="B108" s="24">
        <v>2</v>
      </c>
      <c r="C108" s="38" t="s">
        <v>10</v>
      </c>
      <c r="D108" s="232"/>
      <c r="E108" s="58"/>
      <c r="F108" s="58"/>
      <c r="G108" s="262" t="s">
        <v>190</v>
      </c>
      <c r="H108" s="262"/>
      <c r="I108" s="18">
        <v>435.846</v>
      </c>
      <c r="J108" s="17">
        <f>SQRT(((M108)^2)+((N108)^2))</f>
        <v>939.8992542102585</v>
      </c>
      <c r="K108" s="260">
        <v>6305</v>
      </c>
      <c r="L108" s="260"/>
      <c r="M108" s="18">
        <v>930.00800000000004</v>
      </c>
      <c r="N108" s="121">
        <v>135.999</v>
      </c>
      <c r="O108" s="157"/>
      <c r="P108" s="26"/>
      <c r="Q108" s="26"/>
      <c r="R108" s="26"/>
      <c r="S108" s="26"/>
    </row>
    <row r="109" spans="1:19" ht="15.6" customHeight="1">
      <c r="A109" s="177" t="s">
        <v>217</v>
      </c>
      <c r="B109" s="201"/>
      <c r="C109" s="29">
        <f>((4*G53)/(B103*B107*B106*B108))+B102</f>
        <v>16.430211324994222</v>
      </c>
      <c r="D109" s="64">
        <f>((4*G56)/(B103*B107*B106*B108))+B102</f>
        <v>35.62180016298359</v>
      </c>
      <c r="E109" s="23" t="s">
        <v>21</v>
      </c>
      <c r="F109" s="58"/>
      <c r="G109" s="186" t="s">
        <v>191</v>
      </c>
      <c r="H109" s="186"/>
      <c r="I109" s="14">
        <f>D4</f>
        <v>1450</v>
      </c>
      <c r="J109" s="23" t="s">
        <v>9</v>
      </c>
      <c r="K109" s="233" t="s">
        <v>208</v>
      </c>
      <c r="L109" s="256"/>
      <c r="M109" s="256"/>
      <c r="N109" s="256"/>
      <c r="O109" s="157"/>
      <c r="P109" s="26"/>
      <c r="Q109" s="26"/>
      <c r="R109" s="26"/>
      <c r="S109" s="26"/>
    </row>
    <row r="110" spans="1:19">
      <c r="A110" s="184" t="s">
        <v>150</v>
      </c>
      <c r="B110" s="185"/>
      <c r="C110" s="2">
        <v>20</v>
      </c>
      <c r="D110" s="15">
        <v>40</v>
      </c>
      <c r="E110" s="23" t="s">
        <v>21</v>
      </c>
      <c r="F110" s="58"/>
      <c r="G110" s="186" t="s">
        <v>192</v>
      </c>
      <c r="H110" s="186"/>
      <c r="I110" s="31">
        <f>D18</f>
        <v>510.56338028169017</v>
      </c>
      <c r="J110" s="23" t="s">
        <v>9</v>
      </c>
      <c r="K110" s="162" t="s">
        <v>212</v>
      </c>
      <c r="L110" s="232"/>
      <c r="M110" s="232"/>
      <c r="N110" s="233"/>
      <c r="O110" s="157"/>
      <c r="P110" s="26"/>
      <c r="Q110" s="26"/>
      <c r="R110" s="26"/>
      <c r="S110" s="26"/>
    </row>
    <row r="111" spans="1:19">
      <c r="A111" s="159" t="s">
        <v>307</v>
      </c>
      <c r="B111" s="185"/>
      <c r="C111" s="234" t="s">
        <v>308</v>
      </c>
      <c r="D111" s="251"/>
      <c r="E111" s="58"/>
      <c r="F111" s="58"/>
      <c r="G111" s="186" t="s">
        <v>193</v>
      </c>
      <c r="H111" s="186"/>
      <c r="I111" s="25">
        <f>D6</f>
        <v>4000</v>
      </c>
      <c r="J111" s="38" t="s">
        <v>11</v>
      </c>
      <c r="K111" s="232"/>
      <c r="L111" s="232"/>
      <c r="M111" s="232"/>
      <c r="N111" s="233"/>
      <c r="O111" s="157"/>
      <c r="P111" s="26"/>
      <c r="Q111" s="26"/>
      <c r="R111" s="26"/>
      <c r="S111" s="26"/>
    </row>
    <row r="112" spans="1:19" ht="15" customHeight="1" thickBot="1">
      <c r="A112" s="252" t="s">
        <v>153</v>
      </c>
      <c r="B112" s="253"/>
      <c r="C112" s="247" t="s">
        <v>154</v>
      </c>
      <c r="D112" s="248"/>
      <c r="E112" s="58"/>
      <c r="F112" s="58"/>
      <c r="G112" s="219" t="s">
        <v>376</v>
      </c>
      <c r="H112" s="220"/>
      <c r="I112" s="220"/>
      <c r="J112" s="220"/>
      <c r="K112" s="220"/>
      <c r="L112" s="220"/>
      <c r="M112" s="220"/>
      <c r="N112" s="220"/>
      <c r="O112" s="157"/>
      <c r="P112" s="26"/>
      <c r="Q112" s="26"/>
      <c r="R112" s="26"/>
      <c r="S112" s="26"/>
    </row>
    <row r="113" spans="1:21" ht="16.5" thickTop="1" thickBot="1">
      <c r="A113" s="198" t="s">
        <v>213</v>
      </c>
      <c r="B113" s="245"/>
      <c r="C113" s="245"/>
      <c r="D113" s="246"/>
      <c r="E113" s="58"/>
      <c r="F113" s="58"/>
      <c r="G113" s="221"/>
      <c r="H113" s="222"/>
      <c r="I113" s="222"/>
      <c r="J113" s="222"/>
      <c r="K113" s="222"/>
      <c r="L113" s="222"/>
      <c r="M113" s="222"/>
      <c r="N113" s="222"/>
      <c r="O113" s="158"/>
      <c r="P113" s="26"/>
      <c r="Q113" s="26"/>
      <c r="R113" s="26"/>
      <c r="S113" s="26"/>
    </row>
    <row r="114" spans="1:21" ht="16.5" thickTop="1" thickBot="1">
      <c r="A114" s="69" t="s">
        <v>74</v>
      </c>
      <c r="B114" s="28">
        <v>10</v>
      </c>
      <c r="C114" s="69" t="s">
        <v>21</v>
      </c>
      <c r="D114" s="69" t="s">
        <v>152</v>
      </c>
      <c r="E114" s="58"/>
      <c r="F114" s="58"/>
      <c r="G114" s="118"/>
      <c r="H114" s="118"/>
      <c r="I114" s="118"/>
      <c r="J114" s="26"/>
      <c r="K114" s="103"/>
      <c r="L114" s="103"/>
      <c r="M114" s="103"/>
      <c r="N114" s="103"/>
      <c r="O114" s="26"/>
      <c r="P114" s="26"/>
      <c r="Q114" s="19"/>
      <c r="R114" s="19"/>
      <c r="S114" s="19"/>
      <c r="T114" s="19"/>
      <c r="U114" s="19"/>
    </row>
    <row r="115" spans="1:21" ht="16.5" thickTop="1" thickBot="1">
      <c r="A115" s="23" t="s">
        <v>11</v>
      </c>
      <c r="B115" s="2">
        <v>7</v>
      </c>
      <c r="C115" s="23" t="s">
        <v>21</v>
      </c>
      <c r="D115" s="15" t="s">
        <v>211</v>
      </c>
      <c r="E115" s="58"/>
      <c r="F115" s="117"/>
      <c r="G115" s="165" t="s">
        <v>388</v>
      </c>
      <c r="H115" s="223"/>
      <c r="I115" s="223"/>
      <c r="J115" s="223"/>
      <c r="K115" s="223"/>
      <c r="L115" s="223"/>
      <c r="M115" s="223"/>
      <c r="N115" s="223"/>
      <c r="O115" s="224"/>
      <c r="P115" s="26"/>
      <c r="Q115" s="105"/>
      <c r="R115" s="105"/>
      <c r="S115" s="105"/>
      <c r="T115" s="105"/>
      <c r="U115" s="105"/>
    </row>
    <row r="116" spans="1:21" ht="15.6" customHeight="1" thickTop="1">
      <c r="A116" s="23" t="s">
        <v>147</v>
      </c>
      <c r="B116" s="2">
        <v>4</v>
      </c>
      <c r="C116" s="23" t="s">
        <v>21</v>
      </c>
      <c r="D116" s="162" t="s">
        <v>210</v>
      </c>
      <c r="E116" s="58"/>
      <c r="F116" s="115"/>
      <c r="G116" s="189"/>
      <c r="H116" s="190"/>
      <c r="I116" s="190"/>
      <c r="J116" s="190"/>
      <c r="K116" s="190"/>
      <c r="L116" s="190"/>
      <c r="M116" s="190"/>
      <c r="N116" s="190"/>
      <c r="O116" s="191"/>
      <c r="P116" s="26"/>
      <c r="Q116" s="105"/>
      <c r="R116" s="105"/>
      <c r="S116" s="105"/>
      <c r="T116" s="105"/>
      <c r="U116" s="105"/>
    </row>
    <row r="117" spans="1:21" ht="15.6" customHeight="1">
      <c r="A117" s="23" t="s">
        <v>148</v>
      </c>
      <c r="B117" s="2">
        <v>3.3</v>
      </c>
      <c r="C117" s="23" t="s">
        <v>21</v>
      </c>
      <c r="D117" s="232"/>
      <c r="E117" s="58"/>
      <c r="F117" s="115"/>
      <c r="G117" s="192"/>
      <c r="H117" s="193"/>
      <c r="I117" s="193"/>
      <c r="J117" s="193"/>
      <c r="K117" s="193"/>
      <c r="L117" s="193"/>
      <c r="M117" s="193"/>
      <c r="N117" s="193"/>
      <c r="O117" s="194"/>
      <c r="P117" s="26"/>
      <c r="Q117" s="105"/>
      <c r="R117" s="105"/>
      <c r="S117" s="105"/>
      <c r="T117" s="105"/>
      <c r="U117" s="105"/>
    </row>
    <row r="118" spans="1:21" ht="15.6" customHeight="1">
      <c r="A118" s="7" t="s">
        <v>149</v>
      </c>
      <c r="B118" s="60">
        <v>86</v>
      </c>
      <c r="C118" s="22" t="s">
        <v>31</v>
      </c>
      <c r="D118" s="232"/>
      <c r="E118" s="58"/>
      <c r="F118" s="115"/>
      <c r="G118" s="192"/>
      <c r="H118" s="193"/>
      <c r="I118" s="193"/>
      <c r="J118" s="193"/>
      <c r="K118" s="193"/>
      <c r="L118" s="193"/>
      <c r="M118" s="193"/>
      <c r="N118" s="193"/>
      <c r="O118" s="194"/>
      <c r="P118" s="26"/>
      <c r="Q118" s="105"/>
      <c r="R118" s="105"/>
      <c r="S118" s="105"/>
      <c r="T118" s="105"/>
      <c r="U118" s="105"/>
    </row>
    <row r="119" spans="1:21" ht="15.6" customHeight="1">
      <c r="A119" s="23" t="s">
        <v>151</v>
      </c>
      <c r="B119" s="2">
        <v>30</v>
      </c>
      <c r="C119" s="23" t="s">
        <v>21</v>
      </c>
      <c r="D119" s="232"/>
      <c r="E119" s="58"/>
      <c r="F119" s="115"/>
      <c r="G119" s="192"/>
      <c r="H119" s="193"/>
      <c r="I119" s="193"/>
      <c r="J119" s="193"/>
      <c r="K119" s="193"/>
      <c r="L119" s="193"/>
      <c r="M119" s="193"/>
      <c r="N119" s="193"/>
      <c r="O119" s="194"/>
      <c r="P119" s="26"/>
      <c r="Q119" s="105"/>
      <c r="R119" s="105"/>
      <c r="S119" s="105"/>
      <c r="T119" s="105"/>
      <c r="U119" s="105"/>
    </row>
    <row r="120" spans="1:21">
      <c r="A120" s="106" t="s">
        <v>309</v>
      </c>
      <c r="B120" s="24">
        <v>1</v>
      </c>
      <c r="C120" s="38" t="s">
        <v>10</v>
      </c>
      <c r="D120" s="187"/>
      <c r="E120" s="58"/>
      <c r="F120" s="115"/>
      <c r="G120" s="192"/>
      <c r="H120" s="193"/>
      <c r="I120" s="193"/>
      <c r="J120" s="193"/>
      <c r="K120" s="193"/>
      <c r="L120" s="193"/>
      <c r="M120" s="193"/>
      <c r="N120" s="193"/>
      <c r="O120" s="194"/>
      <c r="P120" s="26"/>
      <c r="Q120" s="105"/>
      <c r="R120" s="105"/>
      <c r="S120" s="105"/>
      <c r="T120" s="105"/>
      <c r="U120" s="105"/>
    </row>
    <row r="121" spans="1:21" ht="18">
      <c r="A121" s="177" t="s">
        <v>217</v>
      </c>
      <c r="B121" s="201"/>
      <c r="C121" s="51">
        <f>((4*G53)/(B115*B119*B118*B120))+B114</f>
        <v>20.728217362851201</v>
      </c>
      <c r="D121" s="29">
        <f>((4*G56)/(B115*B119*B118*B120))+B114</f>
        <v>40.468137310497404</v>
      </c>
      <c r="E121" s="20" t="s">
        <v>21</v>
      </c>
      <c r="F121" s="115"/>
      <c r="G121" s="192"/>
      <c r="H121" s="193"/>
      <c r="I121" s="193"/>
      <c r="J121" s="193"/>
      <c r="K121" s="193"/>
      <c r="L121" s="193"/>
      <c r="M121" s="193"/>
      <c r="N121" s="193"/>
      <c r="O121" s="194"/>
      <c r="P121" s="26"/>
      <c r="Q121" s="105"/>
      <c r="R121" s="105"/>
      <c r="S121" s="105"/>
      <c r="T121" s="105"/>
      <c r="U121" s="105"/>
    </row>
    <row r="122" spans="1:21">
      <c r="A122" s="184" t="s">
        <v>150</v>
      </c>
      <c r="B122" s="185"/>
      <c r="C122" s="63">
        <v>30</v>
      </c>
      <c r="D122" s="63">
        <v>45</v>
      </c>
      <c r="E122" s="20" t="s">
        <v>21</v>
      </c>
      <c r="F122" s="115"/>
      <c r="G122" s="192"/>
      <c r="H122" s="193"/>
      <c r="I122" s="193"/>
      <c r="J122" s="193"/>
      <c r="K122" s="193"/>
      <c r="L122" s="193"/>
      <c r="M122" s="193"/>
      <c r="N122" s="193"/>
      <c r="O122" s="194"/>
      <c r="P122" s="26"/>
      <c r="Q122" s="105"/>
      <c r="R122" s="105"/>
      <c r="S122" s="105"/>
      <c r="T122" s="105"/>
      <c r="U122" s="105"/>
    </row>
    <row r="123" spans="1:21">
      <c r="A123" s="159" t="s">
        <v>307</v>
      </c>
      <c r="B123" s="185"/>
      <c r="C123" s="234" t="s">
        <v>308</v>
      </c>
      <c r="D123" s="235"/>
      <c r="E123" s="58"/>
      <c r="F123" s="115"/>
      <c r="G123" s="192"/>
      <c r="H123" s="193"/>
      <c r="I123" s="193"/>
      <c r="J123" s="193"/>
      <c r="K123" s="193"/>
      <c r="L123" s="193"/>
      <c r="M123" s="193"/>
      <c r="N123" s="193"/>
      <c r="O123" s="194"/>
      <c r="P123" s="26"/>
      <c r="Q123" s="105"/>
      <c r="R123" s="105"/>
      <c r="S123" s="105"/>
      <c r="T123" s="105"/>
      <c r="U123" s="105"/>
    </row>
    <row r="124" spans="1:21">
      <c r="A124" s="184" t="s">
        <v>153</v>
      </c>
      <c r="B124" s="185"/>
      <c r="C124" s="249" t="s">
        <v>154</v>
      </c>
      <c r="D124" s="250"/>
      <c r="E124" s="58"/>
      <c r="F124" s="115"/>
      <c r="G124" s="192"/>
      <c r="H124" s="193"/>
      <c r="I124" s="193"/>
      <c r="J124" s="193"/>
      <c r="K124" s="193"/>
      <c r="L124" s="193"/>
      <c r="M124" s="193"/>
      <c r="N124" s="193"/>
      <c r="O124" s="194"/>
      <c r="P124" s="26"/>
      <c r="Q124" s="105"/>
      <c r="R124" s="105"/>
      <c r="S124" s="105"/>
      <c r="T124" s="105"/>
      <c r="U124" s="105"/>
    </row>
    <row r="125" spans="1:21">
      <c r="A125" s="57"/>
      <c r="B125" s="57"/>
      <c r="C125" s="57"/>
      <c r="D125" s="57"/>
      <c r="E125" s="58"/>
      <c r="F125" s="115"/>
      <c r="G125" s="192"/>
      <c r="H125" s="193"/>
      <c r="I125" s="193"/>
      <c r="J125" s="193"/>
      <c r="K125" s="193"/>
      <c r="L125" s="193"/>
      <c r="M125" s="193"/>
      <c r="N125" s="193"/>
      <c r="O125" s="194"/>
      <c r="P125" s="26"/>
      <c r="Q125" s="105"/>
      <c r="R125" s="105"/>
      <c r="S125" s="105"/>
      <c r="T125" s="105"/>
      <c r="U125" s="105"/>
    </row>
    <row r="126" spans="1:21">
      <c r="A126" s="57"/>
      <c r="B126" s="57"/>
      <c r="C126" s="57"/>
      <c r="D126" s="57"/>
      <c r="E126" s="58"/>
      <c r="F126" s="115"/>
      <c r="G126" s="192"/>
      <c r="H126" s="193"/>
      <c r="I126" s="193"/>
      <c r="J126" s="193"/>
      <c r="K126" s="193"/>
      <c r="L126" s="193"/>
      <c r="M126" s="193"/>
      <c r="N126" s="193"/>
      <c r="O126" s="194"/>
      <c r="P126" s="26"/>
      <c r="Q126" s="105"/>
      <c r="R126" s="105"/>
      <c r="S126" s="105"/>
      <c r="T126" s="105"/>
      <c r="U126" s="105"/>
    </row>
    <row r="127" spans="1:21" ht="15.75" thickBot="1">
      <c r="A127" s="57"/>
      <c r="F127" s="116"/>
      <c r="G127" s="192"/>
      <c r="H127" s="193"/>
      <c r="I127" s="193"/>
      <c r="J127" s="193"/>
      <c r="K127" s="193"/>
      <c r="L127" s="193"/>
      <c r="M127" s="193"/>
      <c r="N127" s="193"/>
      <c r="O127" s="194"/>
      <c r="P127" s="26"/>
      <c r="Q127" s="19"/>
      <c r="R127" s="19"/>
      <c r="S127" s="19"/>
      <c r="T127" s="19"/>
      <c r="U127" s="19"/>
    </row>
    <row r="128" spans="1:21" ht="16.5" thickTop="1" thickBot="1">
      <c r="A128" s="57"/>
      <c r="B128" s="163" t="s">
        <v>390</v>
      </c>
      <c r="C128" s="164"/>
      <c r="D128" s="164"/>
      <c r="E128" s="164"/>
      <c r="F128" s="164"/>
      <c r="G128" s="192"/>
      <c r="H128" s="193"/>
      <c r="I128" s="193"/>
      <c r="J128" s="193"/>
      <c r="K128" s="193"/>
      <c r="L128" s="193"/>
      <c r="M128" s="193"/>
      <c r="N128" s="193"/>
      <c r="O128" s="194"/>
      <c r="P128" s="26"/>
      <c r="Q128" s="105"/>
      <c r="R128" s="105"/>
      <c r="S128" s="105"/>
      <c r="T128" s="105"/>
      <c r="U128" s="105"/>
    </row>
    <row r="129" spans="1:21" ht="15.75" thickTop="1">
      <c r="A129" s="57"/>
      <c r="B129" s="189"/>
      <c r="C129" s="190"/>
      <c r="D129" s="190"/>
      <c r="E129" s="190"/>
      <c r="F129" s="191"/>
      <c r="G129" s="192"/>
      <c r="H129" s="193"/>
      <c r="I129" s="193"/>
      <c r="J129" s="193"/>
      <c r="K129" s="193"/>
      <c r="L129" s="193"/>
      <c r="M129" s="193"/>
      <c r="N129" s="193"/>
      <c r="O129" s="194"/>
      <c r="P129" s="26"/>
      <c r="Q129" s="105"/>
      <c r="R129" s="105"/>
      <c r="S129" s="105"/>
      <c r="T129" s="105"/>
      <c r="U129" s="105"/>
    </row>
    <row r="130" spans="1:21">
      <c r="A130" s="57"/>
      <c r="B130" s="192"/>
      <c r="C130" s="193"/>
      <c r="D130" s="193"/>
      <c r="E130" s="193"/>
      <c r="F130" s="194"/>
      <c r="G130" s="192"/>
      <c r="H130" s="193"/>
      <c r="I130" s="193"/>
      <c r="J130" s="193"/>
      <c r="K130" s="193"/>
      <c r="L130" s="193"/>
      <c r="M130" s="193"/>
      <c r="N130" s="193"/>
      <c r="O130" s="194"/>
      <c r="P130" s="26"/>
      <c r="Q130" s="105"/>
      <c r="R130" s="105"/>
      <c r="S130" s="105"/>
      <c r="T130" s="105"/>
      <c r="U130" s="105"/>
    </row>
    <row r="131" spans="1:21">
      <c r="A131" s="57"/>
      <c r="B131" s="192"/>
      <c r="C131" s="193"/>
      <c r="D131" s="193"/>
      <c r="E131" s="193"/>
      <c r="F131" s="194"/>
      <c r="G131" s="192"/>
      <c r="H131" s="193"/>
      <c r="I131" s="193"/>
      <c r="J131" s="193"/>
      <c r="K131" s="193"/>
      <c r="L131" s="193"/>
      <c r="M131" s="193"/>
      <c r="N131" s="193"/>
      <c r="O131" s="194"/>
      <c r="P131" s="26"/>
      <c r="Q131" s="105"/>
      <c r="R131" s="105"/>
      <c r="S131" s="105"/>
      <c r="T131" s="105"/>
      <c r="U131" s="105"/>
    </row>
    <row r="132" spans="1:21">
      <c r="A132" s="57"/>
      <c r="B132" s="192"/>
      <c r="C132" s="193"/>
      <c r="D132" s="193"/>
      <c r="E132" s="193"/>
      <c r="F132" s="194"/>
      <c r="G132" s="192"/>
      <c r="H132" s="193"/>
      <c r="I132" s="193"/>
      <c r="J132" s="193"/>
      <c r="K132" s="193"/>
      <c r="L132" s="193"/>
      <c r="M132" s="193"/>
      <c r="N132" s="193"/>
      <c r="O132" s="194"/>
      <c r="P132" s="26"/>
      <c r="Q132" s="105"/>
      <c r="R132" s="105"/>
      <c r="S132" s="105"/>
      <c r="T132" s="105"/>
      <c r="U132" s="105"/>
    </row>
    <row r="133" spans="1:21">
      <c r="A133" s="57"/>
      <c r="B133" s="192"/>
      <c r="C133" s="193"/>
      <c r="D133" s="193"/>
      <c r="E133" s="193"/>
      <c r="F133" s="194"/>
      <c r="G133" s="192"/>
      <c r="H133" s="193"/>
      <c r="I133" s="193"/>
      <c r="J133" s="193"/>
      <c r="K133" s="193"/>
      <c r="L133" s="193"/>
      <c r="M133" s="193"/>
      <c r="N133" s="193"/>
      <c r="O133" s="194"/>
      <c r="P133" s="26"/>
      <c r="Q133" s="105"/>
      <c r="R133" s="105"/>
      <c r="S133" s="105"/>
      <c r="T133" s="105"/>
      <c r="U133" s="105"/>
    </row>
    <row r="134" spans="1:21">
      <c r="A134" s="57"/>
      <c r="B134" s="192"/>
      <c r="C134" s="193"/>
      <c r="D134" s="193"/>
      <c r="E134" s="193"/>
      <c r="F134" s="194"/>
      <c r="G134" s="192"/>
      <c r="H134" s="193"/>
      <c r="I134" s="193"/>
      <c r="J134" s="193"/>
      <c r="K134" s="193"/>
      <c r="L134" s="193"/>
      <c r="M134" s="193"/>
      <c r="N134" s="193"/>
      <c r="O134" s="194"/>
      <c r="P134" s="26"/>
      <c r="Q134" s="19"/>
      <c r="R134" s="19"/>
      <c r="S134" s="19"/>
      <c r="T134" s="19"/>
      <c r="U134" s="19"/>
    </row>
    <row r="135" spans="1:21">
      <c r="A135" s="57"/>
      <c r="B135" s="192"/>
      <c r="C135" s="193"/>
      <c r="D135" s="193"/>
      <c r="E135" s="193"/>
      <c r="F135" s="194"/>
      <c r="G135" s="192"/>
      <c r="H135" s="193"/>
      <c r="I135" s="193"/>
      <c r="J135" s="193"/>
      <c r="K135" s="193"/>
      <c r="L135" s="193"/>
      <c r="M135" s="193"/>
      <c r="N135" s="193"/>
      <c r="O135" s="194"/>
      <c r="P135" s="26"/>
      <c r="Q135" s="26"/>
      <c r="R135" s="26"/>
      <c r="S135" s="26"/>
    </row>
    <row r="136" spans="1:21">
      <c r="A136" s="57"/>
      <c r="B136" s="192"/>
      <c r="C136" s="193"/>
      <c r="D136" s="193"/>
      <c r="E136" s="193"/>
      <c r="F136" s="194"/>
      <c r="G136" s="192"/>
      <c r="H136" s="193"/>
      <c r="I136" s="193"/>
      <c r="J136" s="193"/>
      <c r="K136" s="193"/>
      <c r="L136" s="193"/>
      <c r="M136" s="193"/>
      <c r="N136" s="193"/>
      <c r="O136" s="194"/>
      <c r="P136" s="26"/>
      <c r="Q136" s="26"/>
      <c r="R136" s="26"/>
      <c r="S136" s="26"/>
    </row>
    <row r="137" spans="1:21">
      <c r="A137" s="57"/>
      <c r="B137" s="192"/>
      <c r="C137" s="193"/>
      <c r="D137" s="193"/>
      <c r="E137" s="193"/>
      <c r="F137" s="194"/>
      <c r="G137" s="192"/>
      <c r="H137" s="193"/>
      <c r="I137" s="193"/>
      <c r="J137" s="193"/>
      <c r="K137" s="193"/>
      <c r="L137" s="193"/>
      <c r="M137" s="193"/>
      <c r="N137" s="193"/>
      <c r="O137" s="194"/>
      <c r="P137" s="26"/>
      <c r="Q137" s="26"/>
      <c r="R137" s="26"/>
      <c r="S137" s="26"/>
    </row>
    <row r="138" spans="1:21">
      <c r="A138" s="57"/>
      <c r="B138" s="192"/>
      <c r="C138" s="193"/>
      <c r="D138" s="193"/>
      <c r="E138" s="193"/>
      <c r="F138" s="194"/>
      <c r="G138" s="192"/>
      <c r="H138" s="193"/>
      <c r="I138" s="193"/>
      <c r="J138" s="193"/>
      <c r="K138" s="193"/>
      <c r="L138" s="193"/>
      <c r="M138" s="193"/>
      <c r="N138" s="193"/>
      <c r="O138" s="194"/>
      <c r="P138" s="26"/>
      <c r="Q138" s="26"/>
      <c r="R138" s="26"/>
      <c r="S138" s="26"/>
    </row>
    <row r="139" spans="1:21">
      <c r="A139" s="57"/>
      <c r="B139" s="192"/>
      <c r="C139" s="193"/>
      <c r="D139" s="193"/>
      <c r="E139" s="193"/>
      <c r="F139" s="194"/>
      <c r="G139" s="192"/>
      <c r="H139" s="193"/>
      <c r="I139" s="193"/>
      <c r="J139" s="193"/>
      <c r="K139" s="193"/>
      <c r="L139" s="193"/>
      <c r="M139" s="193"/>
      <c r="N139" s="193"/>
      <c r="O139" s="194"/>
      <c r="P139" s="26"/>
      <c r="Q139" s="26"/>
      <c r="R139" s="26"/>
      <c r="S139" s="26"/>
    </row>
    <row r="140" spans="1:21">
      <c r="A140" s="57"/>
      <c r="B140" s="192"/>
      <c r="C140" s="193"/>
      <c r="D140" s="193"/>
      <c r="E140" s="193"/>
      <c r="F140" s="194"/>
      <c r="G140" s="192"/>
      <c r="H140" s="193"/>
      <c r="I140" s="193"/>
      <c r="J140" s="193"/>
      <c r="K140" s="193"/>
      <c r="L140" s="193"/>
      <c r="M140" s="193"/>
      <c r="N140" s="193"/>
      <c r="O140" s="194"/>
      <c r="P140" s="26"/>
      <c r="Q140" s="26"/>
      <c r="R140" s="26"/>
      <c r="S140" s="26"/>
    </row>
    <row r="141" spans="1:21">
      <c r="A141" s="57"/>
      <c r="B141" s="192"/>
      <c r="C141" s="193"/>
      <c r="D141" s="193"/>
      <c r="E141" s="193"/>
      <c r="F141" s="194"/>
      <c r="G141" s="192"/>
      <c r="H141" s="193"/>
      <c r="I141" s="193"/>
      <c r="J141" s="193"/>
      <c r="K141" s="193"/>
      <c r="L141" s="193"/>
      <c r="M141" s="193"/>
      <c r="N141" s="193"/>
      <c r="O141" s="194"/>
      <c r="P141" s="26"/>
      <c r="Q141" s="26"/>
      <c r="R141" s="26"/>
      <c r="S141" s="26"/>
    </row>
    <row r="142" spans="1:21">
      <c r="A142" s="57"/>
      <c r="B142" s="192"/>
      <c r="C142" s="193"/>
      <c r="D142" s="193"/>
      <c r="E142" s="193"/>
      <c r="F142" s="194"/>
      <c r="G142" s="192"/>
      <c r="H142" s="193"/>
      <c r="I142" s="193"/>
      <c r="J142" s="193"/>
      <c r="K142" s="193"/>
      <c r="L142" s="193"/>
      <c r="M142" s="193"/>
      <c r="N142" s="193"/>
      <c r="O142" s="194"/>
      <c r="P142" s="26"/>
      <c r="Q142" s="26"/>
      <c r="R142" s="26"/>
      <c r="S142" s="26"/>
    </row>
    <row r="143" spans="1:21">
      <c r="A143" s="57"/>
      <c r="B143" s="192"/>
      <c r="C143" s="193"/>
      <c r="D143" s="193"/>
      <c r="E143" s="193"/>
      <c r="F143" s="194"/>
      <c r="G143" s="192"/>
      <c r="H143" s="193"/>
      <c r="I143" s="193"/>
      <c r="J143" s="193"/>
      <c r="K143" s="193"/>
      <c r="L143" s="193"/>
      <c r="M143" s="193"/>
      <c r="N143" s="193"/>
      <c r="O143" s="194"/>
      <c r="P143" s="26"/>
      <c r="Q143" s="26"/>
      <c r="R143" s="26"/>
      <c r="S143" s="26"/>
    </row>
    <row r="144" spans="1:21">
      <c r="A144" s="57"/>
      <c r="B144" s="192"/>
      <c r="C144" s="193"/>
      <c r="D144" s="193"/>
      <c r="E144" s="193"/>
      <c r="F144" s="194"/>
      <c r="G144" s="192"/>
      <c r="H144" s="193"/>
      <c r="I144" s="193"/>
      <c r="J144" s="193"/>
      <c r="K144" s="193"/>
      <c r="L144" s="193"/>
      <c r="M144" s="193"/>
      <c r="N144" s="193"/>
      <c r="O144" s="194"/>
      <c r="P144" s="26"/>
      <c r="Q144" s="19"/>
      <c r="R144" s="26"/>
      <c r="S144" s="26"/>
    </row>
    <row r="145" spans="1:19">
      <c r="A145" s="57"/>
      <c r="B145" s="192"/>
      <c r="C145" s="193"/>
      <c r="D145" s="193"/>
      <c r="E145" s="193"/>
      <c r="F145" s="194"/>
      <c r="G145" s="192"/>
      <c r="H145" s="193"/>
      <c r="I145" s="193"/>
      <c r="J145" s="193"/>
      <c r="K145" s="193"/>
      <c r="L145" s="193"/>
      <c r="M145" s="193"/>
      <c r="N145" s="193"/>
      <c r="O145" s="194"/>
      <c r="P145" s="26"/>
      <c r="Q145" s="19"/>
      <c r="R145" s="26"/>
      <c r="S145" s="26"/>
    </row>
    <row r="146" spans="1:19">
      <c r="A146" s="57"/>
      <c r="B146" s="192"/>
      <c r="C146" s="193"/>
      <c r="D146" s="193"/>
      <c r="E146" s="193"/>
      <c r="F146" s="194"/>
      <c r="G146" s="192"/>
      <c r="H146" s="193"/>
      <c r="I146" s="193"/>
      <c r="J146" s="193"/>
      <c r="K146" s="193"/>
      <c r="L146" s="193"/>
      <c r="M146" s="193"/>
      <c r="N146" s="193"/>
      <c r="O146" s="194"/>
      <c r="P146" s="26"/>
      <c r="Q146" s="19"/>
      <c r="R146" s="26"/>
      <c r="S146" s="26"/>
    </row>
    <row r="147" spans="1:19" ht="15.75" thickBot="1">
      <c r="A147" s="57"/>
      <c r="B147" s="195"/>
      <c r="C147" s="196"/>
      <c r="D147" s="196"/>
      <c r="E147" s="196"/>
      <c r="F147" s="197"/>
      <c r="G147" s="195"/>
      <c r="H147" s="196"/>
      <c r="I147" s="196"/>
      <c r="J147" s="196"/>
      <c r="K147" s="196"/>
      <c r="L147" s="196"/>
      <c r="M147" s="196"/>
      <c r="N147" s="196"/>
      <c r="O147" s="197"/>
      <c r="P147" s="26"/>
      <c r="Q147" s="19"/>
      <c r="R147" s="26"/>
      <c r="S147" s="26"/>
    </row>
    <row r="148" spans="1:19" ht="15.75" thickTop="1">
      <c r="A148" s="57"/>
      <c r="B148" s="57"/>
      <c r="C148" s="57"/>
      <c r="D148" s="57"/>
      <c r="E148" s="57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19"/>
      <c r="R148" s="26"/>
      <c r="S148" s="26"/>
    </row>
    <row r="149" spans="1:19">
      <c r="A149" s="57"/>
      <c r="B149" s="57"/>
      <c r="C149" s="57"/>
      <c r="D149" s="57"/>
      <c r="E149" s="57"/>
      <c r="F149" s="19"/>
      <c r="M149" s="26"/>
      <c r="N149" s="26"/>
      <c r="O149" s="26"/>
      <c r="P149" s="26"/>
      <c r="Q149" s="19"/>
      <c r="R149" s="26"/>
      <c r="S149" s="26"/>
    </row>
    <row r="150" spans="1:19" ht="15.75" thickBot="1">
      <c r="A150" s="57"/>
      <c r="F150" s="19"/>
      <c r="G150" s="19"/>
      <c r="H150" s="26"/>
      <c r="I150" s="26"/>
      <c r="J150" s="26"/>
      <c r="K150" s="26"/>
      <c r="L150" s="26"/>
      <c r="M150" s="26"/>
      <c r="N150" s="26"/>
      <c r="O150" s="26"/>
      <c r="P150" s="26"/>
      <c r="Q150" s="19"/>
      <c r="R150" s="26"/>
      <c r="S150" s="26"/>
    </row>
    <row r="151" spans="1:19" ht="14.45" customHeight="1" thickTop="1" thickBot="1">
      <c r="A151" s="236" t="s">
        <v>222</v>
      </c>
      <c r="B151" s="237"/>
      <c r="C151" s="237"/>
      <c r="D151" s="237"/>
      <c r="E151" s="237"/>
      <c r="F151" s="238"/>
      <c r="G151" s="242" t="s">
        <v>241</v>
      </c>
      <c r="H151" s="26"/>
      <c r="I151" s="198" t="s">
        <v>314</v>
      </c>
      <c r="J151" s="245"/>
      <c r="K151" s="245"/>
      <c r="L151" s="245"/>
      <c r="M151" s="245"/>
      <c r="N151" s="245"/>
      <c r="O151" s="246"/>
      <c r="P151" s="26"/>
      <c r="Q151" s="19"/>
      <c r="R151" s="26"/>
      <c r="S151" s="26"/>
    </row>
    <row r="152" spans="1:19" ht="16.5" thickTop="1" thickBot="1">
      <c r="A152" s="239"/>
      <c r="B152" s="240"/>
      <c r="C152" s="240"/>
      <c r="D152" s="240"/>
      <c r="E152" s="240"/>
      <c r="F152" s="241"/>
      <c r="G152" s="243"/>
      <c r="H152" s="26"/>
      <c r="I152" s="226" t="s">
        <v>326</v>
      </c>
      <c r="J152" s="227"/>
      <c r="K152" s="227"/>
      <c r="L152" s="227"/>
      <c r="M152" s="227"/>
      <c r="N152" s="227"/>
      <c r="O152" s="228"/>
      <c r="P152" s="26"/>
      <c r="Q152" s="26"/>
      <c r="R152" s="26"/>
      <c r="S152" s="26"/>
    </row>
    <row r="153" spans="1:19" ht="18.75" thickTop="1">
      <c r="A153" s="216" t="s">
        <v>263</v>
      </c>
      <c r="B153" s="217"/>
      <c r="C153" s="217"/>
      <c r="D153" s="218"/>
      <c r="E153" s="130">
        <v>62</v>
      </c>
      <c r="F153" s="101" t="s">
        <v>21</v>
      </c>
      <c r="G153" s="157" t="s">
        <v>324</v>
      </c>
      <c r="H153" s="26"/>
      <c r="I153" s="142"/>
      <c r="J153" s="143"/>
      <c r="K153" s="143"/>
      <c r="L153" s="143"/>
      <c r="M153" s="143"/>
      <c r="N153" s="143"/>
      <c r="O153" s="144"/>
      <c r="P153" s="26"/>
      <c r="Q153" s="19"/>
      <c r="R153" s="26"/>
      <c r="S153" s="26"/>
    </row>
    <row r="154" spans="1:19" ht="18">
      <c r="A154" s="159" t="s">
        <v>264</v>
      </c>
      <c r="B154" s="160"/>
      <c r="C154" s="160"/>
      <c r="D154" s="161"/>
      <c r="E154" s="15">
        <v>77</v>
      </c>
      <c r="F154" s="72" t="s">
        <v>21</v>
      </c>
      <c r="G154" s="158"/>
      <c r="H154" s="26"/>
      <c r="I154" s="145"/>
      <c r="J154" s="146"/>
      <c r="K154" s="146"/>
      <c r="L154" s="146"/>
      <c r="M154" s="146"/>
      <c r="N154" s="146"/>
      <c r="O154" s="147"/>
      <c r="P154" s="26"/>
      <c r="Q154" s="19"/>
      <c r="R154" s="26"/>
      <c r="S154" s="26"/>
    </row>
    <row r="155" spans="1:19" ht="33" customHeight="1">
      <c r="A155" s="158" t="s">
        <v>265</v>
      </c>
      <c r="B155" s="158"/>
      <c r="C155" s="158"/>
      <c r="D155" s="158"/>
      <c r="E155" s="90">
        <f>D15/D16</f>
        <v>48.437901393273165</v>
      </c>
      <c r="F155" s="94" t="s">
        <v>39</v>
      </c>
      <c r="G155" s="162" t="s">
        <v>325</v>
      </c>
      <c r="H155" s="26"/>
      <c r="I155" s="145"/>
      <c r="J155" s="146"/>
      <c r="K155" s="146"/>
      <c r="L155" s="146"/>
      <c r="M155" s="146"/>
      <c r="N155" s="146"/>
      <c r="O155" s="147"/>
      <c r="Q155" s="19"/>
    </row>
    <row r="156" spans="1:19" ht="34.9" customHeight="1">
      <c r="A156" s="162" t="s">
        <v>266</v>
      </c>
      <c r="B156" s="162"/>
      <c r="C156" s="162"/>
      <c r="D156" s="162"/>
      <c r="E156" s="64">
        <f>9550*(D15/D4)/1000</f>
        <v>48.441469396551717</v>
      </c>
      <c r="F156" s="72" t="s">
        <v>39</v>
      </c>
      <c r="G156" s="162"/>
      <c r="H156" s="26"/>
      <c r="I156" s="145"/>
      <c r="J156" s="146"/>
      <c r="K156" s="146"/>
      <c r="L156" s="146"/>
      <c r="M156" s="146"/>
      <c r="N156" s="146"/>
      <c r="O156" s="147"/>
      <c r="Q156" s="19"/>
    </row>
    <row r="157" spans="1:19" ht="21.6" customHeight="1">
      <c r="A157" s="209" t="s">
        <v>256</v>
      </c>
      <c r="B157" s="209"/>
      <c r="C157" s="209"/>
      <c r="D157" s="209"/>
      <c r="E157" s="64">
        <f>E155*E167</f>
        <v>81.738958601148468</v>
      </c>
      <c r="F157" s="84" t="s">
        <v>39</v>
      </c>
      <c r="G157" s="162"/>
      <c r="I157" s="145"/>
      <c r="J157" s="146"/>
      <c r="K157" s="146"/>
      <c r="L157" s="146"/>
      <c r="M157" s="146"/>
      <c r="N157" s="146"/>
      <c r="O157" s="147"/>
    </row>
    <row r="158" spans="1:19" ht="30" customHeight="1">
      <c r="A158" s="209" t="s">
        <v>257</v>
      </c>
      <c r="B158" s="209"/>
      <c r="C158" s="209"/>
      <c r="D158" s="209"/>
      <c r="E158" s="64">
        <f>E170*E173*E159/1000</f>
        <v>81.738958601148454</v>
      </c>
      <c r="F158" s="72" t="s">
        <v>39</v>
      </c>
      <c r="G158" s="162"/>
      <c r="I158" s="145"/>
      <c r="J158" s="146"/>
      <c r="K158" s="146"/>
      <c r="L158" s="146"/>
      <c r="M158" s="146"/>
      <c r="N158" s="146"/>
      <c r="O158" s="147"/>
    </row>
    <row r="159" spans="1:19" ht="31.15" customHeight="1">
      <c r="A159" s="229" t="s">
        <v>243</v>
      </c>
      <c r="B159" s="230"/>
      <c r="C159" s="230"/>
      <c r="D159" s="231"/>
      <c r="E159" s="89">
        <f>(E153+E154)/4</f>
        <v>34.75</v>
      </c>
      <c r="F159" s="98" t="s">
        <v>21</v>
      </c>
      <c r="G159" s="162"/>
      <c r="I159" s="145"/>
      <c r="J159" s="146"/>
      <c r="K159" s="146"/>
      <c r="L159" s="146"/>
      <c r="M159" s="146"/>
      <c r="N159" s="146"/>
      <c r="O159" s="147"/>
    </row>
    <row r="160" spans="1:19" ht="29.45" customHeight="1">
      <c r="A160" s="309" t="s">
        <v>242</v>
      </c>
      <c r="B160" s="310"/>
      <c r="C160" s="310"/>
      <c r="D160" s="311"/>
      <c r="E160" s="64">
        <f>(1/3)*(E154*E154*E154-E153*E153*E153)/(E154*E154-E153*E153)</f>
        <v>34.884892086330936</v>
      </c>
      <c r="F160" s="72" t="s">
        <v>21</v>
      </c>
      <c r="G160" s="162"/>
      <c r="I160" s="145"/>
      <c r="J160" s="146"/>
      <c r="K160" s="146"/>
      <c r="L160" s="146"/>
      <c r="M160" s="146"/>
      <c r="N160" s="146"/>
      <c r="O160" s="147"/>
    </row>
    <row r="161" spans="1:19" ht="15" customHeight="1">
      <c r="A161" s="159" t="s">
        <v>278</v>
      </c>
      <c r="B161" s="160"/>
      <c r="C161" s="160"/>
      <c r="D161" s="161"/>
      <c r="E161" s="64">
        <f>E181*(E159/1000)</f>
        <v>4.8544413282045094</v>
      </c>
      <c r="F161" s="98" t="s">
        <v>171</v>
      </c>
      <c r="G161" s="107" t="s">
        <v>322</v>
      </c>
      <c r="I161" s="145"/>
      <c r="J161" s="146"/>
      <c r="K161" s="146"/>
      <c r="L161" s="146"/>
      <c r="M161" s="146"/>
      <c r="N161" s="146"/>
      <c r="O161" s="147"/>
    </row>
    <row r="162" spans="1:19" ht="18">
      <c r="A162" s="159" t="s">
        <v>279</v>
      </c>
      <c r="B162" s="160"/>
      <c r="C162" s="160"/>
      <c r="D162" s="161"/>
      <c r="E162" s="15">
        <v>5</v>
      </c>
      <c r="F162" s="98" t="s">
        <v>171</v>
      </c>
      <c r="G162" s="107" t="s">
        <v>321</v>
      </c>
      <c r="I162" s="145"/>
      <c r="J162" s="146"/>
      <c r="K162" s="146"/>
      <c r="L162" s="146"/>
      <c r="M162" s="146"/>
      <c r="N162" s="146"/>
      <c r="O162" s="147"/>
    </row>
    <row r="163" spans="1:19">
      <c r="A163" s="159" t="s">
        <v>224</v>
      </c>
      <c r="B163" s="160"/>
      <c r="C163" s="160"/>
      <c r="D163" s="161"/>
      <c r="E163" s="15">
        <v>1.35</v>
      </c>
      <c r="F163" s="98" t="s">
        <v>10</v>
      </c>
      <c r="G163" s="108" t="s">
        <v>323</v>
      </c>
      <c r="I163" s="145"/>
      <c r="J163" s="146"/>
      <c r="K163" s="146"/>
      <c r="L163" s="146"/>
      <c r="M163" s="146"/>
      <c r="N163" s="146"/>
      <c r="O163" s="147"/>
    </row>
    <row r="164" spans="1:19" ht="18">
      <c r="A164" s="159" t="s">
        <v>267</v>
      </c>
      <c r="B164" s="160"/>
      <c r="C164" s="160"/>
      <c r="D164" s="161"/>
      <c r="E164" s="97">
        <v>0.8</v>
      </c>
      <c r="F164" s="100" t="s">
        <v>10</v>
      </c>
      <c r="G164" s="108" t="s">
        <v>321</v>
      </c>
      <c r="I164" s="145"/>
      <c r="J164" s="146"/>
      <c r="K164" s="146"/>
      <c r="L164" s="146"/>
      <c r="M164" s="146"/>
      <c r="N164" s="146"/>
      <c r="O164" s="147"/>
      <c r="R164" s="19"/>
      <c r="S164" s="19"/>
    </row>
    <row r="165" spans="1:19" ht="18">
      <c r="A165" s="159" t="s">
        <v>260</v>
      </c>
      <c r="B165" s="160"/>
      <c r="C165" s="160"/>
      <c r="D165" s="161"/>
      <c r="E165" s="15">
        <v>50</v>
      </c>
      <c r="F165" s="98" t="s">
        <v>10</v>
      </c>
      <c r="G165" s="98" t="s">
        <v>259</v>
      </c>
      <c r="I165" s="145"/>
      <c r="J165" s="146"/>
      <c r="K165" s="146"/>
      <c r="L165" s="146"/>
      <c r="M165" s="146"/>
      <c r="N165" s="146"/>
      <c r="O165" s="147"/>
      <c r="R165" s="19"/>
      <c r="S165" s="19"/>
    </row>
    <row r="166" spans="1:19" ht="18">
      <c r="A166" s="159" t="s">
        <v>261</v>
      </c>
      <c r="B166" s="160"/>
      <c r="C166" s="160"/>
      <c r="D166" s="161"/>
      <c r="E166" s="15">
        <f>IF(E178&lt;E165,1,1-0.002*(E178-E165))</f>
        <v>1</v>
      </c>
      <c r="F166" s="98" t="s">
        <v>10</v>
      </c>
      <c r="G166" s="99" t="s">
        <v>262</v>
      </c>
      <c r="I166" s="145"/>
      <c r="J166" s="146"/>
      <c r="K166" s="146"/>
      <c r="L166" s="146"/>
      <c r="M166" s="146"/>
      <c r="N166" s="146"/>
      <c r="O166" s="147"/>
      <c r="R166" s="19"/>
      <c r="S166" s="19"/>
    </row>
    <row r="167" spans="1:19">
      <c r="A167" s="209" t="s">
        <v>258</v>
      </c>
      <c r="B167" s="209"/>
      <c r="C167" s="209"/>
      <c r="D167" s="209"/>
      <c r="E167" s="64">
        <f>E163/(E166*E164)</f>
        <v>1.6875</v>
      </c>
      <c r="F167" s="84" t="s">
        <v>10</v>
      </c>
      <c r="I167" s="145"/>
      <c r="J167" s="146"/>
      <c r="K167" s="146"/>
      <c r="L167" s="146"/>
      <c r="M167" s="146"/>
      <c r="N167" s="146"/>
      <c r="O167" s="147"/>
      <c r="R167" s="19"/>
      <c r="S167" s="19"/>
    </row>
    <row r="168" spans="1:19" ht="15.75" thickBot="1">
      <c r="I168" s="145"/>
      <c r="J168" s="146"/>
      <c r="K168" s="146"/>
      <c r="L168" s="146"/>
      <c r="M168" s="146"/>
      <c r="N168" s="146"/>
      <c r="O168" s="147"/>
      <c r="R168" s="19"/>
      <c r="S168" s="19"/>
    </row>
    <row r="169" spans="1:19" ht="16.5" thickTop="1" thickBot="1">
      <c r="A169" s="198" t="s">
        <v>223</v>
      </c>
      <c r="B169" s="199"/>
      <c r="C169" s="199"/>
      <c r="D169" s="199"/>
      <c r="E169" s="199"/>
      <c r="F169" s="200"/>
      <c r="G169" s="3"/>
      <c r="I169" s="145"/>
      <c r="J169" s="146"/>
      <c r="K169" s="146"/>
      <c r="L169" s="146"/>
      <c r="M169" s="146"/>
      <c r="N169" s="146"/>
      <c r="O169" s="147"/>
      <c r="R169" s="19"/>
      <c r="S169" s="19"/>
    </row>
    <row r="170" spans="1:19" ht="18.75" thickTop="1">
      <c r="A170" s="216" t="s">
        <v>269</v>
      </c>
      <c r="B170" s="217"/>
      <c r="C170" s="217"/>
      <c r="D170" s="218"/>
      <c r="E170" s="90">
        <f>E157*1000/(E173*E159)</f>
        <v>5880.5006187876588</v>
      </c>
      <c r="F170" s="101" t="s">
        <v>57</v>
      </c>
      <c r="G170" s="1"/>
      <c r="I170" s="145"/>
      <c r="J170" s="146"/>
      <c r="K170" s="146"/>
      <c r="L170" s="146"/>
      <c r="M170" s="146"/>
      <c r="N170" s="146"/>
      <c r="O170" s="147"/>
      <c r="R170" s="19"/>
      <c r="S170" s="19"/>
    </row>
    <row r="171" spans="1:19">
      <c r="A171" s="159" t="s">
        <v>225</v>
      </c>
      <c r="B171" s="160"/>
      <c r="C171" s="160"/>
      <c r="D171" s="161"/>
      <c r="E171" s="93">
        <f>(4*E157*1000)/(PI()*E173*E159*((E154^2)-(E153^2)))</f>
        <v>3.5910244271846725</v>
      </c>
      <c r="F171" s="107" t="s">
        <v>31</v>
      </c>
      <c r="G171" s="1"/>
      <c r="I171" s="145"/>
      <c r="J171" s="146"/>
      <c r="K171" s="146"/>
      <c r="L171" s="146"/>
      <c r="M171" s="146"/>
      <c r="N171" s="146"/>
      <c r="O171" s="147"/>
      <c r="R171" s="19"/>
      <c r="S171" s="19"/>
    </row>
    <row r="172" spans="1:19">
      <c r="A172" s="159" t="s">
        <v>270</v>
      </c>
      <c r="B172" s="160"/>
      <c r="C172" s="160"/>
      <c r="D172" s="161"/>
      <c r="E172" s="93">
        <f>(4*E157*1000)/(PI()*E159*E173*(E154*E154-E153*E153)*(E174-1)*E175)</f>
        <v>0.59850407119744531</v>
      </c>
      <c r="F172" s="107" t="s">
        <v>31</v>
      </c>
      <c r="G172" s="1"/>
      <c r="I172" s="145"/>
      <c r="J172" s="146"/>
      <c r="K172" s="146"/>
      <c r="L172" s="146"/>
      <c r="M172" s="146"/>
      <c r="N172" s="146"/>
      <c r="O172" s="147"/>
      <c r="R172" s="19"/>
      <c r="S172" s="19"/>
    </row>
    <row r="173" spans="1:19">
      <c r="A173" s="160" t="s">
        <v>245</v>
      </c>
      <c r="B173" s="160"/>
      <c r="C173" s="160"/>
      <c r="D173" s="161"/>
      <c r="E173" s="91">
        <v>0.4</v>
      </c>
      <c r="F173" s="107" t="s">
        <v>10</v>
      </c>
      <c r="G173" s="107" t="s">
        <v>318</v>
      </c>
      <c r="I173" s="145"/>
      <c r="J173" s="146"/>
      <c r="K173" s="146"/>
      <c r="L173" s="146"/>
      <c r="M173" s="146"/>
      <c r="N173" s="146"/>
      <c r="O173" s="147"/>
      <c r="R173" s="19"/>
      <c r="S173" s="19"/>
    </row>
    <row r="174" spans="1:19">
      <c r="A174" s="159" t="s">
        <v>226</v>
      </c>
      <c r="B174" s="160"/>
      <c r="C174" s="160"/>
      <c r="D174" s="161"/>
      <c r="E174" s="92">
        <v>7</v>
      </c>
      <c r="F174" s="107" t="s">
        <v>10</v>
      </c>
      <c r="G174" s="107" t="s">
        <v>268</v>
      </c>
      <c r="I174" s="145"/>
      <c r="J174" s="146"/>
      <c r="K174" s="146"/>
      <c r="L174" s="146"/>
      <c r="M174" s="146"/>
      <c r="N174" s="146"/>
      <c r="O174" s="147"/>
      <c r="R174" s="19"/>
      <c r="S174" s="19"/>
    </row>
    <row r="175" spans="1:19" ht="18">
      <c r="A175" s="159" t="s">
        <v>271</v>
      </c>
      <c r="B175" s="160"/>
      <c r="C175" s="160"/>
      <c r="D175" s="161"/>
      <c r="E175" s="91">
        <v>1</v>
      </c>
      <c r="F175" s="107" t="s">
        <v>10</v>
      </c>
      <c r="G175" s="107" t="s">
        <v>319</v>
      </c>
      <c r="I175" s="145"/>
      <c r="J175" s="146"/>
      <c r="K175" s="146"/>
      <c r="L175" s="146"/>
      <c r="M175" s="146"/>
      <c r="N175" s="146"/>
      <c r="O175" s="147"/>
      <c r="Q175" s="19"/>
      <c r="R175" s="19"/>
    </row>
    <row r="176" spans="1:19" ht="15.75" thickBot="1">
      <c r="G176" s="19"/>
      <c r="H176" s="151"/>
      <c r="I176" s="146"/>
      <c r="J176" s="146"/>
      <c r="K176" s="146"/>
      <c r="L176" s="146"/>
      <c r="M176" s="146"/>
      <c r="N176" s="147"/>
      <c r="P176" s="152"/>
      <c r="Q176" s="19"/>
      <c r="R176" s="19"/>
    </row>
    <row r="177" spans="1:19" ht="16.5" thickTop="1" thickBot="1">
      <c r="A177" s="198" t="s">
        <v>227</v>
      </c>
      <c r="B177" s="199"/>
      <c r="C177" s="199"/>
      <c r="D177" s="199"/>
      <c r="E177" s="199"/>
      <c r="F177" s="200"/>
      <c r="G177" s="19"/>
      <c r="I177" s="145"/>
      <c r="J177" s="146"/>
      <c r="K177" s="146"/>
      <c r="L177" s="146"/>
      <c r="M177" s="146"/>
      <c r="N177" s="146"/>
      <c r="O177" s="147"/>
      <c r="R177" s="19"/>
      <c r="S177" s="19"/>
    </row>
    <row r="178" spans="1:19" ht="18.75" thickTop="1">
      <c r="A178" s="216" t="s">
        <v>273</v>
      </c>
      <c r="B178" s="217"/>
      <c r="C178" s="217"/>
      <c r="D178" s="218"/>
      <c r="E178" s="96">
        <f>D8</f>
        <v>30</v>
      </c>
      <c r="F178" s="101" t="s">
        <v>13</v>
      </c>
      <c r="G178" s="297" t="s">
        <v>246</v>
      </c>
      <c r="I178" s="145"/>
      <c r="J178" s="146"/>
      <c r="K178" s="146"/>
      <c r="L178" s="146"/>
      <c r="M178" s="146"/>
      <c r="N178" s="146"/>
      <c r="O178" s="147"/>
      <c r="R178" s="19"/>
      <c r="S178" s="19"/>
    </row>
    <row r="179" spans="1:19" ht="18">
      <c r="A179" s="159" t="s">
        <v>274</v>
      </c>
      <c r="B179" s="160"/>
      <c r="C179" s="160"/>
      <c r="D179" s="161"/>
      <c r="E179" s="95">
        <f>D7</f>
        <v>1.3</v>
      </c>
      <c r="F179" s="107" t="s">
        <v>12</v>
      </c>
      <c r="G179" s="214"/>
      <c r="I179" s="145"/>
      <c r="J179" s="146"/>
      <c r="K179" s="146"/>
      <c r="L179" s="146"/>
      <c r="M179" s="146"/>
      <c r="N179" s="146"/>
      <c r="O179" s="147"/>
      <c r="R179" s="19"/>
      <c r="S179" s="19"/>
    </row>
    <row r="180" spans="1:19">
      <c r="A180" s="177" t="s">
        <v>247</v>
      </c>
      <c r="B180" s="178"/>
      <c r="C180" s="178"/>
      <c r="D180" s="179"/>
      <c r="E180" s="102">
        <f>D16</f>
        <v>151.84364492350667</v>
      </c>
      <c r="F180" s="62" t="s">
        <v>17</v>
      </c>
      <c r="G180" s="19"/>
      <c r="I180" s="145"/>
      <c r="J180" s="146"/>
      <c r="K180" s="146"/>
      <c r="L180" s="146"/>
      <c r="M180" s="146"/>
      <c r="N180" s="146"/>
      <c r="O180" s="147"/>
      <c r="R180" s="19"/>
      <c r="S180" s="19"/>
    </row>
    <row r="181" spans="1:19">
      <c r="A181" s="159" t="s">
        <v>228</v>
      </c>
      <c r="B181" s="160"/>
      <c r="C181" s="160"/>
      <c r="D181" s="161"/>
      <c r="E181" s="64">
        <f>0.92*D16</f>
        <v>139.69615332962616</v>
      </c>
      <c r="F181" s="107" t="s">
        <v>17</v>
      </c>
      <c r="G181" s="85"/>
      <c r="I181" s="145"/>
      <c r="J181" s="146"/>
      <c r="K181" s="146"/>
      <c r="L181" s="146"/>
      <c r="M181" s="146"/>
      <c r="N181" s="146"/>
      <c r="O181" s="147"/>
      <c r="R181" s="19"/>
      <c r="S181" s="19"/>
    </row>
    <row r="182" spans="1:19" ht="16.899999999999999" customHeight="1">
      <c r="A182" s="159" t="s">
        <v>272</v>
      </c>
      <c r="B182" s="160"/>
      <c r="C182" s="160"/>
      <c r="D182" s="161"/>
      <c r="E182" s="64">
        <f>0.5*E157*E181*E179</f>
        <v>7422.1017609375012</v>
      </c>
      <c r="F182" s="107" t="s">
        <v>275</v>
      </c>
      <c r="G182" s="85"/>
      <c r="I182" s="145"/>
      <c r="J182" s="146"/>
      <c r="K182" s="146"/>
      <c r="L182" s="146"/>
      <c r="M182" s="146"/>
      <c r="N182" s="146"/>
      <c r="O182" s="147"/>
      <c r="R182" s="19"/>
      <c r="S182" s="19"/>
    </row>
    <row r="183" spans="1:19" ht="15" customHeight="1">
      <c r="A183" s="177" t="s">
        <v>276</v>
      </c>
      <c r="B183" s="178"/>
      <c r="C183" s="178"/>
      <c r="D183" s="179"/>
      <c r="E183" s="86">
        <v>3.2</v>
      </c>
      <c r="F183" s="106" t="s">
        <v>21</v>
      </c>
      <c r="G183" s="85"/>
      <c r="I183" s="145"/>
      <c r="J183" s="146"/>
      <c r="K183" s="146"/>
      <c r="L183" s="146"/>
      <c r="M183" s="146"/>
      <c r="N183" s="146"/>
      <c r="O183" s="147"/>
      <c r="R183" s="19"/>
      <c r="S183" s="19"/>
    </row>
    <row r="184" spans="1:19">
      <c r="A184" s="177" t="s">
        <v>277</v>
      </c>
      <c r="B184" s="178"/>
      <c r="C184" s="178"/>
      <c r="D184" s="179"/>
      <c r="E184" s="86">
        <v>1.45</v>
      </c>
      <c r="F184" s="106" t="s">
        <v>21</v>
      </c>
      <c r="G184" s="85"/>
      <c r="I184" s="145"/>
      <c r="J184" s="146"/>
      <c r="K184" s="146"/>
      <c r="L184" s="146"/>
      <c r="M184" s="146"/>
      <c r="N184" s="146"/>
      <c r="O184" s="147"/>
      <c r="R184" s="19"/>
      <c r="S184" s="19"/>
    </row>
    <row r="185" spans="1:19">
      <c r="A185" s="159" t="s">
        <v>252</v>
      </c>
      <c r="B185" s="160"/>
      <c r="C185" s="160"/>
      <c r="D185" s="161"/>
      <c r="E185" s="88">
        <f>(((E174/2)+0.5)*E184)+((E174-((E174/2)+0.5))*E183)</f>
        <v>15.400000000000002</v>
      </c>
      <c r="F185" s="107" t="s">
        <v>21</v>
      </c>
      <c r="G185" s="85"/>
      <c r="I185" s="145"/>
      <c r="J185" s="146"/>
      <c r="K185" s="146"/>
      <c r="L185" s="146"/>
      <c r="M185" s="146"/>
      <c r="N185" s="146"/>
      <c r="O185" s="147"/>
      <c r="R185" s="19"/>
      <c r="S185" s="19"/>
    </row>
    <row r="186" spans="1:19" ht="18">
      <c r="A186" s="177" t="s">
        <v>244</v>
      </c>
      <c r="B186" s="178"/>
      <c r="C186" s="178"/>
      <c r="D186" s="179"/>
      <c r="E186" s="87">
        <f>E159*E180/1000</f>
        <v>5.2765666610918567</v>
      </c>
      <c r="F186" s="106" t="s">
        <v>171</v>
      </c>
      <c r="G186" s="85"/>
      <c r="I186" s="145"/>
      <c r="J186" s="146"/>
      <c r="K186" s="146"/>
      <c r="L186" s="146"/>
      <c r="M186" s="146"/>
      <c r="N186" s="146"/>
      <c r="O186" s="147"/>
      <c r="R186" s="19"/>
      <c r="S186" s="19"/>
    </row>
    <row r="187" spans="1:19" ht="18">
      <c r="A187" s="159" t="s">
        <v>255</v>
      </c>
      <c r="B187" s="160"/>
      <c r="C187" s="160"/>
      <c r="D187" s="161"/>
      <c r="E187" s="15">
        <v>6</v>
      </c>
      <c r="F187" s="107" t="s">
        <v>171</v>
      </c>
      <c r="G187" s="107" t="s">
        <v>321</v>
      </c>
      <c r="I187" s="145"/>
      <c r="J187" s="146"/>
      <c r="K187" s="146"/>
      <c r="L187" s="146"/>
      <c r="M187" s="146"/>
      <c r="N187" s="146"/>
      <c r="O187" s="147"/>
      <c r="R187" s="19"/>
      <c r="S187" s="19"/>
    </row>
    <row r="188" spans="1:19" ht="17.25">
      <c r="A188" s="159" t="s">
        <v>229</v>
      </c>
      <c r="B188" s="160"/>
      <c r="C188" s="160"/>
      <c r="D188" s="161"/>
      <c r="E188" s="64">
        <f>(10^(-3))*(5.2+7*(E187^(3/4)))</f>
        <v>3.2035610378343453E-2</v>
      </c>
      <c r="F188" s="107" t="s">
        <v>230</v>
      </c>
      <c r="G188" s="19"/>
      <c r="I188" s="145"/>
      <c r="J188" s="146"/>
      <c r="K188" s="146"/>
      <c r="L188" s="146"/>
      <c r="M188" s="146"/>
      <c r="N188" s="146"/>
      <c r="O188" s="147"/>
      <c r="R188" s="19"/>
      <c r="S188" s="19"/>
    </row>
    <row r="189" spans="1:19">
      <c r="A189" s="159" t="s">
        <v>282</v>
      </c>
      <c r="B189" s="160"/>
      <c r="C189" s="160"/>
      <c r="D189" s="161"/>
      <c r="E189" s="15">
        <v>100</v>
      </c>
      <c r="F189" s="12" t="s">
        <v>281</v>
      </c>
      <c r="G189" s="107" t="s">
        <v>320</v>
      </c>
      <c r="I189" s="145"/>
      <c r="J189" s="146"/>
      <c r="K189" s="146"/>
      <c r="L189" s="146"/>
      <c r="M189" s="146"/>
      <c r="N189" s="146"/>
      <c r="O189" s="147"/>
      <c r="R189" s="19"/>
      <c r="S189" s="19"/>
    </row>
    <row r="190" spans="1:19">
      <c r="A190" s="159" t="s">
        <v>280</v>
      </c>
      <c r="B190" s="160"/>
      <c r="C190" s="160"/>
      <c r="D190" s="161"/>
      <c r="E190" s="88">
        <f>(273.15)+E189</f>
        <v>373.15</v>
      </c>
      <c r="F190" s="107" t="s">
        <v>251</v>
      </c>
      <c r="G190" s="19"/>
      <c r="I190" s="145"/>
      <c r="J190" s="146"/>
      <c r="K190" s="146"/>
      <c r="L190" s="146"/>
      <c r="M190" s="146"/>
      <c r="N190" s="146"/>
      <c r="O190" s="147"/>
      <c r="R190" s="19"/>
      <c r="S190" s="19"/>
    </row>
    <row r="191" spans="1:19" ht="17.25">
      <c r="A191" s="159" t="s">
        <v>250</v>
      </c>
      <c r="B191" s="160"/>
      <c r="C191" s="160"/>
      <c r="D191" s="161"/>
      <c r="E191" s="64">
        <f>2*PI()*E159*(E159+E185)</f>
        <v>10949.785574638207</v>
      </c>
      <c r="F191" s="107" t="s">
        <v>236</v>
      </c>
      <c r="G191" s="19"/>
      <c r="I191" s="145"/>
      <c r="J191" s="146"/>
      <c r="K191" s="146"/>
      <c r="L191" s="146"/>
      <c r="M191" s="146"/>
      <c r="N191" s="146"/>
      <c r="O191" s="147"/>
      <c r="R191" s="19"/>
      <c r="S191" s="19"/>
    </row>
    <row r="192" spans="1:19" ht="15.75">
      <c r="A192" s="159" t="s">
        <v>283</v>
      </c>
      <c r="B192" s="160"/>
      <c r="C192" s="160"/>
      <c r="D192" s="161"/>
      <c r="E192" s="64">
        <f>((E182/1000)*(E178/3600))/((E191/1000000)*E188)-E189</f>
        <v>76.322218161804983</v>
      </c>
      <c r="F192" s="154" t="s">
        <v>386</v>
      </c>
      <c r="G192" s="19"/>
      <c r="I192" s="145"/>
      <c r="J192" s="146"/>
      <c r="K192" s="146"/>
      <c r="L192" s="146"/>
      <c r="M192" s="146"/>
      <c r="N192" s="146"/>
      <c r="O192" s="147"/>
      <c r="R192" s="19"/>
      <c r="S192" s="19"/>
    </row>
    <row r="193" spans="1:19">
      <c r="A193" s="159" t="s">
        <v>248</v>
      </c>
      <c r="B193" s="160"/>
      <c r="C193" s="160"/>
      <c r="D193" s="161"/>
      <c r="E193" s="64">
        <f>E182*E178/3600</f>
        <v>61.850848007812509</v>
      </c>
      <c r="F193" s="107" t="s">
        <v>16</v>
      </c>
      <c r="G193" s="19"/>
      <c r="I193" s="145"/>
      <c r="J193" s="146"/>
      <c r="K193" s="146"/>
      <c r="L193" s="146"/>
      <c r="M193" s="146"/>
      <c r="N193" s="146"/>
      <c r="O193" s="147"/>
      <c r="R193" s="19"/>
      <c r="S193" s="19"/>
    </row>
    <row r="194" spans="1:19">
      <c r="A194" s="159" t="s">
        <v>249</v>
      </c>
      <c r="B194" s="160"/>
      <c r="C194" s="160"/>
      <c r="D194" s="161"/>
      <c r="E194" s="64">
        <f>(E191/1000000)*E188*(E192+E189)*1000</f>
        <v>61.850848007812509</v>
      </c>
      <c r="F194" s="107" t="s">
        <v>16</v>
      </c>
      <c r="G194" s="85"/>
      <c r="I194" s="145"/>
      <c r="J194" s="146"/>
      <c r="K194" s="146"/>
      <c r="L194" s="146"/>
      <c r="M194" s="146"/>
      <c r="N194" s="146"/>
      <c r="O194" s="147"/>
      <c r="R194" s="19"/>
      <c r="S194" s="19"/>
    </row>
    <row r="195" spans="1:19" ht="15.75" thickBot="1">
      <c r="I195" s="145"/>
      <c r="J195" s="146"/>
      <c r="K195" s="146"/>
      <c r="L195" s="146"/>
      <c r="M195" s="146"/>
      <c r="N195" s="146"/>
      <c r="O195" s="147"/>
      <c r="R195" s="19"/>
      <c r="S195" s="19"/>
    </row>
    <row r="196" spans="1:19" ht="16.5" thickTop="1" thickBot="1">
      <c r="A196" s="198" t="s">
        <v>239</v>
      </c>
      <c r="B196" s="199"/>
      <c r="C196" s="199"/>
      <c r="D196" s="199"/>
      <c r="E196" s="199"/>
      <c r="F196" s="200"/>
      <c r="I196" s="145"/>
      <c r="J196" s="146"/>
      <c r="K196" s="146"/>
      <c r="L196" s="146"/>
      <c r="M196" s="146"/>
      <c r="N196" s="146"/>
      <c r="O196" s="147"/>
      <c r="R196" s="19"/>
      <c r="S196" s="19"/>
    </row>
    <row r="197" spans="1:19" ht="14.45" customHeight="1" thickTop="1">
      <c r="A197" s="216" t="s">
        <v>235</v>
      </c>
      <c r="B197" s="217"/>
      <c r="C197" s="217"/>
      <c r="D197" s="218"/>
      <c r="E197" s="132">
        <f>E154</f>
        <v>77</v>
      </c>
      <c r="F197" s="133" t="s">
        <v>21</v>
      </c>
      <c r="G197" s="180" t="s">
        <v>389</v>
      </c>
      <c r="I197" s="145"/>
      <c r="J197" s="146"/>
      <c r="K197" s="146"/>
      <c r="L197" s="146"/>
      <c r="M197" s="146"/>
      <c r="N197" s="146"/>
      <c r="O197" s="147"/>
      <c r="R197" s="19"/>
      <c r="S197" s="19"/>
    </row>
    <row r="198" spans="1:19">
      <c r="A198" s="159" t="s">
        <v>234</v>
      </c>
      <c r="B198" s="160"/>
      <c r="C198" s="160"/>
      <c r="D198" s="161"/>
      <c r="E198" s="104">
        <f>E153</f>
        <v>62</v>
      </c>
      <c r="F198" s="107" t="s">
        <v>21</v>
      </c>
      <c r="G198" s="180"/>
      <c r="I198" s="145"/>
      <c r="J198" s="146"/>
      <c r="K198" s="146"/>
      <c r="L198" s="146"/>
      <c r="M198" s="146"/>
      <c r="N198" s="146"/>
      <c r="O198" s="147"/>
      <c r="R198" s="19"/>
      <c r="S198" s="19"/>
    </row>
    <row r="199" spans="1:19">
      <c r="A199" s="159" t="s">
        <v>238</v>
      </c>
      <c r="B199" s="160"/>
      <c r="C199" s="160"/>
      <c r="D199" s="161"/>
      <c r="E199" s="15">
        <f>1</f>
        <v>1</v>
      </c>
      <c r="F199" s="62" t="s">
        <v>21</v>
      </c>
      <c r="G199" s="180"/>
      <c r="I199" s="145"/>
      <c r="J199" s="146"/>
      <c r="K199" s="146"/>
      <c r="L199" s="146"/>
      <c r="M199" s="146"/>
      <c r="N199" s="146"/>
      <c r="O199" s="147"/>
      <c r="R199" s="19"/>
      <c r="S199" s="19"/>
    </row>
    <row r="200" spans="1:19" ht="15.75" thickBot="1">
      <c r="A200" s="159" t="s">
        <v>284</v>
      </c>
      <c r="B200" s="160"/>
      <c r="C200" s="160"/>
      <c r="D200" s="161"/>
      <c r="E200" s="15">
        <v>0.9</v>
      </c>
      <c r="F200" s="107" t="s">
        <v>285</v>
      </c>
      <c r="G200" s="180"/>
      <c r="I200" s="148"/>
      <c r="J200" s="149"/>
      <c r="K200" s="149"/>
      <c r="L200" s="149"/>
      <c r="M200" s="149"/>
      <c r="N200" s="149"/>
      <c r="O200" s="150"/>
      <c r="R200" s="19"/>
      <c r="S200" s="19"/>
    </row>
    <row r="201" spans="1:19" ht="15.75" thickTop="1">
      <c r="A201" s="159" t="s">
        <v>233</v>
      </c>
      <c r="B201" s="160"/>
      <c r="C201" s="160"/>
      <c r="D201" s="161"/>
      <c r="E201" s="88">
        <f>E199*E200</f>
        <v>0.9</v>
      </c>
      <c r="F201" s="107" t="s">
        <v>21</v>
      </c>
      <c r="G201" s="85"/>
      <c r="R201" s="19"/>
      <c r="S201" s="19"/>
    </row>
    <row r="202" spans="1:19" ht="17.25">
      <c r="A202" s="159" t="s">
        <v>232</v>
      </c>
      <c r="B202" s="160"/>
      <c r="C202" s="160"/>
      <c r="D202" s="161"/>
      <c r="E202" s="64">
        <f>((E197*E197/4)*PI())-((E198*E198/4)*PI())</f>
        <v>1637.5551706836795</v>
      </c>
      <c r="F202" s="107" t="s">
        <v>236</v>
      </c>
      <c r="G202" s="85"/>
      <c r="R202" s="19"/>
      <c r="S202" s="19"/>
    </row>
    <row r="203" spans="1:19" ht="17.25">
      <c r="A203" s="159" t="s">
        <v>231</v>
      </c>
      <c r="B203" s="160"/>
      <c r="C203" s="160"/>
      <c r="D203" s="161"/>
      <c r="E203" s="64">
        <f>E202*E201</f>
        <v>1473.7996536153116</v>
      </c>
      <c r="F203" s="107" t="s">
        <v>237</v>
      </c>
      <c r="G203" s="85"/>
      <c r="R203" s="19"/>
      <c r="S203" s="19"/>
    </row>
    <row r="204" spans="1:19">
      <c r="A204" s="159" t="s">
        <v>240</v>
      </c>
      <c r="B204" s="160"/>
      <c r="C204" s="160"/>
      <c r="D204" s="161"/>
      <c r="E204" s="64">
        <f>(E203/1000)*1000/(E205*(0.5*E157*E181*(E179/3600)*E178))</f>
        <v>140.16638423540837</v>
      </c>
      <c r="F204" s="107" t="s">
        <v>11</v>
      </c>
      <c r="G204" s="85"/>
      <c r="R204" s="19"/>
      <c r="S204" s="19"/>
    </row>
    <row r="205" spans="1:19" ht="17.25">
      <c r="A205" s="159" t="s">
        <v>253</v>
      </c>
      <c r="B205" s="160"/>
      <c r="C205" s="160"/>
      <c r="D205" s="161"/>
      <c r="E205" s="15">
        <v>0.17</v>
      </c>
      <c r="F205" s="107" t="s">
        <v>254</v>
      </c>
      <c r="G205" s="107" t="s">
        <v>320</v>
      </c>
      <c r="R205" s="19"/>
      <c r="S205" s="19"/>
    </row>
    <row r="206" spans="1:19" ht="15.75" thickBot="1">
      <c r="G206" s="19"/>
      <c r="R206" s="19"/>
      <c r="S206" s="19"/>
    </row>
    <row r="207" spans="1:19" ht="16.5" thickTop="1" thickBot="1">
      <c r="A207" s="198" t="s">
        <v>328</v>
      </c>
      <c r="B207" s="199"/>
      <c r="C207" s="199"/>
      <c r="D207" s="199"/>
      <c r="E207" s="199"/>
      <c r="F207" s="200"/>
      <c r="G207" s="19"/>
      <c r="I207" s="211" t="s">
        <v>329</v>
      </c>
      <c r="J207" s="212"/>
      <c r="K207" s="212"/>
      <c r="L207" s="212"/>
      <c r="M207" s="212"/>
      <c r="N207" s="213"/>
      <c r="R207" s="19"/>
      <c r="S207" s="19"/>
    </row>
    <row r="208" spans="1:19" ht="15.75" thickTop="1">
      <c r="A208" s="214" t="s">
        <v>330</v>
      </c>
      <c r="B208" s="214"/>
      <c r="C208" s="214"/>
      <c r="D208" s="214"/>
      <c r="E208" s="125">
        <f>J22</f>
        <v>210000</v>
      </c>
      <c r="F208" s="101" t="s">
        <v>31</v>
      </c>
      <c r="I208" s="174"/>
      <c r="J208" s="175"/>
      <c r="K208" s="175"/>
      <c r="L208" s="175"/>
      <c r="M208" s="175"/>
      <c r="N208" s="176"/>
      <c r="R208" s="19"/>
      <c r="S208" s="19"/>
    </row>
    <row r="209" spans="1:19">
      <c r="A209" s="209" t="s">
        <v>331</v>
      </c>
      <c r="B209" s="209"/>
      <c r="C209" s="209"/>
      <c r="D209" s="209"/>
      <c r="E209" s="15">
        <v>3</v>
      </c>
      <c r="F209" s="107" t="s">
        <v>21</v>
      </c>
      <c r="G209" s="19"/>
      <c r="I209" s="168"/>
      <c r="J209" s="169"/>
      <c r="K209" s="169"/>
      <c r="L209" s="169"/>
      <c r="M209" s="169"/>
      <c r="N209" s="170"/>
      <c r="R209" s="19"/>
      <c r="S209" s="19"/>
    </row>
    <row r="210" spans="1:19" ht="15.75" thickBot="1">
      <c r="G210" s="19"/>
      <c r="I210" s="168"/>
      <c r="J210" s="169"/>
      <c r="K210" s="169"/>
      <c r="L210" s="169"/>
      <c r="M210" s="169"/>
      <c r="N210" s="170"/>
      <c r="P210" s="19"/>
      <c r="R210" s="19"/>
      <c r="S210" s="19"/>
    </row>
    <row r="211" spans="1:19" ht="15.6" customHeight="1" thickTop="1" thickBot="1">
      <c r="A211" s="163" t="s">
        <v>332</v>
      </c>
      <c r="B211" s="163"/>
      <c r="C211" s="163"/>
      <c r="D211" s="163"/>
      <c r="E211" s="163"/>
      <c r="F211" s="215"/>
      <c r="G211" s="19"/>
      <c r="I211" s="168"/>
      <c r="J211" s="169"/>
      <c r="K211" s="169"/>
      <c r="L211" s="169"/>
      <c r="M211" s="169"/>
      <c r="N211" s="170"/>
      <c r="P211" s="19"/>
      <c r="R211" s="19"/>
      <c r="S211" s="19"/>
    </row>
    <row r="212" spans="1:19" ht="15.75" thickTop="1">
      <c r="A212" s="181" t="s">
        <v>333</v>
      </c>
      <c r="B212" s="182"/>
      <c r="C212" s="182"/>
      <c r="D212" s="183"/>
      <c r="E212" s="128">
        <f>E173</f>
        <v>0.4</v>
      </c>
      <c r="F212" s="124" t="s">
        <v>347</v>
      </c>
      <c r="G212" s="180" t="s">
        <v>377</v>
      </c>
      <c r="I212" s="168"/>
      <c r="J212" s="169"/>
      <c r="K212" s="169"/>
      <c r="L212" s="169"/>
      <c r="M212" s="169"/>
      <c r="N212" s="170"/>
      <c r="P212" s="19"/>
      <c r="R212" s="19"/>
      <c r="S212" s="19"/>
    </row>
    <row r="213" spans="1:19">
      <c r="A213" s="159" t="s">
        <v>335</v>
      </c>
      <c r="B213" s="160"/>
      <c r="C213" s="160"/>
      <c r="D213" s="161"/>
      <c r="E213" s="129">
        <f>E212</f>
        <v>0.4</v>
      </c>
      <c r="F213" s="107" t="s">
        <v>347</v>
      </c>
      <c r="G213" s="180"/>
      <c r="I213" s="168"/>
      <c r="J213" s="169"/>
      <c r="K213" s="169"/>
      <c r="L213" s="169"/>
      <c r="M213" s="169"/>
      <c r="N213" s="170"/>
      <c r="P213" s="19"/>
      <c r="R213" s="19"/>
      <c r="S213" s="19"/>
    </row>
    <row r="214" spans="1:19">
      <c r="A214" s="159" t="s">
        <v>334</v>
      </c>
      <c r="B214" s="160"/>
      <c r="C214" s="160"/>
      <c r="D214" s="161"/>
      <c r="E214" s="129">
        <f>E212</f>
        <v>0.4</v>
      </c>
      <c r="F214" s="107" t="s">
        <v>347</v>
      </c>
      <c r="G214" s="180"/>
      <c r="I214" s="168"/>
      <c r="J214" s="169"/>
      <c r="K214" s="169"/>
      <c r="L214" s="169"/>
      <c r="M214" s="169"/>
      <c r="N214" s="170"/>
      <c r="P214" s="19"/>
      <c r="R214" s="19"/>
      <c r="S214" s="19"/>
    </row>
    <row r="215" spans="1:19">
      <c r="A215" s="159" t="s">
        <v>336</v>
      </c>
      <c r="B215" s="160"/>
      <c r="C215" s="160"/>
      <c r="D215" s="161"/>
      <c r="E215" s="126">
        <v>13</v>
      </c>
      <c r="F215" s="107" t="s">
        <v>21</v>
      </c>
      <c r="G215" s="156" t="s">
        <v>363</v>
      </c>
      <c r="I215" s="168"/>
      <c r="J215" s="169"/>
      <c r="K215" s="169"/>
      <c r="L215" s="169"/>
      <c r="M215" s="169"/>
      <c r="N215" s="170"/>
      <c r="P215" s="19"/>
      <c r="R215" s="19"/>
      <c r="S215" s="19"/>
    </row>
    <row r="216" spans="1:19">
      <c r="A216" s="159" t="s">
        <v>337</v>
      </c>
      <c r="B216" s="160"/>
      <c r="C216" s="160"/>
      <c r="D216" s="161"/>
      <c r="E216" s="126">
        <v>6.3</v>
      </c>
      <c r="F216" s="107" t="s">
        <v>21</v>
      </c>
      <c r="G216" s="157"/>
      <c r="I216" s="168"/>
      <c r="J216" s="169"/>
      <c r="K216" s="169"/>
      <c r="L216" s="169"/>
      <c r="M216" s="169"/>
      <c r="N216" s="170"/>
      <c r="P216" s="19"/>
      <c r="R216" s="19"/>
      <c r="S216" s="19"/>
    </row>
    <row r="217" spans="1:19">
      <c r="A217" s="159" t="s">
        <v>338</v>
      </c>
      <c r="B217" s="160"/>
      <c r="C217" s="160"/>
      <c r="D217" s="161"/>
      <c r="E217" s="126">
        <v>4</v>
      </c>
      <c r="F217" s="107" t="s">
        <v>21</v>
      </c>
      <c r="G217" s="157"/>
      <c r="I217" s="168"/>
      <c r="J217" s="169"/>
      <c r="K217" s="169"/>
      <c r="L217" s="169"/>
      <c r="M217" s="169"/>
      <c r="N217" s="170"/>
      <c r="P217" s="19"/>
      <c r="R217" s="19"/>
      <c r="S217" s="19"/>
    </row>
    <row r="218" spans="1:19">
      <c r="A218" s="159" t="s">
        <v>339</v>
      </c>
      <c r="B218" s="160"/>
      <c r="C218" s="160"/>
      <c r="D218" s="161"/>
      <c r="E218" s="126">
        <v>50</v>
      </c>
      <c r="F218" s="107" t="s">
        <v>21</v>
      </c>
      <c r="G218" s="157"/>
      <c r="I218" s="168"/>
      <c r="J218" s="169"/>
      <c r="K218" s="169"/>
      <c r="L218" s="169"/>
      <c r="M218" s="169"/>
      <c r="N218" s="170"/>
      <c r="P218" s="19"/>
      <c r="R218" s="19"/>
      <c r="S218" s="19"/>
    </row>
    <row r="219" spans="1:19">
      <c r="A219" s="159" t="s">
        <v>341</v>
      </c>
      <c r="B219" s="160"/>
      <c r="C219" s="160"/>
      <c r="D219" s="161"/>
      <c r="E219" s="15">
        <v>15</v>
      </c>
      <c r="F219" s="107" t="s">
        <v>343</v>
      </c>
      <c r="G219" s="157"/>
      <c r="I219" s="168"/>
      <c r="J219" s="169"/>
      <c r="K219" s="169"/>
      <c r="L219" s="169"/>
      <c r="M219" s="169"/>
      <c r="N219" s="170"/>
      <c r="R219" s="19"/>
      <c r="S219" s="19"/>
    </row>
    <row r="220" spans="1:19">
      <c r="A220" s="159" t="s">
        <v>341</v>
      </c>
      <c r="B220" s="160"/>
      <c r="C220" s="160"/>
      <c r="D220" s="161"/>
      <c r="E220" s="127">
        <f>RADIANS(E219)</f>
        <v>0.26179938779914941</v>
      </c>
      <c r="F220" s="107" t="s">
        <v>340</v>
      </c>
      <c r="G220" s="157"/>
      <c r="I220" s="168"/>
      <c r="J220" s="169"/>
      <c r="K220" s="169"/>
      <c r="L220" s="169"/>
      <c r="M220" s="169"/>
      <c r="N220" s="170"/>
      <c r="R220" s="19"/>
      <c r="S220" s="19"/>
    </row>
    <row r="221" spans="1:19">
      <c r="A221" s="159" t="s">
        <v>344</v>
      </c>
      <c r="B221" s="160"/>
      <c r="C221" s="160"/>
      <c r="D221" s="161"/>
      <c r="E221" s="15">
        <v>1</v>
      </c>
      <c r="F221" s="107" t="s">
        <v>21</v>
      </c>
      <c r="G221" s="157"/>
      <c r="I221" s="168"/>
      <c r="J221" s="169"/>
      <c r="K221" s="169"/>
      <c r="L221" s="169"/>
      <c r="M221" s="169"/>
      <c r="N221" s="170"/>
      <c r="R221" s="19"/>
      <c r="S221" s="19"/>
    </row>
    <row r="222" spans="1:19">
      <c r="A222" s="159" t="s">
        <v>345</v>
      </c>
      <c r="B222" s="160"/>
      <c r="C222" s="160"/>
      <c r="D222" s="161"/>
      <c r="E222" s="15">
        <v>40</v>
      </c>
      <c r="F222" s="107" t="s">
        <v>21</v>
      </c>
      <c r="G222" s="158"/>
      <c r="I222" s="168"/>
      <c r="J222" s="169"/>
      <c r="K222" s="169"/>
      <c r="L222" s="169"/>
      <c r="M222" s="169"/>
      <c r="N222" s="170"/>
      <c r="R222" s="19"/>
      <c r="S222" s="19"/>
    </row>
    <row r="223" spans="1:19" ht="15.75" thickBot="1">
      <c r="I223" s="168"/>
      <c r="J223" s="169"/>
      <c r="K223" s="169"/>
      <c r="L223" s="169"/>
      <c r="M223" s="169"/>
      <c r="N223" s="170"/>
      <c r="R223" s="19"/>
      <c r="S223" s="19"/>
    </row>
    <row r="224" spans="1:19" ht="16.5" thickTop="1" thickBot="1">
      <c r="A224" s="198" t="s">
        <v>346</v>
      </c>
      <c r="B224" s="199"/>
      <c r="C224" s="199"/>
      <c r="D224" s="199"/>
      <c r="E224" s="199"/>
      <c r="F224" s="200"/>
      <c r="G224" s="19"/>
      <c r="I224" s="171"/>
      <c r="J224" s="172"/>
      <c r="K224" s="172"/>
      <c r="L224" s="172"/>
      <c r="M224" s="172"/>
      <c r="N224" s="173"/>
      <c r="R224" s="19"/>
      <c r="S224" s="19"/>
    </row>
    <row r="225" spans="1:19" ht="15.75" thickTop="1">
      <c r="A225" s="181" t="s">
        <v>350</v>
      </c>
      <c r="B225" s="182"/>
      <c r="C225" s="182"/>
      <c r="D225" s="183"/>
      <c r="E225" s="130" t="s">
        <v>351</v>
      </c>
      <c r="F225" s="101" t="s">
        <v>352</v>
      </c>
      <c r="G225" s="19"/>
      <c r="H225" s="19"/>
      <c r="I225" s="19"/>
      <c r="J225" s="19"/>
      <c r="K225" s="19"/>
      <c r="L225" s="19"/>
      <c r="M225" s="19"/>
      <c r="N225" s="19"/>
      <c r="O225" s="19"/>
      <c r="R225" s="19"/>
      <c r="S225" s="19"/>
    </row>
    <row r="226" spans="1:19" ht="18.75" thickBot="1">
      <c r="A226" s="177" t="s">
        <v>362</v>
      </c>
      <c r="B226" s="178"/>
      <c r="C226" s="178"/>
      <c r="D226" s="179"/>
      <c r="E226" s="86">
        <v>1200</v>
      </c>
      <c r="F226" s="106" t="s">
        <v>31</v>
      </c>
      <c r="G226" s="19"/>
      <c r="H226" s="19"/>
      <c r="I226" s="19"/>
      <c r="J226" s="19"/>
      <c r="K226" s="19"/>
      <c r="L226" s="19"/>
      <c r="M226" s="19"/>
      <c r="N226" s="19"/>
      <c r="O226" s="19"/>
      <c r="R226" s="19"/>
      <c r="S226" s="19"/>
    </row>
    <row r="227" spans="1:19" ht="19.5" thickTop="1" thickBot="1">
      <c r="A227" s="159" t="s">
        <v>382</v>
      </c>
      <c r="B227" s="160"/>
      <c r="C227" s="160"/>
      <c r="D227" s="161"/>
      <c r="E227" s="88">
        <f>E234*E235</f>
        <v>22.5</v>
      </c>
      <c r="F227" s="107" t="s">
        <v>236</v>
      </c>
      <c r="G227" s="19"/>
      <c r="H227" s="165" t="s">
        <v>391</v>
      </c>
      <c r="I227" s="166"/>
      <c r="J227" s="166"/>
      <c r="K227" s="167"/>
      <c r="L227" s="19"/>
      <c r="M227" s="19"/>
      <c r="N227" s="19"/>
      <c r="O227" s="19"/>
      <c r="R227" s="19"/>
      <c r="S227" s="19"/>
    </row>
    <row r="228" spans="1:19" ht="18.75" thickTop="1">
      <c r="A228" s="159" t="s">
        <v>355</v>
      </c>
      <c r="B228" s="160"/>
      <c r="C228" s="160"/>
      <c r="D228" s="161"/>
      <c r="E228" s="64">
        <f>E227*E226</f>
        <v>27000</v>
      </c>
      <c r="F228" s="107" t="s">
        <v>57</v>
      </c>
      <c r="G228" s="19"/>
      <c r="H228" s="168"/>
      <c r="I228" s="169"/>
      <c r="J228" s="169"/>
      <c r="K228" s="170"/>
      <c r="L228" s="19"/>
      <c r="M228" s="19"/>
      <c r="N228" s="19"/>
      <c r="O228" s="19"/>
      <c r="R228" s="19"/>
      <c r="S228" s="19"/>
    </row>
    <row r="229" spans="1:19" ht="18">
      <c r="A229" s="159" t="s">
        <v>356</v>
      </c>
      <c r="B229" s="160"/>
      <c r="C229" s="160"/>
      <c r="D229" s="161"/>
      <c r="E229" s="64">
        <f>E228*(E215+E213*E216+(E217/2)*E214*(1+E213))/((1/TAN(E220))*(E218+(E217/2)*E214)-E221-(E217/2)*E214)</f>
        <v>2392.4828365070894</v>
      </c>
      <c r="F229" s="107" t="s">
        <v>57</v>
      </c>
      <c r="G229" s="19"/>
      <c r="H229" s="168"/>
      <c r="I229" s="169"/>
      <c r="J229" s="169"/>
      <c r="K229" s="170"/>
      <c r="L229" s="19"/>
      <c r="M229" s="19"/>
      <c r="N229" s="19"/>
      <c r="O229" s="19"/>
      <c r="R229" s="19"/>
      <c r="S229" s="19"/>
    </row>
    <row r="230" spans="1:19">
      <c r="A230" s="159" t="s">
        <v>353</v>
      </c>
      <c r="B230" s="160"/>
      <c r="C230" s="160"/>
      <c r="D230" s="161"/>
      <c r="E230" s="131">
        <v>3</v>
      </c>
      <c r="F230" s="113" t="s">
        <v>347</v>
      </c>
      <c r="G230" s="19"/>
      <c r="H230" s="168"/>
      <c r="I230" s="169"/>
      <c r="J230" s="169"/>
      <c r="K230" s="170"/>
      <c r="L230" s="19"/>
      <c r="M230" s="19"/>
      <c r="N230" s="19"/>
      <c r="O230" s="19"/>
      <c r="R230" s="19"/>
      <c r="S230" s="19"/>
    </row>
    <row r="231" spans="1:19" ht="18">
      <c r="A231" s="159" t="s">
        <v>357</v>
      </c>
      <c r="B231" s="160"/>
      <c r="C231" s="160"/>
      <c r="D231" s="161"/>
      <c r="E231" s="64">
        <f>E229/E230</f>
        <v>797.49427883569649</v>
      </c>
      <c r="F231" s="107" t="s">
        <v>57</v>
      </c>
      <c r="G231" s="19"/>
      <c r="H231" s="168"/>
      <c r="I231" s="169"/>
      <c r="J231" s="169"/>
      <c r="K231" s="170"/>
      <c r="R231" s="19"/>
      <c r="S231" s="19"/>
    </row>
    <row r="232" spans="1:19" ht="18">
      <c r="A232" s="159" t="s">
        <v>358</v>
      </c>
      <c r="B232" s="160"/>
      <c r="C232" s="160"/>
      <c r="D232" s="161"/>
      <c r="E232" s="64">
        <f>E231*(1/TAN(E220+ATAN((E212))))</f>
        <v>1065.977933218524</v>
      </c>
      <c r="F232" s="107" t="s">
        <v>57</v>
      </c>
      <c r="G232" s="19"/>
      <c r="H232" s="168"/>
      <c r="I232" s="169"/>
      <c r="J232" s="169"/>
      <c r="K232" s="170"/>
      <c r="R232" s="19"/>
      <c r="S232" s="19"/>
    </row>
    <row r="233" spans="1:19" ht="18">
      <c r="A233" s="159" t="s">
        <v>354</v>
      </c>
      <c r="B233" s="160"/>
      <c r="C233" s="160"/>
      <c r="D233" s="161"/>
      <c r="E233" s="64">
        <f>E228*E213</f>
        <v>10800</v>
      </c>
      <c r="F233" s="107" t="s">
        <v>57</v>
      </c>
      <c r="G233" s="19"/>
      <c r="H233" s="168"/>
      <c r="I233" s="169"/>
      <c r="J233" s="169"/>
      <c r="K233" s="170"/>
      <c r="R233" s="19"/>
      <c r="S233" s="19"/>
    </row>
    <row r="234" spans="1:19" ht="18">
      <c r="A234" s="159" t="s">
        <v>361</v>
      </c>
      <c r="B234" s="160"/>
      <c r="C234" s="160"/>
      <c r="D234" s="161"/>
      <c r="E234" s="15">
        <v>2.5</v>
      </c>
      <c r="F234" s="107" t="s">
        <v>21</v>
      </c>
      <c r="G234" s="19"/>
      <c r="H234" s="168"/>
      <c r="I234" s="169"/>
      <c r="J234" s="169"/>
      <c r="K234" s="170"/>
      <c r="R234" s="19"/>
      <c r="S234" s="19"/>
    </row>
    <row r="235" spans="1:19" ht="18">
      <c r="A235" s="159" t="s">
        <v>360</v>
      </c>
      <c r="B235" s="160"/>
      <c r="C235" s="160"/>
      <c r="D235" s="161"/>
      <c r="E235" s="15">
        <v>9</v>
      </c>
      <c r="F235" s="107" t="s">
        <v>21</v>
      </c>
      <c r="G235" s="19"/>
      <c r="H235" s="168"/>
      <c r="I235" s="169"/>
      <c r="J235" s="169"/>
      <c r="K235" s="170"/>
      <c r="R235" s="19"/>
      <c r="S235" s="19"/>
    </row>
    <row r="236" spans="1:19">
      <c r="A236" s="159" t="s">
        <v>359</v>
      </c>
      <c r="B236" s="160"/>
      <c r="C236" s="160"/>
      <c r="D236" s="161"/>
      <c r="E236" s="64">
        <f>(4*E232*(E218^3))/(E208*E234*(E235^3))</f>
        <v>1.3926160209269371</v>
      </c>
      <c r="F236" s="107" t="s">
        <v>21</v>
      </c>
      <c r="G236" s="19"/>
      <c r="H236" s="168"/>
      <c r="I236" s="169"/>
      <c r="J236" s="169"/>
      <c r="K236" s="170"/>
      <c r="R236" s="19"/>
      <c r="S236" s="19"/>
    </row>
    <row r="237" spans="1:19" ht="16.899999999999999" customHeight="1">
      <c r="A237" s="159" t="s">
        <v>383</v>
      </c>
      <c r="B237" s="160"/>
      <c r="C237" s="160"/>
      <c r="D237" s="161"/>
      <c r="E237" s="87">
        <f>((E232*E222)-(E231*E221))/((E234*E235*E235)/6)</f>
        <v>1239.7517940712673</v>
      </c>
      <c r="F237" s="106" t="s">
        <v>31</v>
      </c>
      <c r="G237" s="19"/>
      <c r="H237" s="168"/>
      <c r="I237" s="169"/>
      <c r="J237" s="169"/>
      <c r="K237" s="170"/>
      <c r="R237" s="19"/>
      <c r="S237" s="19"/>
    </row>
    <row r="238" spans="1:19" ht="16.899999999999999" customHeight="1">
      <c r="A238" s="177" t="s">
        <v>384</v>
      </c>
      <c r="B238" s="178"/>
      <c r="C238" s="178"/>
      <c r="D238" s="179"/>
      <c r="E238" s="87">
        <f>E232/(E234*E235)</f>
        <v>47.376797031934402</v>
      </c>
      <c r="F238" s="106" t="s">
        <v>31</v>
      </c>
      <c r="G238" s="19"/>
      <c r="H238" s="168"/>
      <c r="I238" s="169"/>
      <c r="J238" s="169"/>
      <c r="K238" s="170"/>
      <c r="R238" s="19"/>
      <c r="S238" s="19"/>
    </row>
    <row r="239" spans="1:19" ht="15.6" customHeight="1">
      <c r="A239" s="159" t="s">
        <v>385</v>
      </c>
      <c r="B239" s="160"/>
      <c r="C239" s="160"/>
      <c r="D239" s="161"/>
      <c r="E239" s="87">
        <f>E231/(E234*E235)</f>
        <v>35.444190170475402</v>
      </c>
      <c r="F239" s="106" t="s">
        <v>31</v>
      </c>
      <c r="G239" s="19"/>
      <c r="H239" s="168"/>
      <c r="I239" s="169"/>
      <c r="J239" s="169"/>
      <c r="K239" s="170"/>
    </row>
    <row r="240" spans="1:19" ht="15.75" thickBot="1">
      <c r="A240" s="141"/>
      <c r="B240" s="141"/>
      <c r="C240" s="141"/>
      <c r="D240" s="141"/>
      <c r="E240" s="19"/>
      <c r="F240" s="19"/>
      <c r="G240" s="19"/>
      <c r="H240" s="168"/>
      <c r="I240" s="169"/>
      <c r="J240" s="169"/>
      <c r="K240" s="170"/>
    </row>
    <row r="241" spans="1:11" ht="16.5" thickTop="1" thickBot="1">
      <c r="A241" s="165" t="s">
        <v>378</v>
      </c>
      <c r="B241" s="166"/>
      <c r="C241" s="166"/>
      <c r="D241" s="167"/>
      <c r="E241" s="19"/>
      <c r="F241" s="19"/>
      <c r="G241" s="19"/>
      <c r="H241" s="168"/>
      <c r="I241" s="169"/>
      <c r="J241" s="169"/>
      <c r="K241" s="170"/>
    </row>
    <row r="242" spans="1:11" ht="15.75" thickTop="1">
      <c r="A242" s="135" t="s">
        <v>74</v>
      </c>
      <c r="B242" s="28">
        <v>4</v>
      </c>
      <c r="C242" s="135" t="s">
        <v>21</v>
      </c>
      <c r="D242" s="135" t="s">
        <v>152</v>
      </c>
      <c r="E242" s="19"/>
      <c r="F242" s="19"/>
      <c r="G242" s="19"/>
      <c r="H242" s="168"/>
      <c r="I242" s="169"/>
      <c r="J242" s="169"/>
      <c r="K242" s="170"/>
    </row>
    <row r="243" spans="1:11">
      <c r="A243" s="134" t="s">
        <v>11</v>
      </c>
      <c r="B243" s="2">
        <v>4</v>
      </c>
      <c r="C243" s="134" t="s">
        <v>21</v>
      </c>
      <c r="D243" s="15" t="s">
        <v>211</v>
      </c>
      <c r="E243" s="19"/>
      <c r="F243" s="19"/>
      <c r="G243" s="19"/>
      <c r="H243" s="168"/>
      <c r="I243" s="169"/>
      <c r="J243" s="169"/>
      <c r="K243" s="170"/>
    </row>
    <row r="244" spans="1:11" ht="18.75" thickBot="1">
      <c r="A244" s="134" t="s">
        <v>147</v>
      </c>
      <c r="B244" s="2">
        <v>2.5</v>
      </c>
      <c r="C244" s="134" t="s">
        <v>21</v>
      </c>
      <c r="D244" s="156" t="s">
        <v>379</v>
      </c>
      <c r="E244" s="19"/>
      <c r="F244" s="19"/>
      <c r="G244" s="19"/>
      <c r="H244" s="171"/>
      <c r="I244" s="172"/>
      <c r="J244" s="172"/>
      <c r="K244" s="173"/>
    </row>
    <row r="245" spans="1:11" ht="19.5" thickTop="1" thickBot="1">
      <c r="A245" s="134" t="s">
        <v>148</v>
      </c>
      <c r="B245" s="2">
        <v>1.8</v>
      </c>
      <c r="C245" s="134" t="s">
        <v>21</v>
      </c>
      <c r="D245" s="157"/>
      <c r="E245" s="19"/>
      <c r="F245" s="19"/>
      <c r="G245" s="19"/>
      <c r="H245" s="19"/>
      <c r="I245" s="19"/>
      <c r="J245" s="19"/>
      <c r="K245" s="19"/>
    </row>
    <row r="246" spans="1:11" ht="16.149999999999999" customHeight="1" thickTop="1">
      <c r="A246" s="7" t="s">
        <v>149</v>
      </c>
      <c r="B246" s="60">
        <v>86</v>
      </c>
      <c r="C246" s="137" t="s">
        <v>31</v>
      </c>
      <c r="D246" s="157"/>
      <c r="E246" s="19"/>
      <c r="F246" s="236" t="s">
        <v>392</v>
      </c>
      <c r="G246" s="237"/>
      <c r="H246" s="237"/>
      <c r="I246" s="237"/>
      <c r="J246" s="237"/>
      <c r="K246" s="238"/>
    </row>
    <row r="247" spans="1:11" ht="18">
      <c r="A247" s="134" t="s">
        <v>151</v>
      </c>
      <c r="B247" s="2">
        <v>12</v>
      </c>
      <c r="C247" s="134" t="s">
        <v>21</v>
      </c>
      <c r="D247" s="157"/>
      <c r="E247" s="19"/>
      <c r="F247" s="306"/>
      <c r="G247" s="307"/>
      <c r="H247" s="307"/>
      <c r="I247" s="307"/>
      <c r="J247" s="307"/>
      <c r="K247" s="308"/>
    </row>
    <row r="248" spans="1:11" ht="15.75" thickBot="1">
      <c r="A248" s="138" t="s">
        <v>309</v>
      </c>
      <c r="B248" s="24">
        <v>2</v>
      </c>
      <c r="C248" s="136" t="s">
        <v>10</v>
      </c>
      <c r="D248" s="158"/>
      <c r="E248" s="19"/>
      <c r="F248" s="239"/>
      <c r="G248" s="240"/>
      <c r="H248" s="240"/>
      <c r="I248" s="240"/>
      <c r="J248" s="240"/>
      <c r="K248" s="241"/>
    </row>
    <row r="249" spans="1:11" ht="18.75" thickTop="1">
      <c r="A249" s="177" t="s">
        <v>381</v>
      </c>
      <c r="B249" s="201"/>
      <c r="C249" s="51">
        <f>((4*G53)/(B243*B247*B246*B248))+(B242/2)</f>
        <v>25.467975481237001</v>
      </c>
      <c r="D249" s="139" t="s">
        <v>21</v>
      </c>
      <c r="E249" s="19"/>
      <c r="F249" s="174"/>
      <c r="G249" s="175"/>
      <c r="H249" s="175"/>
      <c r="I249" s="175"/>
      <c r="J249" s="175"/>
      <c r="K249" s="176"/>
    </row>
    <row r="250" spans="1:11">
      <c r="A250" s="184" t="s">
        <v>150</v>
      </c>
      <c r="B250" s="185"/>
      <c r="C250" s="63">
        <v>30</v>
      </c>
      <c r="D250" s="140" t="s">
        <v>21</v>
      </c>
      <c r="E250" s="19"/>
      <c r="F250" s="168"/>
      <c r="G250" s="169"/>
      <c r="H250" s="169"/>
      <c r="I250" s="169"/>
      <c r="J250" s="169"/>
      <c r="K250" s="170"/>
    </row>
    <row r="251" spans="1:11">
      <c r="A251" s="159" t="s">
        <v>307</v>
      </c>
      <c r="B251" s="185"/>
      <c r="C251" s="234" t="s">
        <v>380</v>
      </c>
      <c r="D251" s="235"/>
      <c r="E251" s="19"/>
      <c r="F251" s="168"/>
      <c r="G251" s="169"/>
      <c r="H251" s="169"/>
      <c r="I251" s="169"/>
      <c r="J251" s="169"/>
      <c r="K251" s="170"/>
    </row>
    <row r="252" spans="1:11">
      <c r="A252" s="184" t="s">
        <v>153</v>
      </c>
      <c r="B252" s="185"/>
      <c r="C252" s="249" t="s">
        <v>154</v>
      </c>
      <c r="D252" s="250"/>
      <c r="E252" s="58"/>
      <c r="F252" s="168"/>
      <c r="G252" s="169"/>
      <c r="H252" s="169"/>
      <c r="I252" s="169"/>
      <c r="J252" s="169"/>
      <c r="K252" s="170"/>
    </row>
    <row r="253" spans="1:11">
      <c r="E253" s="58"/>
      <c r="F253" s="168"/>
      <c r="G253" s="169"/>
      <c r="H253" s="169"/>
      <c r="I253" s="169"/>
      <c r="J253" s="169"/>
      <c r="K253" s="170"/>
    </row>
    <row r="254" spans="1:11">
      <c r="F254" s="168"/>
      <c r="G254" s="169"/>
      <c r="H254" s="169"/>
      <c r="I254" s="169"/>
      <c r="J254" s="169"/>
      <c r="K254" s="170"/>
    </row>
    <row r="255" spans="1:11">
      <c r="F255" s="168"/>
      <c r="G255" s="169"/>
      <c r="H255" s="169"/>
      <c r="I255" s="169"/>
      <c r="J255" s="169"/>
      <c r="K255" s="170"/>
    </row>
    <row r="256" spans="1:11">
      <c r="F256" s="168"/>
      <c r="G256" s="169"/>
      <c r="H256" s="169"/>
      <c r="I256" s="169"/>
      <c r="J256" s="169"/>
      <c r="K256" s="170"/>
    </row>
    <row r="257" spans="6:11">
      <c r="F257" s="168"/>
      <c r="G257" s="169"/>
      <c r="H257" s="169"/>
      <c r="I257" s="169"/>
      <c r="J257" s="169"/>
      <c r="K257" s="170"/>
    </row>
    <row r="258" spans="6:11">
      <c r="F258" s="168"/>
      <c r="G258" s="169"/>
      <c r="H258" s="169"/>
      <c r="I258" s="169"/>
      <c r="J258" s="169"/>
      <c r="K258" s="170"/>
    </row>
    <row r="259" spans="6:11">
      <c r="F259" s="168"/>
      <c r="G259" s="169"/>
      <c r="H259" s="169"/>
      <c r="I259" s="169"/>
      <c r="J259" s="169"/>
      <c r="K259" s="170"/>
    </row>
    <row r="260" spans="6:11">
      <c r="F260" s="168"/>
      <c r="G260" s="169"/>
      <c r="H260" s="169"/>
      <c r="I260" s="169"/>
      <c r="J260" s="169"/>
      <c r="K260" s="170"/>
    </row>
    <row r="261" spans="6:11">
      <c r="F261" s="168"/>
      <c r="G261" s="169"/>
      <c r="H261" s="169"/>
      <c r="I261" s="169"/>
      <c r="J261" s="169"/>
      <c r="K261" s="170"/>
    </row>
    <row r="262" spans="6:11">
      <c r="F262" s="168"/>
      <c r="G262" s="169"/>
      <c r="H262" s="169"/>
      <c r="I262" s="169"/>
      <c r="J262" s="169"/>
      <c r="K262" s="170"/>
    </row>
    <row r="263" spans="6:11">
      <c r="F263" s="168"/>
      <c r="G263" s="169"/>
      <c r="H263" s="169"/>
      <c r="I263" s="169"/>
      <c r="J263" s="169"/>
      <c r="K263" s="170"/>
    </row>
    <row r="264" spans="6:11">
      <c r="F264" s="168"/>
      <c r="G264" s="169"/>
      <c r="H264" s="169"/>
      <c r="I264" s="169"/>
      <c r="J264" s="169"/>
      <c r="K264" s="170"/>
    </row>
    <row r="265" spans="6:11">
      <c r="F265" s="168"/>
      <c r="G265" s="169"/>
      <c r="H265" s="169"/>
      <c r="I265" s="169"/>
      <c r="J265" s="169"/>
      <c r="K265" s="170"/>
    </row>
    <row r="266" spans="6:11">
      <c r="F266" s="168"/>
      <c r="G266" s="169"/>
      <c r="H266" s="169"/>
      <c r="I266" s="169"/>
      <c r="J266" s="169"/>
      <c r="K266" s="170"/>
    </row>
    <row r="267" spans="6:11">
      <c r="F267" s="168"/>
      <c r="G267" s="169"/>
      <c r="H267" s="169"/>
      <c r="I267" s="169"/>
      <c r="J267" s="169"/>
      <c r="K267" s="170"/>
    </row>
    <row r="268" spans="6:11">
      <c r="F268" s="168"/>
      <c r="G268" s="169"/>
      <c r="H268" s="169"/>
      <c r="I268" s="169"/>
      <c r="J268" s="169"/>
      <c r="K268" s="170"/>
    </row>
    <row r="269" spans="6:11">
      <c r="F269" s="168"/>
      <c r="G269" s="169"/>
      <c r="H269" s="169"/>
      <c r="I269" s="169"/>
      <c r="J269" s="169"/>
      <c r="K269" s="170"/>
    </row>
    <row r="270" spans="6:11">
      <c r="F270" s="168"/>
      <c r="G270" s="169"/>
      <c r="H270" s="169"/>
      <c r="I270" s="169"/>
      <c r="J270" s="169"/>
      <c r="K270" s="170"/>
    </row>
    <row r="271" spans="6:11">
      <c r="F271" s="168"/>
      <c r="G271" s="169"/>
      <c r="H271" s="169"/>
      <c r="I271" s="169"/>
      <c r="J271" s="169"/>
      <c r="K271" s="170"/>
    </row>
    <row r="272" spans="6:11">
      <c r="F272" s="168"/>
      <c r="G272" s="169"/>
      <c r="H272" s="169"/>
      <c r="I272" s="169"/>
      <c r="J272" s="169"/>
      <c r="K272" s="170"/>
    </row>
    <row r="273" spans="6:11" ht="15.75" thickBot="1">
      <c r="F273" s="171"/>
      <c r="G273" s="172"/>
      <c r="H273" s="172"/>
      <c r="I273" s="172"/>
      <c r="J273" s="172"/>
      <c r="K273" s="173"/>
    </row>
    <row r="274" spans="6:11" ht="15.75" thickTop="1"/>
  </sheetData>
  <sheetProtection formatCells="0" formatColumns="0" formatRows="0" insertHyperlinks="0" sort="0" autoFilter="0"/>
  <mergeCells count="293">
    <mergeCell ref="F249:K273"/>
    <mergeCell ref="A252:B252"/>
    <mergeCell ref="C252:D252"/>
    <mergeCell ref="G153:G154"/>
    <mergeCell ref="A164:D164"/>
    <mergeCell ref="A163:D163"/>
    <mergeCell ref="A161:D161"/>
    <mergeCell ref="A165:D165"/>
    <mergeCell ref="A179:D179"/>
    <mergeCell ref="A190:D190"/>
    <mergeCell ref="A199:D199"/>
    <mergeCell ref="A200:D200"/>
    <mergeCell ref="A194:D194"/>
    <mergeCell ref="A198:D198"/>
    <mergeCell ref="A197:D197"/>
    <mergeCell ref="A191:D191"/>
    <mergeCell ref="A186:D186"/>
    <mergeCell ref="A183:D183"/>
    <mergeCell ref="A181:D181"/>
    <mergeCell ref="A154:D154"/>
    <mergeCell ref="A153:D153"/>
    <mergeCell ref="A160:D160"/>
    <mergeCell ref="A241:D241"/>
    <mergeCell ref="A249:B249"/>
    <mergeCell ref="A250:B250"/>
    <mergeCell ref="A251:B251"/>
    <mergeCell ref="C251:D251"/>
    <mergeCell ref="G81:G82"/>
    <mergeCell ref="A93:C93"/>
    <mergeCell ref="A83:C83"/>
    <mergeCell ref="A84:C84"/>
    <mergeCell ref="A88:E88"/>
    <mergeCell ref="A89:C89"/>
    <mergeCell ref="A90:C90"/>
    <mergeCell ref="F92:F93"/>
    <mergeCell ref="G92:G93"/>
    <mergeCell ref="A92:C92"/>
    <mergeCell ref="A91:C91"/>
    <mergeCell ref="F91:G91"/>
    <mergeCell ref="A221:D221"/>
    <mergeCell ref="A224:F224"/>
    <mergeCell ref="G178:G179"/>
    <mergeCell ref="A177:F177"/>
    <mergeCell ref="A193:D193"/>
    <mergeCell ref="A203:D203"/>
    <mergeCell ref="A204:D204"/>
    <mergeCell ref="F246:K248"/>
    <mergeCell ref="I151:O151"/>
    <mergeCell ref="M35:M36"/>
    <mergeCell ref="A18:C18"/>
    <mergeCell ref="A73:C73"/>
    <mergeCell ref="I32:N32"/>
    <mergeCell ref="I34:I36"/>
    <mergeCell ref="M13:O13"/>
    <mergeCell ref="N14:O14"/>
    <mergeCell ref="L8:L9"/>
    <mergeCell ref="M8:M9"/>
    <mergeCell ref="N8:N9"/>
    <mergeCell ref="A16:C16"/>
    <mergeCell ref="A15:C15"/>
    <mergeCell ref="I13:K13"/>
    <mergeCell ref="A53:C53"/>
    <mergeCell ref="A19:C19"/>
    <mergeCell ref="A34:C34"/>
    <mergeCell ref="A35:C35"/>
    <mergeCell ref="A37:C37"/>
    <mergeCell ref="A11:C11"/>
    <mergeCell ref="A12:C12"/>
    <mergeCell ref="A8:C8"/>
    <mergeCell ref="N16:O16"/>
    <mergeCell ref="N17:O17"/>
    <mergeCell ref="N18:O18"/>
    <mergeCell ref="A33:C33"/>
    <mergeCell ref="I6:K6"/>
    <mergeCell ref="M2:M3"/>
    <mergeCell ref="N2:N3"/>
    <mergeCell ref="A24:C24"/>
    <mergeCell ref="A26:C26"/>
    <mergeCell ref="A20:C20"/>
    <mergeCell ref="A21:C21"/>
    <mergeCell ref="A22:C22"/>
    <mergeCell ref="A27:C27"/>
    <mergeCell ref="A29:C29"/>
    <mergeCell ref="A31:C31"/>
    <mergeCell ref="A32:C32"/>
    <mergeCell ref="A14:E14"/>
    <mergeCell ref="N19:O19"/>
    <mergeCell ref="M27:N27"/>
    <mergeCell ref="A9:C9"/>
    <mergeCell ref="A10:C10"/>
    <mergeCell ref="O2:O3"/>
    <mergeCell ref="I1:O1"/>
    <mergeCell ref="I2:I3"/>
    <mergeCell ref="A1:E1"/>
    <mergeCell ref="K2:K3"/>
    <mergeCell ref="L2:L3"/>
    <mergeCell ref="A5:C5"/>
    <mergeCell ref="A6:C6"/>
    <mergeCell ref="J2:J3"/>
    <mergeCell ref="A2:C2"/>
    <mergeCell ref="D2:E2"/>
    <mergeCell ref="A3:C3"/>
    <mergeCell ref="A4:C4"/>
    <mergeCell ref="F1:G1"/>
    <mergeCell ref="F2:G12"/>
    <mergeCell ref="A7:C7"/>
    <mergeCell ref="I7:O7"/>
    <mergeCell ref="O8:O9"/>
    <mergeCell ref="I8:I9"/>
    <mergeCell ref="J8:J9"/>
    <mergeCell ref="K8:K9"/>
    <mergeCell ref="A77:E77"/>
    <mergeCell ref="A78:C78"/>
    <mergeCell ref="J73:K73"/>
    <mergeCell ref="J74:K74"/>
    <mergeCell ref="J72:N72"/>
    <mergeCell ref="A23:C23"/>
    <mergeCell ref="A17:C17"/>
    <mergeCell ref="N15:O15"/>
    <mergeCell ref="J70:O70"/>
    <mergeCell ref="J50:O63"/>
    <mergeCell ref="K34:K36"/>
    <mergeCell ref="L34:L36"/>
    <mergeCell ref="J34:J36"/>
    <mergeCell ref="N35:N36"/>
    <mergeCell ref="A43:C43"/>
    <mergeCell ref="J64:O66"/>
    <mergeCell ref="A69:C69"/>
    <mergeCell ref="A70:C70"/>
    <mergeCell ref="L38:O38"/>
    <mergeCell ref="F61:F62"/>
    <mergeCell ref="M23:O23"/>
    <mergeCell ref="A40:C40"/>
    <mergeCell ref="A68:E68"/>
    <mergeCell ref="A65:C65"/>
    <mergeCell ref="A71:C71"/>
    <mergeCell ref="A72:C72"/>
    <mergeCell ref="A47:C47"/>
    <mergeCell ref="A52:C52"/>
    <mergeCell ref="A66:C66"/>
    <mergeCell ref="A56:C56"/>
    <mergeCell ref="A59:C59"/>
    <mergeCell ref="A58:C58"/>
    <mergeCell ref="A61:C61"/>
    <mergeCell ref="A62:C62"/>
    <mergeCell ref="A42:C42"/>
    <mergeCell ref="I38:K38"/>
    <mergeCell ref="A44:C44"/>
    <mergeCell ref="A45:C45"/>
    <mergeCell ref="F52:H52"/>
    <mergeCell ref="J69:K69"/>
    <mergeCell ref="A60:C60"/>
    <mergeCell ref="A55:C55"/>
    <mergeCell ref="J49:O49"/>
    <mergeCell ref="L39:L40"/>
    <mergeCell ref="L41:L42"/>
    <mergeCell ref="A64:C64"/>
    <mergeCell ref="A46:C46"/>
    <mergeCell ref="A41:C41"/>
    <mergeCell ref="F37:F38"/>
    <mergeCell ref="G37:G38"/>
    <mergeCell ref="A38:C38"/>
    <mergeCell ref="A81:C81"/>
    <mergeCell ref="K109:N109"/>
    <mergeCell ref="I43:K45"/>
    <mergeCell ref="G71:I71"/>
    <mergeCell ref="G75:I75"/>
    <mergeCell ref="K108:L108"/>
    <mergeCell ref="M103:N103"/>
    <mergeCell ref="G103:J103"/>
    <mergeCell ref="G104:H104"/>
    <mergeCell ref="G105:H105"/>
    <mergeCell ref="G106:H106"/>
    <mergeCell ref="G107:H107"/>
    <mergeCell ref="G108:H108"/>
    <mergeCell ref="K103:L103"/>
    <mergeCell ref="K104:L104"/>
    <mergeCell ref="K105:L105"/>
    <mergeCell ref="K106:L106"/>
    <mergeCell ref="G68:I68"/>
    <mergeCell ref="G72:I72"/>
    <mergeCell ref="G61:G62"/>
    <mergeCell ref="J67:L67"/>
    <mergeCell ref="G109:H109"/>
    <mergeCell ref="I80:K80"/>
    <mergeCell ref="A74:C74"/>
    <mergeCell ref="G151:G152"/>
    <mergeCell ref="A75:C75"/>
    <mergeCell ref="J68:O68"/>
    <mergeCell ref="A172:D172"/>
    <mergeCell ref="A174:D174"/>
    <mergeCell ref="A171:D171"/>
    <mergeCell ref="A169:F169"/>
    <mergeCell ref="D116:D120"/>
    <mergeCell ref="A113:D113"/>
    <mergeCell ref="C112:D112"/>
    <mergeCell ref="C124:D124"/>
    <mergeCell ref="C111:D111"/>
    <mergeCell ref="A111:B111"/>
    <mergeCell ref="A112:B112"/>
    <mergeCell ref="A121:B121"/>
    <mergeCell ref="A122:B122"/>
    <mergeCell ref="A123:B123"/>
    <mergeCell ref="A124:B124"/>
    <mergeCell ref="A167:D167"/>
    <mergeCell ref="G111:H111"/>
    <mergeCell ref="D104:D108"/>
    <mergeCell ref="M80:O80"/>
    <mergeCell ref="K107:L107"/>
    <mergeCell ref="A80:E80"/>
    <mergeCell ref="A99:D99"/>
    <mergeCell ref="I207:N207"/>
    <mergeCell ref="A207:F207"/>
    <mergeCell ref="A208:D208"/>
    <mergeCell ref="A209:D209"/>
    <mergeCell ref="A211:F211"/>
    <mergeCell ref="A212:D212"/>
    <mergeCell ref="A170:D170"/>
    <mergeCell ref="G112:N113"/>
    <mergeCell ref="G115:O115"/>
    <mergeCell ref="G116:O147"/>
    <mergeCell ref="O103:O113"/>
    <mergeCell ref="G197:G200"/>
    <mergeCell ref="I152:O152"/>
    <mergeCell ref="A178:D178"/>
    <mergeCell ref="A166:D166"/>
    <mergeCell ref="A173:D173"/>
    <mergeCell ref="A158:D158"/>
    <mergeCell ref="A159:D159"/>
    <mergeCell ref="K110:N111"/>
    <mergeCell ref="C123:D123"/>
    <mergeCell ref="A157:D157"/>
    <mergeCell ref="A151:F152"/>
    <mergeCell ref="G110:H110"/>
    <mergeCell ref="A110:B110"/>
    <mergeCell ref="A155:D155"/>
    <mergeCell ref="A156:D156"/>
    <mergeCell ref="A214:D214"/>
    <mergeCell ref="A82:C82"/>
    <mergeCell ref="F81:F82"/>
    <mergeCell ref="B129:F147"/>
    <mergeCell ref="A205:D205"/>
    <mergeCell ref="A196:F196"/>
    <mergeCell ref="A184:D184"/>
    <mergeCell ref="A182:D182"/>
    <mergeCell ref="A185:D185"/>
    <mergeCell ref="A189:D189"/>
    <mergeCell ref="A180:D180"/>
    <mergeCell ref="A192:D192"/>
    <mergeCell ref="A187:D187"/>
    <mergeCell ref="A188:D188"/>
    <mergeCell ref="A109:B109"/>
    <mergeCell ref="A101:D101"/>
    <mergeCell ref="A96:D96"/>
    <mergeCell ref="A95:E95"/>
    <mergeCell ref="A97:D97"/>
    <mergeCell ref="A98:D98"/>
    <mergeCell ref="A85:C85"/>
    <mergeCell ref="A233:D233"/>
    <mergeCell ref="A234:D234"/>
    <mergeCell ref="A213:D213"/>
    <mergeCell ref="A236:D236"/>
    <mergeCell ref="A219:D219"/>
    <mergeCell ref="A216:D216"/>
    <mergeCell ref="A215:D215"/>
    <mergeCell ref="A225:D225"/>
    <mergeCell ref="A229:D229"/>
    <mergeCell ref="A228:D228"/>
    <mergeCell ref="A235:D235"/>
    <mergeCell ref="D244:D248"/>
    <mergeCell ref="A217:D217"/>
    <mergeCell ref="A218:D218"/>
    <mergeCell ref="G155:G160"/>
    <mergeCell ref="A175:D175"/>
    <mergeCell ref="A162:D162"/>
    <mergeCell ref="B128:F128"/>
    <mergeCell ref="A237:D237"/>
    <mergeCell ref="H227:K227"/>
    <mergeCell ref="H228:K244"/>
    <mergeCell ref="A201:D201"/>
    <mergeCell ref="A202:D202"/>
    <mergeCell ref="A220:D220"/>
    <mergeCell ref="I208:N224"/>
    <mergeCell ref="A238:D238"/>
    <mergeCell ref="A239:D239"/>
    <mergeCell ref="G212:G214"/>
    <mergeCell ref="A222:D222"/>
    <mergeCell ref="G215:G222"/>
    <mergeCell ref="A226:D226"/>
    <mergeCell ref="A227:D227"/>
    <mergeCell ref="A230:D230"/>
    <mergeCell ref="A231:D231"/>
    <mergeCell ref="A232:D232"/>
  </mergeCells>
  <pageMargins left="0.7" right="0.7" top="0.75" bottom="0.75" header="0.3" footer="0.3"/>
  <pageSetup paperSize="9" orientation="portrait" r:id="rId1"/>
  <ignoredErrors>
    <ignoredError sqref="I1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Projekt NM Harasiuk Mateusz  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2020-12-06T22:44:35Z</dcterms:modified>
</cp:coreProperties>
</file>