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Model" sheetId="2" r:id="rId5"/>
    <sheet state="visible" name="Printer" sheetId="3" r:id="rId6"/>
  </sheets>
  <definedNames/>
  <calcPr/>
  <extLst>
    <ext uri="GoogleSheetsCustomDataVersion1">
      <go:sheetsCustomData xmlns:go="http://customooxmlschemas.google.com/" r:id="rId7" roundtripDataSignature="AMtx7mhf5/3R64nh8NnIGCUXPMv87a85Mw=="/>
    </ext>
  </extLst>
</workbook>
</file>

<file path=xl/sharedStrings.xml><?xml version="1.0" encoding="utf-8"?>
<sst xmlns="http://schemas.openxmlformats.org/spreadsheetml/2006/main" count="184" uniqueCount="131">
  <si>
    <r>
      <rPr>
        <rFont val="Arial"/>
        <b/>
        <color theme="1"/>
        <sz val="11.0"/>
      </rPr>
      <t>Creators:</t>
    </r>
    <r>
      <rPr>
        <rFont val="Arial"/>
        <color theme="1"/>
        <sz val="11.0"/>
      </rPr>
      <t xml:space="preserve"> Michael Hauer (michael.thomas.hauer@gmail.com), Devan Horn (devandc99@gmail.com), Stefan Nottensteiner (stefan.nottensteiner@gmx.de), Yusuf Ziya Güleray (ziya.guleray@gmail.com) &amp; Simon Rudat (simon.rudat@tum.de)</t>
    </r>
  </si>
  <si>
    <r>
      <rPr>
        <rFont val="Arial"/>
        <b/>
        <color theme="1"/>
        <sz val="11.0"/>
      </rPr>
      <t>Last updated:</t>
    </r>
    <r>
      <rPr>
        <rFont val="Arial"/>
        <color theme="1"/>
        <sz val="11.0"/>
      </rPr>
      <t xml:space="preserve"> 13 December 2020</t>
    </r>
  </si>
  <si>
    <t>Yellow cells are input cells, i.e. the values can be changed by the user according to the preferences</t>
  </si>
  <si>
    <t>Blue cells are output cells, i.e. these cells calculate a result based on the given input data. Don't change blue cells unless you want to modify the calculations</t>
  </si>
  <si>
    <t>Some cells are colored based on a color code (green/red). Green indicates that the value outperforms a given benchmark while red indicates underperformance</t>
  </si>
  <si>
    <t>Process Step</t>
  </si>
  <si>
    <t>Detail</t>
  </si>
  <si>
    <t>Unit</t>
  </si>
  <si>
    <t>General</t>
  </si>
  <si>
    <t>Swabs</t>
  </si>
  <si>
    <t>Pipette Tips</t>
  </si>
  <si>
    <t>Spin Columns</t>
  </si>
  <si>
    <t>1.5ml Tubes</t>
  </si>
  <si>
    <t>0.2ml Tubes</t>
  </si>
  <si>
    <t>Comment</t>
  </si>
  <si>
    <t>Assumption</t>
  </si>
  <si>
    <t>Volume</t>
  </si>
  <si>
    <t>Market Price</t>
  </si>
  <si>
    <t>€</t>
  </si>
  <si>
    <t>Number of consumables</t>
  </si>
  <si>
    <t>#</t>
  </si>
  <si>
    <t>Number of test kits</t>
  </si>
  <si>
    <t>The numbers for the test kits are the result of a calculation based on the data provided by Andy. The might require further adjustments.</t>
  </si>
  <si>
    <t>Setup</t>
  </si>
  <si>
    <t>Print</t>
  </si>
  <si>
    <t>Printer</t>
  </si>
  <si>
    <t>text</t>
  </si>
  <si>
    <t>Form 3B</t>
  </si>
  <si>
    <t>Price</t>
  </si>
  <si>
    <t>Amount</t>
  </si>
  <si>
    <t>Build surface</t>
  </si>
  <si>
    <t>mm²</t>
  </si>
  <si>
    <t>Surface area (estimated)</t>
  </si>
  <si>
    <t>Batch size</t>
  </si>
  <si>
    <t>The numbers are estimated based on manufacture information except the tube numbers, they are from Pre-Form</t>
  </si>
  <si>
    <t>mm² space between units:</t>
  </si>
  <si>
    <t>Volume per component</t>
  </si>
  <si>
    <t>mm³</t>
  </si>
  <si>
    <t>The numbers are estimated based on manufacture information except the tube numbers, they are the used resin information from Pre-Form</t>
  </si>
  <si>
    <t>Processing time per batch</t>
  </si>
  <si>
    <t>minutes</t>
  </si>
  <si>
    <t>These numbers are partially from Pre-Form and from papers</t>
  </si>
  <si>
    <t>Total processing time</t>
  </si>
  <si>
    <t>Relative quantity per day</t>
  </si>
  <si>
    <t>Test kit quantity per day</t>
  </si>
  <si>
    <t>Test kit quantity per day excluding Pipette Tips</t>
  </si>
  <si>
    <t>Wash</t>
  </si>
  <si>
    <t>Form wash</t>
  </si>
  <si>
    <t>Form Wash</t>
  </si>
  <si>
    <t>https://formlabs.com/de/shop/post-processing/form-wash/</t>
  </si>
  <si>
    <t>Batch volume</t>
  </si>
  <si>
    <t>20 min wash + 30 min air-dry</t>
  </si>
  <si>
    <t>Cure</t>
  </si>
  <si>
    <t>Form cure</t>
  </si>
  <si>
    <t>Form Cure</t>
  </si>
  <si>
    <t>Sterilize</t>
  </si>
  <si>
    <t>Autoclave</t>
  </si>
  <si>
    <t>-</t>
  </si>
  <si>
    <t>Assumption we can use an autoclave in mobile station</t>
  </si>
  <si>
    <t>Package</t>
  </si>
  <si>
    <t>Total Price</t>
  </si>
  <si>
    <t>Total fix cost</t>
  </si>
  <si>
    <t>Variable Cost</t>
  </si>
  <si>
    <t>Manual workload</t>
  </si>
  <si>
    <t>Cost of worker per hour in €:</t>
  </si>
  <si>
    <t>Printing cost</t>
  </si>
  <si>
    <t>€ / #</t>
  </si>
  <si>
    <t>Cost of resin/liter in €:</t>
  </si>
  <si>
    <t>Cost incl. post-processing</t>
  </si>
  <si>
    <t>post processing costs 60% of printing:</t>
  </si>
  <si>
    <t>Market price - cost</t>
  </si>
  <si>
    <t>Resin/mm³ :</t>
  </si>
  <si>
    <t>Total variable cost</t>
  </si>
  <si>
    <t>Drucker</t>
  </si>
  <si>
    <t>Price in €</t>
  </si>
  <si>
    <t>Build surface in mm²</t>
  </si>
  <si>
    <t>Druckgeschwindigkeit</t>
  </si>
  <si>
    <t>mm²/€</t>
  </si>
  <si>
    <t>Druckvolumen</t>
  </si>
  <si>
    <t>Preis</t>
  </si>
  <si>
    <t>14.5 × 14.5 × 18.5 cm</t>
  </si>
  <si>
    <t>Form 3BL</t>
  </si>
  <si>
    <t>33.5 × 20 × 30 cm</t>
  </si>
  <si>
    <t>Anycubic Photon</t>
  </si>
  <si>
    <t>20 mm / h</t>
  </si>
  <si>
    <t>115 mm * 65 mm * 155 mm</t>
  </si>
  <si>
    <t>Anycubic Photon S</t>
  </si>
  <si>
    <t>115 mm * 65 mm * 165 mm</t>
  </si>
  <si>
    <t>ANYCUBIC Photon Mono X</t>
  </si>
  <si>
    <t>60 mm / h</t>
  </si>
  <si>
    <t>192mm(L）*120mm(W）*245mm（H）</t>
  </si>
  <si>
    <t>ANYCUBIC Photon Mono SE</t>
  </si>
  <si>
    <t>130 mm (L) * 78 mm (B) * 160 mm (H)</t>
  </si>
  <si>
    <t>Phrozen Sonic Mini 4K 3D Printer</t>
  </si>
  <si>
    <t>80mm/ hour</t>
  </si>
  <si>
    <t>L5.2 x 2.9 x 5.1 in</t>
  </si>
  <si>
    <t>Sonic Mighty 4K 3D Printer</t>
  </si>
  <si>
    <t>20 x 12.5 x 22 cm</t>
  </si>
  <si>
    <t>Phrozen Sonic 4K 3D Printer</t>
  </si>
  <si>
    <t>90mm/ hour</t>
  </si>
  <si>
    <t>L5.2 x W2.9 x H7.8 in</t>
  </si>
  <si>
    <t>Phrozen Sonic Mini 3D Printer</t>
  </si>
  <si>
    <t>4.7 x 2.6 x 5.1 in</t>
  </si>
  <si>
    <t>Phrozen Transform Resin 3D Printer</t>
  </si>
  <si>
    <t>40mm/hour</t>
  </si>
  <si>
    <t>11.5 x 6.5 x 15.75 in</t>
  </si>
  <si>
    <t>Phrozen Shuffle XL Lite Resin 3D Printer</t>
  </si>
  <si>
    <t>20mm/hour</t>
  </si>
  <si>
    <t>7.4 x 4.7 x 7.8in</t>
  </si>
  <si>
    <t>Phrozen Sonic Resin 3D Printer</t>
  </si>
  <si>
    <t>60mm/hr</t>
  </si>
  <si>
    <t>L12 X W6.8 X H17cm</t>
  </si>
  <si>
    <t>Phrozen Sonic XL 4K Resin 3D Printer</t>
  </si>
  <si>
    <t>200 mm/hour</t>
  </si>
  <si>
    <t>L7.5 x W4.7 x H7.9in</t>
  </si>
  <si>
    <t>LD-002H Mono LCD Resin 3D Printer</t>
  </si>
  <si>
    <t>5.12x3.23x6.3inch</t>
  </si>
  <si>
    <t>ELEGOO Saturn MSLA 4K Monochrome LCD Resin 3D Printer</t>
  </si>
  <si>
    <t>30mm/h</t>
  </si>
  <si>
    <t>192mm (L) * 120mm (W) * 200mm (H)</t>
  </si>
  <si>
    <t>ELEGOO Mars 2 Pro Mono LCD MSLA Resin 3D Printer With Air Purifier</t>
  </si>
  <si>
    <t>129mm(L)*80mm(W)*160mm(H)</t>
  </si>
  <si>
    <t>Phenom by Peopoly</t>
  </si>
  <si>
    <t>10-15 (mm / hour)</t>
  </si>
  <si>
    <t>276 x 155 x 400 mm </t>
  </si>
  <si>
    <t>Phenom L</t>
  </si>
  <si>
    <t>15-20 (mm / hour)</t>
  </si>
  <si>
    <t>345 × 195 x 400 (mm)</t>
  </si>
  <si>
    <t>Phenom Noir</t>
  </si>
  <si>
    <t>30 (mm / hour)</t>
  </si>
  <si>
    <t>292 × 165 x 400 (mm)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</si>
</sst>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.00_-;_-@"/>
    <numFmt numFmtId="166" formatCode="0.0"/>
  </numFmts>
  <fonts count="11">
    <font>
      <sz val="11.0"/>
      <color theme="1"/>
      <name val="Arial"/>
    </font>
    <font>
      <sz val="10.0"/>
      <color theme="1"/>
      <name val="Arial"/>
    </font>
    <font>
      <b/>
      <sz val="10.0"/>
      <color theme="0"/>
      <name val="Arial"/>
    </font>
    <font/>
    <font>
      <b/>
      <sz val="10.0"/>
      <color rgb="FFFFFFFF"/>
      <name val="Arial"/>
    </font>
    <font>
      <b/>
      <sz val="10.0"/>
      <color theme="1"/>
      <name val="Arial"/>
    </font>
    <font>
      <sz val="10.0"/>
      <color rgb="FF00AC00"/>
      <name val="Arial"/>
    </font>
    <font>
      <sz val="11.0"/>
      <color theme="1"/>
      <name val="Calibri"/>
    </font>
    <font>
      <color theme="1"/>
      <name val="Calibri"/>
    </font>
    <font>
      <u/>
      <sz val="10.0"/>
      <color theme="10"/>
      <name val="Arial"/>
    </font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right/>
      <top/>
      <bottom/>
    </border>
    <border>
      <left/>
      <right/>
      <top/>
      <bottom/>
    </border>
    <border>
      <left style="dotted">
        <color theme="6"/>
      </left>
      <right style="dotted">
        <color theme="6"/>
      </right>
      <top style="dotted">
        <color theme="6"/>
      </top>
      <bottom style="dotted">
        <color theme="6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2" fontId="2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4" fillId="3" fontId="6" numFmtId="0" xfId="0" applyBorder="1" applyFill="1" applyFont="1"/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3" fontId="6" numFmtId="0" xfId="0" applyAlignment="1" applyBorder="1" applyFont="1">
      <alignment readingOrder="0"/>
    </xf>
    <xf borderId="3" fillId="4" fontId="1" numFmtId="164" xfId="0" applyBorder="1" applyFill="1" applyFont="1" applyNumberFormat="1"/>
    <xf borderId="4" fillId="3" fontId="6" numFmtId="0" xfId="0" applyAlignment="1" applyBorder="1" applyFont="1">
      <alignment horizontal="right" readingOrder="0" vertical="center"/>
    </xf>
    <xf borderId="4" fillId="3" fontId="6" numFmtId="2" xfId="0" applyAlignment="1" applyBorder="1" applyFont="1" applyNumberFormat="1">
      <alignment horizontal="right" vertical="center"/>
    </xf>
    <xf borderId="4" fillId="3" fontId="6" numFmtId="0" xfId="0" applyAlignment="1" applyBorder="1" applyFont="1">
      <alignment horizontal="right" vertical="center"/>
    </xf>
    <xf borderId="4" fillId="3" fontId="6" numFmtId="1" xfId="0" applyAlignment="1" applyBorder="1" applyFont="1" applyNumberFormat="1">
      <alignment horizontal="right" vertical="center"/>
    </xf>
    <xf borderId="3" fillId="4" fontId="1" numFmtId="1" xfId="0" applyAlignment="1" applyBorder="1" applyFont="1" applyNumberFormat="1">
      <alignment horizontal="right" vertical="center"/>
    </xf>
    <xf borderId="0" fillId="0" fontId="8" numFmtId="0" xfId="0" applyFont="1"/>
    <xf borderId="3" fillId="4" fontId="5" numFmtId="165" xfId="0" applyBorder="1" applyFont="1" applyNumberFormat="1"/>
    <xf borderId="0" fillId="0" fontId="8" numFmtId="165" xfId="0" applyFont="1" applyNumberFormat="1"/>
    <xf borderId="0" fillId="0" fontId="1" numFmtId="0" xfId="0" applyAlignment="1" applyFont="1">
      <alignment horizontal="left" readingOrder="0" vertical="center"/>
    </xf>
    <xf borderId="0" fillId="0" fontId="8" numFmtId="164" xfId="0" applyFont="1" applyNumberFormat="1"/>
    <xf borderId="0" fillId="0" fontId="8" numFmtId="0" xfId="0" applyFont="1"/>
    <xf borderId="0" fillId="0" fontId="9" numFmtId="0" xfId="0" applyFont="1"/>
    <xf borderId="4" fillId="3" fontId="6" numFmtId="0" xfId="0" applyAlignment="1" applyBorder="1" applyFont="1">
      <alignment horizontal="left" vertical="center"/>
    </xf>
    <xf borderId="4" fillId="4" fontId="1" numFmtId="164" xfId="0" applyAlignment="1" applyBorder="1" applyFont="1" applyNumberFormat="1">
      <alignment horizontal="right"/>
    </xf>
    <xf borderId="3" fillId="4" fontId="1" numFmtId="165" xfId="0" applyBorder="1" applyFont="1" applyNumberFormat="1"/>
    <xf borderId="0" fillId="0" fontId="7" numFmtId="0" xfId="0" applyFont="1"/>
    <xf borderId="4" fillId="3" fontId="6" numFmtId="166" xfId="0" applyAlignment="1" applyBorder="1" applyFont="1" applyNumberFormat="1">
      <alignment horizontal="right" vertical="center"/>
    </xf>
    <xf borderId="0" fillId="5" fontId="10" numFmtId="0" xfId="0" applyAlignment="1" applyFill="1" applyFont="1">
      <alignment readingOrder="0"/>
    </xf>
    <xf borderId="0" fillId="0" fontId="7" numFmtId="2" xfId="0" applyFont="1" applyNumberFormat="1"/>
    <xf borderId="0" fillId="0" fontId="7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ormlabs.com/de/shop/post-processing/form-wash/" TargetMode="External"/><Relationship Id="rId2" Type="http://schemas.openxmlformats.org/officeDocument/2006/relationships/hyperlink" Target="https://formlabs.com/de/shop/post-processing/form-wash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45.38"/>
    <col customWidth="1" min="3" max="26" width="9.38"/>
  </cols>
  <sheetData>
    <row r="1" ht="13.5" customHeight="1"/>
    <row r="2" ht="13.5" customHeight="1">
      <c r="B2" s="1" t="s">
        <v>0</v>
      </c>
    </row>
    <row r="3" ht="13.5" customHeight="1">
      <c r="B3" s="1" t="s">
        <v>1</v>
      </c>
    </row>
    <row r="4" ht="13.5" customHeight="1"/>
    <row r="5" ht="13.5" customHeight="1">
      <c r="B5" s="1" t="s">
        <v>2</v>
      </c>
    </row>
    <row r="6" ht="13.5" customHeight="1">
      <c r="B6" s="1" t="s">
        <v>3</v>
      </c>
    </row>
    <row r="7" ht="13.5" customHeight="1">
      <c r="B7" s="1" t="s">
        <v>4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3" width="18.63"/>
    <col customWidth="1" min="4" max="4" width="28.13"/>
    <col customWidth="1" min="5" max="5" width="6.5"/>
    <col customWidth="1" min="6" max="11" width="9.0"/>
    <col customWidth="1" min="12" max="12" width="30.13"/>
    <col customWidth="1" min="13" max="13" width="14.13"/>
    <col customWidth="1" min="14" max="15" width="9.63"/>
    <col customWidth="1" min="16" max="26" width="7.25"/>
  </cols>
  <sheetData>
    <row r="1" ht="4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4.25" customHeight="1">
      <c r="A2" s="2"/>
      <c r="B2" s="3" t="s">
        <v>5</v>
      </c>
      <c r="C2" s="4"/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6" t="s">
        <v>14</v>
      </c>
      <c r="M2" s="6" t="s">
        <v>15</v>
      </c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4.25" customHeight="1">
      <c r="A5" s="2"/>
      <c r="B5" s="7" t="s">
        <v>16</v>
      </c>
      <c r="D5" s="8" t="s">
        <v>17</v>
      </c>
      <c r="E5" s="8" t="s">
        <v>18</v>
      </c>
      <c r="F5" s="2"/>
      <c r="G5" s="9">
        <v>4.5</v>
      </c>
      <c r="H5" s="9">
        <v>0.1</v>
      </c>
      <c r="I5" s="9">
        <v>1.0</v>
      </c>
      <c r="J5" s="9">
        <v>0.2</v>
      </c>
      <c r="K5" s="9">
        <v>0.1</v>
      </c>
      <c r="L5" s="8"/>
      <c r="M5" s="10"/>
      <c r="P5" s="11"/>
    </row>
    <row r="6" ht="14.25" customHeight="1">
      <c r="A6" s="2"/>
      <c r="D6" s="8" t="s">
        <v>19</v>
      </c>
      <c r="E6" s="8" t="s">
        <v>20</v>
      </c>
      <c r="F6" s="2"/>
      <c r="G6" s="9">
        <v>300.0</v>
      </c>
      <c r="H6" s="9">
        <v>6300.0</v>
      </c>
      <c r="I6" s="9">
        <v>300.0</v>
      </c>
      <c r="J6" s="9">
        <v>1200.0</v>
      </c>
      <c r="K6" s="9">
        <v>600.0</v>
      </c>
      <c r="L6" s="8"/>
      <c r="M6" s="10"/>
      <c r="P6" s="11"/>
    </row>
    <row r="7" ht="14.25" customHeight="1">
      <c r="A7" s="2"/>
      <c r="D7" s="8" t="s">
        <v>21</v>
      </c>
      <c r="E7" s="8" t="s">
        <v>20</v>
      </c>
      <c r="F7" s="12"/>
      <c r="G7" s="13" t="str">
        <f>F7</f>
        <v/>
      </c>
      <c r="H7" s="13">
        <f>F7*21</f>
        <v>0</v>
      </c>
      <c r="I7" s="13" t="str">
        <f>F7</f>
        <v/>
      </c>
      <c r="J7" s="13">
        <f>F7*4</f>
        <v>0</v>
      </c>
      <c r="K7" s="13">
        <f>F7*2</f>
        <v>0</v>
      </c>
      <c r="L7" s="8" t="s">
        <v>22</v>
      </c>
      <c r="M7" s="10"/>
      <c r="P7" s="11"/>
    </row>
    <row r="8" ht="14.25" customHeight="1">
      <c r="A8" s="2"/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10"/>
      <c r="P8" s="11"/>
    </row>
    <row r="9" ht="14.25" customHeight="1">
      <c r="A9" s="2"/>
      <c r="B9" s="7" t="s">
        <v>23</v>
      </c>
      <c r="C9" s="7" t="s">
        <v>24</v>
      </c>
      <c r="D9" s="8" t="s">
        <v>25</v>
      </c>
      <c r="E9" s="8" t="s">
        <v>26</v>
      </c>
      <c r="F9" s="14" t="s">
        <v>27</v>
      </c>
      <c r="G9" s="8"/>
      <c r="H9" s="8"/>
      <c r="I9" s="8"/>
      <c r="J9" s="8"/>
      <c r="K9" s="8"/>
      <c r="L9" s="8"/>
      <c r="M9" s="10"/>
      <c r="P9" s="11"/>
    </row>
    <row r="10" ht="14.25" customHeight="1">
      <c r="A10" s="2"/>
      <c r="D10" s="8" t="s">
        <v>28</v>
      </c>
      <c r="E10" s="8" t="s">
        <v>18</v>
      </c>
      <c r="F10" s="15">
        <f>VLOOKUP(F9,Printer!A2:C21,2,FALSE)</f>
        <v>4699</v>
      </c>
      <c r="G10" s="8"/>
      <c r="H10" s="8"/>
      <c r="I10" s="8"/>
      <c r="J10" s="8"/>
      <c r="K10" s="8"/>
      <c r="L10" s="8"/>
      <c r="M10" s="10"/>
      <c r="P10" s="11"/>
    </row>
    <row r="11" ht="14.25" customHeight="1">
      <c r="A11" s="2"/>
      <c r="D11" s="8" t="s">
        <v>29</v>
      </c>
      <c r="E11" s="8" t="s">
        <v>20</v>
      </c>
      <c r="F11" s="14">
        <v>2.0</v>
      </c>
      <c r="G11" s="8"/>
      <c r="H11" s="8"/>
      <c r="I11" s="8"/>
      <c r="J11" s="8"/>
      <c r="K11" s="8"/>
      <c r="L11" s="8"/>
      <c r="M11" s="10"/>
      <c r="P11" s="11"/>
    </row>
    <row r="12" ht="14.25" customHeight="1">
      <c r="A12" s="2"/>
      <c r="D12" s="8" t="s">
        <v>30</v>
      </c>
      <c r="E12" s="8" t="s">
        <v>31</v>
      </c>
      <c r="F12" s="16">
        <f>VLOOKUP(F9,Printer!A2:C21,3,FALSE)</f>
        <v>21025</v>
      </c>
      <c r="G12" s="8"/>
      <c r="H12" s="8"/>
      <c r="I12" s="8"/>
      <c r="J12" s="8"/>
      <c r="K12" s="8"/>
      <c r="L12" s="8"/>
      <c r="M12" s="10"/>
      <c r="P12" s="11"/>
    </row>
    <row r="13" ht="14.25" customHeight="1">
      <c r="A13" s="2"/>
      <c r="D13" s="2" t="s">
        <v>32</v>
      </c>
      <c r="E13" s="2" t="s">
        <v>31</v>
      </c>
      <c r="F13" s="2"/>
      <c r="G13" s="17">
        <v>14.8225</v>
      </c>
      <c r="H13" s="17">
        <v>29.2681</v>
      </c>
      <c r="I13" s="17">
        <v>169.0</v>
      </c>
      <c r="J13" s="17">
        <f>21025/70-$N$14</f>
        <v>250.2876675</v>
      </c>
      <c r="K13" s="17">
        <f>21025/280-$N$14</f>
        <v>25.01981041</v>
      </c>
      <c r="L13" s="8"/>
      <c r="M13" s="10"/>
      <c r="P13" s="11"/>
    </row>
    <row r="14" ht="14.25" customHeight="1">
      <c r="A14" s="2"/>
      <c r="D14" s="8" t="s">
        <v>33</v>
      </c>
      <c r="E14" s="8" t="s">
        <v>20</v>
      </c>
      <c r="F14" s="2"/>
      <c r="G14" s="18">
        <f t="shared" ref="G14:K14" si="1">$F$12/(G13+$N$14)</f>
        <v>324</v>
      </c>
      <c r="H14" s="18">
        <f t="shared" si="1"/>
        <v>265.0068384</v>
      </c>
      <c r="I14" s="18">
        <f t="shared" si="1"/>
        <v>95.97411949</v>
      </c>
      <c r="J14" s="18">
        <f t="shared" si="1"/>
        <v>70</v>
      </c>
      <c r="K14" s="18">
        <f t="shared" si="1"/>
        <v>280</v>
      </c>
      <c r="L14" s="8" t="s">
        <v>34</v>
      </c>
      <c r="M14" s="8" t="s">
        <v>35</v>
      </c>
      <c r="N14" s="17">
        <v>50.06947530864197</v>
      </c>
      <c r="P14" s="11"/>
    </row>
    <row r="15" ht="14.25" customHeight="1">
      <c r="A15" s="2"/>
      <c r="D15" s="2" t="s">
        <v>36</v>
      </c>
      <c r="E15" s="8" t="s">
        <v>37</v>
      </c>
      <c r="F15" s="8"/>
      <c r="G15" s="17">
        <v>1746.234641543802</v>
      </c>
      <c r="H15" s="17">
        <v>1163.1478664983226</v>
      </c>
      <c r="I15" s="17">
        <v>5773.854598216341</v>
      </c>
      <c r="J15" s="17">
        <f>163.83*1000/J14</f>
        <v>2340.428571</v>
      </c>
      <c r="K15" s="17">
        <f>92.91*1000/K14</f>
        <v>331.8214286</v>
      </c>
      <c r="L15" s="8" t="s">
        <v>38</v>
      </c>
      <c r="M15" s="8"/>
      <c r="P15" s="11"/>
    </row>
    <row r="16" ht="14.25" customHeight="1">
      <c r="A16" s="2"/>
      <c r="D16" s="8" t="s">
        <v>39</v>
      </c>
      <c r="E16" s="8" t="s">
        <v>40</v>
      </c>
      <c r="F16" s="8"/>
      <c r="G16" s="17">
        <v>690.0</v>
      </c>
      <c r="H16" s="17">
        <v>376.0</v>
      </c>
      <c r="I16" s="17">
        <v>676.0</v>
      </c>
      <c r="J16" s="17">
        <v>195.0</v>
      </c>
      <c r="K16" s="17">
        <v>405.0</v>
      </c>
      <c r="L16" s="8" t="s">
        <v>41</v>
      </c>
      <c r="M16" s="8"/>
      <c r="P16" s="11"/>
    </row>
    <row r="17" ht="14.25" customHeight="1">
      <c r="A17" s="2"/>
      <c r="D17" s="8" t="s">
        <v>42</v>
      </c>
      <c r="E17" s="8" t="s">
        <v>40</v>
      </c>
      <c r="F17" s="8"/>
      <c r="G17" s="13">
        <f t="shared" ref="G17:K17" si="2">IF(ROUNDUP(G6/G14,0)&gt;1,ROUNDUP(G6/G14,0)*G16/$F$11,G16)</f>
        <v>690</v>
      </c>
      <c r="H17" s="13">
        <f t="shared" si="2"/>
        <v>4512</v>
      </c>
      <c r="I17" s="13">
        <f t="shared" si="2"/>
        <v>1352</v>
      </c>
      <c r="J17" s="13">
        <f t="shared" si="2"/>
        <v>1755</v>
      </c>
      <c r="K17" s="13">
        <f t="shared" si="2"/>
        <v>607.5</v>
      </c>
      <c r="L17" s="19"/>
      <c r="M17" s="19"/>
      <c r="P17" s="11"/>
    </row>
    <row r="18" ht="14.25" customHeight="1">
      <c r="A18" s="2"/>
      <c r="D18" s="8" t="s">
        <v>43</v>
      </c>
      <c r="E18" s="8"/>
      <c r="F18" s="8"/>
      <c r="G18" s="20">
        <f t="shared" ref="G18:K18" si="3">(60*24)/G17</f>
        <v>2.086956522</v>
      </c>
      <c r="H18" s="20">
        <f t="shared" si="3"/>
        <v>0.3191489362</v>
      </c>
      <c r="I18" s="20">
        <f t="shared" si="3"/>
        <v>1.065088757</v>
      </c>
      <c r="J18" s="20">
        <f t="shared" si="3"/>
        <v>0.8205128205</v>
      </c>
      <c r="K18" s="20">
        <f t="shared" si="3"/>
        <v>2.37037037</v>
      </c>
      <c r="L18" s="21"/>
      <c r="M18" s="21"/>
      <c r="P18" s="11"/>
    </row>
    <row r="19" ht="14.25" customHeight="1">
      <c r="A19" s="2"/>
      <c r="C19" s="7"/>
      <c r="D19" s="22" t="s">
        <v>44</v>
      </c>
      <c r="E19" s="8"/>
      <c r="F19" s="20">
        <f>(60*24)/(SUM(G17:K17))</f>
        <v>0.1614983458</v>
      </c>
      <c r="G19" s="21"/>
      <c r="H19" s="21"/>
      <c r="I19" s="21"/>
      <c r="J19" s="21"/>
      <c r="K19" s="21"/>
      <c r="L19" s="21"/>
      <c r="M19" s="21"/>
      <c r="P19" s="11"/>
    </row>
    <row r="20" ht="14.25" customHeight="1">
      <c r="A20" s="2"/>
      <c r="C20" s="7"/>
      <c r="D20" s="22" t="s">
        <v>45</v>
      </c>
      <c r="E20" s="8"/>
      <c r="F20" s="20">
        <f>(60*24)/((SUM(G17:K17)-H17))</f>
        <v>0.3269383585</v>
      </c>
      <c r="G20" s="21"/>
      <c r="H20" s="21"/>
      <c r="I20" s="21"/>
      <c r="J20" s="21"/>
      <c r="K20" s="21"/>
      <c r="L20" s="21"/>
      <c r="M20" s="21"/>
      <c r="P20" s="11"/>
    </row>
    <row r="21" ht="14.25" customHeight="1">
      <c r="A21" s="2"/>
      <c r="C21" s="7"/>
      <c r="D21" s="8"/>
      <c r="E21" s="8"/>
      <c r="F21" s="8"/>
      <c r="G21" s="23"/>
      <c r="H21" s="23"/>
      <c r="I21" s="23"/>
      <c r="J21" s="24"/>
      <c r="K21" s="24"/>
      <c r="L21" s="24"/>
      <c r="M21" s="24"/>
      <c r="P21" s="11"/>
    </row>
    <row r="22" ht="14.25" customHeight="1">
      <c r="A22" s="2"/>
      <c r="C22" s="7" t="s">
        <v>46</v>
      </c>
      <c r="D22" s="8" t="s">
        <v>47</v>
      </c>
      <c r="E22" s="8" t="s">
        <v>26</v>
      </c>
      <c r="F22" s="16" t="s">
        <v>48</v>
      </c>
      <c r="G22" s="8"/>
      <c r="H22" s="8"/>
      <c r="I22" s="8"/>
      <c r="J22" s="8"/>
      <c r="K22" s="8"/>
      <c r="L22" s="25" t="s">
        <v>49</v>
      </c>
      <c r="M22" s="10"/>
      <c r="P22" s="11"/>
    </row>
    <row r="23" ht="14.25" customHeight="1">
      <c r="A23" s="2"/>
      <c r="D23" s="8" t="s">
        <v>28</v>
      </c>
      <c r="E23" s="8" t="s">
        <v>18</v>
      </c>
      <c r="F23" s="16">
        <v>500.0</v>
      </c>
      <c r="G23" s="8"/>
      <c r="H23" s="8"/>
      <c r="I23" s="8"/>
      <c r="J23" s="8"/>
      <c r="K23" s="8"/>
      <c r="L23" s="8"/>
      <c r="M23" s="10"/>
      <c r="P23" s="11"/>
    </row>
    <row r="24" ht="14.25" customHeight="1">
      <c r="A24" s="2"/>
      <c r="D24" s="8" t="s">
        <v>29</v>
      </c>
      <c r="E24" s="8" t="s">
        <v>20</v>
      </c>
      <c r="F24" s="16">
        <v>1.0</v>
      </c>
      <c r="G24" s="8"/>
      <c r="H24" s="8"/>
      <c r="I24" s="8"/>
      <c r="J24" s="8"/>
      <c r="K24" s="8"/>
      <c r="L24" s="8"/>
      <c r="M24" s="10"/>
      <c r="P24" s="11"/>
    </row>
    <row r="25" ht="14.25" customHeight="1">
      <c r="A25" s="2"/>
      <c r="D25" s="8" t="s">
        <v>50</v>
      </c>
      <c r="E25" s="8" t="s">
        <v>20</v>
      </c>
      <c r="F25" s="8"/>
      <c r="G25" s="18">
        <f t="shared" ref="G25:K25" si="4">G14</f>
        <v>324</v>
      </c>
      <c r="H25" s="18">
        <f t="shared" si="4"/>
        <v>265.0068384</v>
      </c>
      <c r="I25" s="18">
        <f t="shared" si="4"/>
        <v>95.97411949</v>
      </c>
      <c r="J25" s="18">
        <f t="shared" si="4"/>
        <v>70</v>
      </c>
      <c r="K25" s="18">
        <f t="shared" si="4"/>
        <v>280</v>
      </c>
      <c r="L25" s="8"/>
      <c r="M25" s="10"/>
    </row>
    <row r="26" ht="14.25" customHeight="1">
      <c r="A26" s="2"/>
      <c r="D26" s="8" t="s">
        <v>39</v>
      </c>
      <c r="E26" s="8" t="s">
        <v>40</v>
      </c>
      <c r="F26" s="8"/>
      <c r="G26" s="16">
        <v>50.0</v>
      </c>
      <c r="H26" s="16">
        <v>50.0</v>
      </c>
      <c r="I26" s="16">
        <v>50.0</v>
      </c>
      <c r="J26" s="16">
        <v>50.0</v>
      </c>
      <c r="K26" s="16">
        <v>50.0</v>
      </c>
      <c r="L26" s="8" t="s">
        <v>51</v>
      </c>
      <c r="M26" s="10"/>
      <c r="P26" s="11"/>
    </row>
    <row r="27" ht="14.25" customHeight="1">
      <c r="A27" s="2"/>
      <c r="D27" s="8" t="s">
        <v>42</v>
      </c>
      <c r="E27" s="8" t="s">
        <v>40</v>
      </c>
      <c r="F27" s="8"/>
      <c r="G27" s="13">
        <f t="shared" ref="G27:K27" si="5">IF(ROUNDUP(G6/G25,0)&gt;1,ROUNDUP(G6/G25,0)*G26/$F$24,G26)</f>
        <v>50</v>
      </c>
      <c r="H27" s="13">
        <f t="shared" si="5"/>
        <v>1200</v>
      </c>
      <c r="I27" s="13">
        <f t="shared" si="5"/>
        <v>200</v>
      </c>
      <c r="J27" s="13">
        <f t="shared" si="5"/>
        <v>900</v>
      </c>
      <c r="K27" s="13">
        <f t="shared" si="5"/>
        <v>150</v>
      </c>
      <c r="L27" s="8"/>
      <c r="M27" s="10"/>
      <c r="P27" s="11"/>
    </row>
    <row r="28" ht="14.25" customHeight="1">
      <c r="A28" s="2"/>
      <c r="C28" s="7"/>
      <c r="D28" s="8"/>
      <c r="E28" s="8"/>
      <c r="F28" s="8"/>
      <c r="G28" s="8"/>
      <c r="H28" s="8"/>
      <c r="I28" s="8"/>
      <c r="J28" s="8"/>
      <c r="K28" s="8"/>
      <c r="L28" s="8"/>
      <c r="M28" s="10"/>
      <c r="P28" s="11"/>
    </row>
    <row r="29" ht="14.25" customHeight="1">
      <c r="A29" s="2"/>
      <c r="C29" s="7" t="s">
        <v>52</v>
      </c>
      <c r="D29" s="8" t="s">
        <v>53</v>
      </c>
      <c r="E29" s="8" t="s">
        <v>26</v>
      </c>
      <c r="F29" s="16" t="s">
        <v>54</v>
      </c>
      <c r="G29" s="10"/>
      <c r="H29" s="10"/>
      <c r="I29" s="10"/>
      <c r="J29" s="10"/>
      <c r="K29" s="10"/>
      <c r="L29" s="25" t="s">
        <v>49</v>
      </c>
      <c r="M29" s="10"/>
      <c r="P29" s="11"/>
    </row>
    <row r="30" ht="14.25" customHeight="1">
      <c r="A30" s="2"/>
      <c r="D30" s="8" t="s">
        <v>28</v>
      </c>
      <c r="E30" s="8" t="s">
        <v>18</v>
      </c>
      <c r="F30" s="16">
        <v>700.0</v>
      </c>
      <c r="G30" s="10"/>
      <c r="H30" s="10"/>
      <c r="I30" s="10"/>
      <c r="J30" s="10"/>
      <c r="K30" s="10"/>
      <c r="L30" s="8"/>
      <c r="M30" s="10"/>
      <c r="P30" s="11"/>
    </row>
    <row r="31" ht="14.25" customHeight="1">
      <c r="A31" s="2"/>
      <c r="D31" s="8" t="s">
        <v>29</v>
      </c>
      <c r="E31" s="8" t="s">
        <v>20</v>
      </c>
      <c r="F31" s="16">
        <v>1.0</v>
      </c>
      <c r="G31" s="10"/>
      <c r="H31" s="10"/>
      <c r="I31" s="10"/>
      <c r="J31" s="10"/>
      <c r="K31" s="10"/>
      <c r="L31" s="8"/>
      <c r="M31" s="10"/>
      <c r="P31" s="11"/>
    </row>
    <row r="32" ht="14.25" customHeight="1">
      <c r="A32" s="2"/>
      <c r="D32" s="8" t="s">
        <v>50</v>
      </c>
      <c r="E32" s="8" t="s">
        <v>20</v>
      </c>
      <c r="F32" s="8"/>
      <c r="G32" s="18">
        <f t="shared" ref="G32:K32" si="6">G25</f>
        <v>324</v>
      </c>
      <c r="H32" s="18">
        <f t="shared" si="6"/>
        <v>265.0068384</v>
      </c>
      <c r="I32" s="18">
        <f t="shared" si="6"/>
        <v>95.97411949</v>
      </c>
      <c r="J32" s="18">
        <f t="shared" si="6"/>
        <v>70</v>
      </c>
      <c r="K32" s="18">
        <f t="shared" si="6"/>
        <v>280</v>
      </c>
      <c r="L32" s="8"/>
      <c r="M32" s="10"/>
      <c r="P32" s="11"/>
    </row>
    <row r="33" ht="14.25" customHeight="1">
      <c r="A33" s="2"/>
      <c r="D33" s="8" t="s">
        <v>39</v>
      </c>
      <c r="E33" s="8" t="s">
        <v>40</v>
      </c>
      <c r="F33" s="8"/>
      <c r="G33" s="16">
        <v>30.0</v>
      </c>
      <c r="H33" s="16">
        <v>30.0</v>
      </c>
      <c r="I33" s="16">
        <v>30.0</v>
      </c>
      <c r="J33" s="16">
        <v>30.0</v>
      </c>
      <c r="K33" s="16">
        <v>30.0</v>
      </c>
      <c r="L33" s="8"/>
      <c r="M33" s="10"/>
      <c r="P33" s="11"/>
    </row>
    <row r="34" ht="14.25" customHeight="1">
      <c r="A34" s="2"/>
      <c r="D34" s="8" t="s">
        <v>42</v>
      </c>
      <c r="E34" s="8" t="s">
        <v>40</v>
      </c>
      <c r="F34" s="8"/>
      <c r="G34" s="13">
        <f t="shared" ref="G34:K34" si="7">IF(ROUNDUP(G6/G32,0)&gt;1,ROUNDUP(G6/G32,0)*G33/$F$31,G33)</f>
        <v>30</v>
      </c>
      <c r="H34" s="13">
        <f t="shared" si="7"/>
        <v>720</v>
      </c>
      <c r="I34" s="13">
        <f t="shared" si="7"/>
        <v>120</v>
      </c>
      <c r="J34" s="13">
        <f t="shared" si="7"/>
        <v>540</v>
      </c>
      <c r="K34" s="13">
        <f t="shared" si="7"/>
        <v>90</v>
      </c>
      <c r="L34" s="8"/>
      <c r="M34" s="10"/>
      <c r="P34" s="11"/>
    </row>
    <row r="35" ht="14.25" customHeight="1">
      <c r="A35" s="2"/>
      <c r="C35" s="7"/>
      <c r="D35" s="8"/>
      <c r="E35" s="8"/>
      <c r="F35" s="8"/>
      <c r="G35" s="8"/>
      <c r="H35" s="8"/>
      <c r="I35" s="8"/>
      <c r="J35" s="8"/>
      <c r="K35" s="8"/>
      <c r="L35" s="8"/>
      <c r="M35" s="10"/>
      <c r="P35" s="11"/>
    </row>
    <row r="36" ht="14.25" customHeight="1">
      <c r="A36" s="2"/>
      <c r="C36" s="7" t="s">
        <v>55</v>
      </c>
      <c r="D36" s="8" t="s">
        <v>56</v>
      </c>
      <c r="E36" s="8" t="s">
        <v>26</v>
      </c>
      <c r="F36" s="26" t="s">
        <v>57</v>
      </c>
      <c r="G36" s="8"/>
      <c r="H36" s="8"/>
      <c r="I36" s="8"/>
      <c r="J36" s="8"/>
      <c r="K36" s="8"/>
      <c r="L36" s="8" t="s">
        <v>58</v>
      </c>
      <c r="M36" s="10"/>
      <c r="P36" s="11"/>
    </row>
    <row r="37" ht="14.25" customHeight="1">
      <c r="A37" s="2"/>
      <c r="D37" s="8" t="s">
        <v>28</v>
      </c>
      <c r="E37" s="8" t="s">
        <v>18</v>
      </c>
      <c r="F37" s="26">
        <v>0.0</v>
      </c>
      <c r="G37" s="8"/>
      <c r="H37" s="8"/>
      <c r="I37" s="8"/>
      <c r="J37" s="8"/>
      <c r="K37" s="8"/>
      <c r="L37" s="8"/>
      <c r="M37" s="10"/>
      <c r="P37" s="11"/>
    </row>
    <row r="38" ht="14.25" customHeight="1">
      <c r="A38" s="2"/>
      <c r="D38" s="8" t="s">
        <v>29</v>
      </c>
      <c r="E38" s="8" t="s">
        <v>20</v>
      </c>
      <c r="F38" s="26">
        <v>1.0</v>
      </c>
      <c r="G38" s="8"/>
      <c r="H38" s="8"/>
      <c r="I38" s="8"/>
      <c r="J38" s="8"/>
      <c r="K38" s="8"/>
      <c r="L38" s="8"/>
      <c r="M38" s="10"/>
      <c r="P38" s="11"/>
    </row>
    <row r="39" ht="14.25" customHeight="1">
      <c r="A39" s="2"/>
      <c r="D39" s="8" t="s">
        <v>50</v>
      </c>
      <c r="E39" s="8" t="s">
        <v>20</v>
      </c>
      <c r="F39" s="8"/>
      <c r="G39" s="18">
        <f t="shared" ref="G39:K39" si="8">G32</f>
        <v>324</v>
      </c>
      <c r="H39" s="18">
        <f t="shared" si="8"/>
        <v>265.0068384</v>
      </c>
      <c r="I39" s="18">
        <f t="shared" si="8"/>
        <v>95.97411949</v>
      </c>
      <c r="J39" s="18">
        <f t="shared" si="8"/>
        <v>70</v>
      </c>
      <c r="K39" s="18">
        <f t="shared" si="8"/>
        <v>280</v>
      </c>
      <c r="L39" s="8"/>
      <c r="M39" s="10"/>
      <c r="P39" s="11"/>
    </row>
    <row r="40" ht="14.25" customHeight="1">
      <c r="A40" s="2"/>
      <c r="D40" s="8" t="s">
        <v>39</v>
      </c>
      <c r="E40" s="8" t="s">
        <v>40</v>
      </c>
      <c r="F40" s="8"/>
      <c r="G40" s="16">
        <v>34.0</v>
      </c>
      <c r="H40" s="16">
        <v>34.0</v>
      </c>
      <c r="I40" s="16">
        <v>34.0</v>
      </c>
      <c r="J40" s="16">
        <v>34.0</v>
      </c>
      <c r="K40" s="16">
        <v>34.0</v>
      </c>
      <c r="L40" s="8"/>
      <c r="M40" s="10"/>
      <c r="P40" s="11"/>
    </row>
    <row r="41" ht="14.25" customHeight="1">
      <c r="A41" s="2"/>
      <c r="D41" s="8" t="s">
        <v>42</v>
      </c>
      <c r="E41" s="8" t="s">
        <v>40</v>
      </c>
      <c r="F41" s="8"/>
      <c r="G41" s="13">
        <f t="shared" ref="G41:K41" si="9">IF(ROUNDUP(G6/G39,0)&gt;1,ROUNDUP(G6/G39,0)*G40/$F$38,G40)</f>
        <v>34</v>
      </c>
      <c r="H41" s="13">
        <f t="shared" si="9"/>
        <v>816</v>
      </c>
      <c r="I41" s="13">
        <f t="shared" si="9"/>
        <v>136</v>
      </c>
      <c r="J41" s="13">
        <f t="shared" si="9"/>
        <v>612</v>
      </c>
      <c r="K41" s="13">
        <f t="shared" si="9"/>
        <v>102</v>
      </c>
      <c r="L41" s="8"/>
      <c r="M41" s="10"/>
      <c r="P41" s="11"/>
    </row>
    <row r="42" ht="14.25" customHeight="1">
      <c r="A42" s="2"/>
      <c r="C42" s="7"/>
      <c r="D42" s="8"/>
      <c r="E42" s="8"/>
      <c r="F42" s="8"/>
      <c r="G42" s="8"/>
      <c r="H42" s="8"/>
      <c r="I42" s="8"/>
      <c r="J42" s="8"/>
      <c r="K42" s="8"/>
      <c r="L42" s="8"/>
      <c r="M42" s="10"/>
      <c r="P42" s="11"/>
    </row>
    <row r="43" ht="14.25" customHeight="1">
      <c r="A43" s="2"/>
      <c r="C43" s="7" t="s">
        <v>59</v>
      </c>
      <c r="D43" s="8" t="s">
        <v>50</v>
      </c>
      <c r="E43" s="8" t="s">
        <v>20</v>
      </c>
      <c r="F43" s="8"/>
      <c r="G43" s="18">
        <f t="shared" ref="G43:K43" si="10">G39</f>
        <v>324</v>
      </c>
      <c r="H43" s="18">
        <f t="shared" si="10"/>
        <v>265.0068384</v>
      </c>
      <c r="I43" s="18">
        <f t="shared" si="10"/>
        <v>95.97411949</v>
      </c>
      <c r="J43" s="18">
        <f t="shared" si="10"/>
        <v>70</v>
      </c>
      <c r="K43" s="18">
        <f t="shared" si="10"/>
        <v>280</v>
      </c>
      <c r="L43" s="8"/>
      <c r="M43" s="10"/>
      <c r="P43" s="11"/>
    </row>
    <row r="44" ht="14.25" customHeight="1">
      <c r="A44" s="2"/>
      <c r="D44" s="8" t="s">
        <v>39</v>
      </c>
      <c r="E44" s="8" t="s">
        <v>40</v>
      </c>
      <c r="F44" s="8"/>
      <c r="G44" s="16">
        <v>5.0</v>
      </c>
      <c r="H44" s="16">
        <v>5.0</v>
      </c>
      <c r="I44" s="16">
        <v>5.0</v>
      </c>
      <c r="J44" s="16">
        <v>5.0</v>
      </c>
      <c r="K44" s="16">
        <v>5.0</v>
      </c>
      <c r="L44" s="8"/>
      <c r="M44" s="10"/>
      <c r="P44" s="11"/>
    </row>
    <row r="45" ht="14.25" customHeight="1">
      <c r="A45" s="2"/>
      <c r="D45" s="8" t="s">
        <v>42</v>
      </c>
      <c r="E45" s="8"/>
      <c r="F45" s="8"/>
      <c r="G45" s="13">
        <f t="shared" ref="G45:K45" si="11">ROUNDUP(G6/G43,0)*G44</f>
        <v>5</v>
      </c>
      <c r="H45" s="13">
        <f t="shared" si="11"/>
        <v>120</v>
      </c>
      <c r="I45" s="13">
        <f t="shared" si="11"/>
        <v>20</v>
      </c>
      <c r="J45" s="13">
        <f t="shared" si="11"/>
        <v>90</v>
      </c>
      <c r="K45" s="13">
        <f t="shared" si="11"/>
        <v>15</v>
      </c>
      <c r="L45" s="8"/>
      <c r="M45" s="10"/>
      <c r="P45" s="11"/>
    </row>
    <row r="46" ht="14.25" customHeight="1">
      <c r="A46" s="2"/>
      <c r="C46" s="7"/>
      <c r="D46" s="8"/>
      <c r="E46" s="8"/>
      <c r="F46" s="8"/>
      <c r="G46" s="8"/>
      <c r="H46" s="8"/>
      <c r="I46" s="8"/>
      <c r="J46" s="8"/>
      <c r="K46" s="8"/>
      <c r="L46" s="8"/>
      <c r="M46" s="10"/>
      <c r="P46" s="11"/>
    </row>
    <row r="47" ht="14.25" customHeight="1">
      <c r="A47" s="2"/>
      <c r="C47" s="7" t="s">
        <v>60</v>
      </c>
      <c r="D47" s="8" t="s">
        <v>61</v>
      </c>
      <c r="E47" s="8" t="s">
        <v>18</v>
      </c>
      <c r="F47" s="27">
        <f>F10*F11+F23*F24+F30*F31+F37*F38</f>
        <v>10598</v>
      </c>
      <c r="G47" s="8"/>
      <c r="H47" s="8"/>
      <c r="I47" s="8"/>
      <c r="J47" s="8"/>
      <c r="K47" s="8"/>
      <c r="L47" s="8"/>
      <c r="M47" s="10"/>
      <c r="P47" s="11"/>
    </row>
    <row r="48" ht="14.25" customHeight="1">
      <c r="A48" s="2"/>
      <c r="B48" s="10"/>
      <c r="C48" s="10"/>
      <c r="D48" s="8"/>
      <c r="E48" s="8"/>
      <c r="F48" s="8"/>
      <c r="G48" s="8"/>
      <c r="H48" s="8"/>
      <c r="I48" s="8"/>
      <c r="J48" s="8"/>
      <c r="K48" s="8"/>
      <c r="L48" s="8"/>
      <c r="M48" s="10"/>
      <c r="P48" s="11"/>
    </row>
    <row r="49" ht="14.25" customHeight="1">
      <c r="A49" s="2"/>
      <c r="B49" s="7" t="s">
        <v>62</v>
      </c>
      <c r="D49" s="8" t="s">
        <v>63</v>
      </c>
      <c r="E49" s="8" t="s">
        <v>40</v>
      </c>
      <c r="F49" s="27">
        <f>G45+H45+I45+J45+K45</f>
        <v>250</v>
      </c>
      <c r="G49" s="8"/>
      <c r="H49" s="8"/>
      <c r="I49" s="8"/>
      <c r="J49" s="8"/>
      <c r="K49" s="8"/>
      <c r="L49" s="8" t="s">
        <v>64</v>
      </c>
      <c r="M49" s="16">
        <v>1.0</v>
      </c>
      <c r="P49" s="11"/>
    </row>
    <row r="50" ht="14.25" customHeight="1">
      <c r="A50" s="2"/>
      <c r="D50" s="2" t="s">
        <v>65</v>
      </c>
      <c r="E50" s="2" t="s">
        <v>66</v>
      </c>
      <c r="F50" s="2"/>
      <c r="G50" s="28">
        <f t="shared" ref="G50:I50" si="12">(G15*$M$52/1000000)*$M$50</f>
        <v>0.1500201582</v>
      </c>
      <c r="H50" s="28">
        <f t="shared" si="12"/>
        <v>0.09992679265</v>
      </c>
      <c r="I50" s="28">
        <f t="shared" si="12"/>
        <v>0.4960356184</v>
      </c>
      <c r="J50" s="28">
        <f t="shared" ref="J50:K50" si="13">(J15/1000000)*$M$50</f>
        <v>0.4680857143</v>
      </c>
      <c r="K50" s="28">
        <f t="shared" si="13"/>
        <v>0.06636428571</v>
      </c>
      <c r="L50" s="8" t="s">
        <v>67</v>
      </c>
      <c r="M50" s="16">
        <v>200.0</v>
      </c>
      <c r="P50" s="29"/>
    </row>
    <row r="51" ht="14.25" customHeight="1">
      <c r="A51" s="2"/>
      <c r="D51" s="2" t="s">
        <v>68</v>
      </c>
      <c r="E51" s="2" t="s">
        <v>66</v>
      </c>
      <c r="F51" s="2"/>
      <c r="G51" s="28">
        <f t="shared" ref="G51:K51" si="14">G50*(1+$M$51)</f>
        <v>0.2400322531</v>
      </c>
      <c r="H51" s="28">
        <f t="shared" si="14"/>
        <v>0.1598828682</v>
      </c>
      <c r="I51" s="28">
        <f t="shared" si="14"/>
        <v>0.7936569894</v>
      </c>
      <c r="J51" s="28">
        <f t="shared" si="14"/>
        <v>0.7489371429</v>
      </c>
      <c r="K51" s="28">
        <f t="shared" si="14"/>
        <v>0.1061828571</v>
      </c>
      <c r="L51" s="2" t="s">
        <v>69</v>
      </c>
      <c r="M51" s="16">
        <f>0.6</f>
        <v>0.6</v>
      </c>
    </row>
    <row r="52" ht="14.25" customHeight="1">
      <c r="A52" s="2"/>
      <c r="D52" s="8" t="s">
        <v>70</v>
      </c>
      <c r="E52" s="8"/>
      <c r="F52" s="8"/>
      <c r="G52" s="20">
        <f t="shared" ref="G52:K52" si="15">G5-G51</f>
        <v>4.259967747</v>
      </c>
      <c r="H52" s="20">
        <f t="shared" si="15"/>
        <v>-0.05988286825</v>
      </c>
      <c r="I52" s="20">
        <f t="shared" si="15"/>
        <v>0.2063430106</v>
      </c>
      <c r="J52" s="20">
        <f t="shared" si="15"/>
        <v>-0.5489371429</v>
      </c>
      <c r="K52" s="20">
        <f t="shared" si="15"/>
        <v>-0.006182857143</v>
      </c>
      <c r="L52" s="29" t="s">
        <v>71</v>
      </c>
      <c r="M52" s="30">
        <f>750/1746</f>
        <v>0.4295532646</v>
      </c>
    </row>
    <row r="53" ht="14.25" customHeight="1">
      <c r="A53" s="2"/>
      <c r="D53" s="8"/>
      <c r="E53" s="8"/>
      <c r="F53" s="8"/>
      <c r="G53" s="8"/>
      <c r="H53" s="8"/>
      <c r="I53" s="8"/>
      <c r="J53" s="8"/>
      <c r="K53" s="8"/>
      <c r="L53" s="29"/>
      <c r="M53" s="1"/>
    </row>
    <row r="54" ht="14.25" customHeight="1">
      <c r="A54" s="2"/>
      <c r="D54" s="8" t="s">
        <v>72</v>
      </c>
      <c r="E54" s="8" t="s">
        <v>18</v>
      </c>
      <c r="F54" s="27">
        <f>M49*F49/60+SUMPRODUCT(G6:K6,G51:K51)</f>
        <v>2283.969795</v>
      </c>
      <c r="G54" s="8"/>
      <c r="H54" s="8"/>
      <c r="I54" s="8"/>
      <c r="J54" s="8"/>
      <c r="K54" s="8"/>
      <c r="L54" s="2"/>
      <c r="M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4.25" customHeight="1">
      <c r="A56" s="2"/>
      <c r="B56" s="2"/>
      <c r="C56" s="2"/>
      <c r="D56" s="2"/>
      <c r="E56" s="2"/>
      <c r="F56" s="2"/>
      <c r="G56" s="2"/>
      <c r="H56" s="31"/>
      <c r="I56" s="2"/>
      <c r="J56" s="2"/>
      <c r="K56" s="2"/>
      <c r="L56" s="2"/>
      <c r="M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</row>
  </sheetData>
  <mergeCells count="9">
    <mergeCell ref="C43:C45"/>
    <mergeCell ref="B49:C54"/>
    <mergeCell ref="B2:C2"/>
    <mergeCell ref="B5:C7"/>
    <mergeCell ref="B9:B47"/>
    <mergeCell ref="C9:C18"/>
    <mergeCell ref="C22:C27"/>
    <mergeCell ref="C29:C34"/>
    <mergeCell ref="C36:C41"/>
  </mergeCells>
  <conditionalFormatting sqref="G18:K18 F19:F20">
    <cfRule type="cellIs" dxfId="0" priority="1" operator="greaterThanOrEqual">
      <formula>1</formula>
    </cfRule>
  </conditionalFormatting>
  <conditionalFormatting sqref="G18:K18 F19:F20">
    <cfRule type="cellIs" dxfId="1" priority="2" operator="lessThan">
      <formula>1</formula>
    </cfRule>
  </conditionalFormatting>
  <conditionalFormatting sqref="G52:K52">
    <cfRule type="cellIs" dxfId="0" priority="3" operator="greaterThanOrEqual">
      <formula>1</formula>
    </cfRule>
  </conditionalFormatting>
  <conditionalFormatting sqref="G52:K52">
    <cfRule type="cellIs" dxfId="1" priority="4" operator="lessThan">
      <formula>1</formula>
    </cfRule>
  </conditionalFormatting>
  <dataValidations>
    <dataValidation type="list" allowBlank="1" showErrorMessage="1" sqref="F9">
      <formula1>Printer!$A$2:$A$21</formula1>
    </dataValidation>
  </dataValidations>
  <hyperlinks>
    <hyperlink r:id="rId1" ref="L22"/>
    <hyperlink r:id="rId2" ref="L29"/>
  </hyperlinks>
  <printOptions/>
  <pageMargins bottom="0.787401575" footer="0.0" header="0.0" left="0.7" right="0.7" top="0.787401575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0"/>
    <col customWidth="1" min="2" max="2" width="13.63"/>
    <col customWidth="1" min="3" max="3" width="31.38"/>
    <col customWidth="1" min="4" max="4" width="17.38"/>
    <col customWidth="1" min="5" max="6" width="8.63"/>
    <col customWidth="1" min="7" max="7" width="22.13"/>
    <col customWidth="1" min="8" max="8" width="13.63"/>
    <col customWidth="1" min="9" max="26" width="8.63"/>
  </cols>
  <sheetData>
    <row r="1" ht="14.25" customHeight="1">
      <c r="A1" s="29" t="s">
        <v>73</v>
      </c>
      <c r="B1" s="29" t="s">
        <v>74</v>
      </c>
      <c r="C1" s="29" t="s">
        <v>75</v>
      </c>
      <c r="D1" s="29" t="s">
        <v>76</v>
      </c>
      <c r="E1" s="29" t="s">
        <v>77</v>
      </c>
      <c r="F1" s="29"/>
      <c r="G1" s="29" t="s">
        <v>78</v>
      </c>
      <c r="H1" s="29" t="s">
        <v>79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4.25" customHeight="1">
      <c r="A2" s="29" t="s">
        <v>27</v>
      </c>
      <c r="B2" s="32">
        <v>4699.0</v>
      </c>
      <c r="C2" s="29">
        <f>145 * 145</f>
        <v>21025</v>
      </c>
      <c r="D2" s="29"/>
      <c r="E2" s="32">
        <f t="shared" ref="E2:E21" si="1">C2/B2</f>
        <v>4.474356246</v>
      </c>
      <c r="F2" s="29"/>
      <c r="G2" s="29" t="s">
        <v>80</v>
      </c>
      <c r="H2" s="33">
        <v>4699.0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4.25" customHeight="1">
      <c r="A3" s="29" t="s">
        <v>81</v>
      </c>
      <c r="B3" s="32">
        <v>12999.0</v>
      </c>
      <c r="C3" s="29">
        <f>335 * 200</f>
        <v>67000</v>
      </c>
      <c r="D3" s="29"/>
      <c r="E3" s="32">
        <f t="shared" si="1"/>
        <v>5.154242634</v>
      </c>
      <c r="F3" s="29"/>
      <c r="G3" s="29" t="s">
        <v>82</v>
      </c>
      <c r="H3" s="33">
        <v>12999.0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4.25" customHeight="1">
      <c r="A4" s="29" t="s">
        <v>83</v>
      </c>
      <c r="B4" s="32">
        <v>150.0</v>
      </c>
      <c r="C4" s="29">
        <f t="shared" ref="C4:C5" si="2">115 * 65</f>
        <v>7475</v>
      </c>
      <c r="D4" s="29" t="s">
        <v>84</v>
      </c>
      <c r="E4" s="32">
        <f t="shared" si="1"/>
        <v>49.83333333</v>
      </c>
      <c r="F4" s="29"/>
      <c r="G4" s="29" t="s">
        <v>85</v>
      </c>
      <c r="H4" s="29">
        <v>150.0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4.25" customHeight="1">
      <c r="A5" s="29" t="s">
        <v>86</v>
      </c>
      <c r="B5" s="32">
        <v>230.0</v>
      </c>
      <c r="C5" s="29">
        <f t="shared" si="2"/>
        <v>7475</v>
      </c>
      <c r="D5" s="29" t="s">
        <v>84</v>
      </c>
      <c r="E5" s="32">
        <f t="shared" si="1"/>
        <v>32.5</v>
      </c>
      <c r="F5" s="29"/>
      <c r="G5" s="29" t="s">
        <v>87</v>
      </c>
      <c r="H5" s="29">
        <v>230.0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4.25" customHeight="1">
      <c r="A6" s="29" t="s">
        <v>88</v>
      </c>
      <c r="B6" s="32">
        <v>615.0</v>
      </c>
      <c r="C6" s="29">
        <f>192*120</f>
        <v>23040</v>
      </c>
      <c r="D6" s="29" t="s">
        <v>89</v>
      </c>
      <c r="E6" s="32">
        <f t="shared" si="1"/>
        <v>37.46341463</v>
      </c>
      <c r="F6" s="29"/>
      <c r="G6" s="29" t="s">
        <v>90</v>
      </c>
      <c r="H6" s="29">
        <v>615.0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4.25" customHeight="1">
      <c r="A7" s="29" t="s">
        <v>91</v>
      </c>
      <c r="B7" s="32">
        <v>290.0</v>
      </c>
      <c r="C7" s="29">
        <f> 130 * 78</f>
        <v>10140</v>
      </c>
      <c r="D7" s="29" t="s">
        <v>89</v>
      </c>
      <c r="E7" s="32">
        <f t="shared" si="1"/>
        <v>34.96551724</v>
      </c>
      <c r="F7" s="29"/>
      <c r="G7" s="29" t="s">
        <v>92</v>
      </c>
      <c r="H7" s="29">
        <v>290.0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4.25" customHeight="1">
      <c r="A8" s="29" t="s">
        <v>93</v>
      </c>
      <c r="B8" s="32">
        <v>279.992</v>
      </c>
      <c r="C8" s="29">
        <f>5.2*25.4*2.9*25.4</f>
        <v>9729.0128</v>
      </c>
      <c r="D8" s="29" t="s">
        <v>94</v>
      </c>
      <c r="E8" s="32">
        <f t="shared" si="1"/>
        <v>34.74746707</v>
      </c>
      <c r="F8" s="29"/>
      <c r="G8" s="29" t="s">
        <v>95</v>
      </c>
      <c r="H8" s="32">
        <v>349.99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4.25" customHeight="1">
      <c r="A9" s="29" t="s">
        <v>96</v>
      </c>
      <c r="B9" s="32">
        <v>399.992</v>
      </c>
      <c r="C9" s="29">
        <f>200*125</f>
        <v>25000</v>
      </c>
      <c r="D9" s="29" t="s">
        <v>94</v>
      </c>
      <c r="E9" s="32">
        <f t="shared" si="1"/>
        <v>62.50125003</v>
      </c>
      <c r="F9" s="29"/>
      <c r="G9" s="29" t="s">
        <v>97</v>
      </c>
      <c r="H9" s="32">
        <v>499.99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4.25" customHeight="1">
      <c r="A10" s="29" t="s">
        <v>98</v>
      </c>
      <c r="B10" s="32">
        <v>1119.2</v>
      </c>
      <c r="C10" s="29">
        <f>5.2*25.4*2.9*25.4</f>
        <v>9729.0128</v>
      </c>
      <c r="D10" s="29" t="s">
        <v>99</v>
      </c>
      <c r="E10" s="32">
        <f t="shared" si="1"/>
        <v>8.692827734</v>
      </c>
      <c r="F10" s="29"/>
      <c r="G10" s="29" t="s">
        <v>100</v>
      </c>
      <c r="H10" s="32">
        <v>1399.0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4.25" customHeight="1">
      <c r="A11" s="29" t="s">
        <v>101</v>
      </c>
      <c r="B11" s="32">
        <v>207.99200000000002</v>
      </c>
      <c r="C11" s="29">
        <f>4.7*25.4*2.6*25.4</f>
        <v>7883.8552</v>
      </c>
      <c r="D11" s="29" t="s">
        <v>94</v>
      </c>
      <c r="E11" s="32">
        <f t="shared" si="1"/>
        <v>37.90460787</v>
      </c>
      <c r="F11" s="29"/>
      <c r="G11" s="29" t="s">
        <v>102</v>
      </c>
      <c r="H11" s="32">
        <v>259.99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4.25" customHeight="1">
      <c r="A12" s="29" t="s">
        <v>103</v>
      </c>
      <c r="B12" s="32">
        <v>2159.9919999999997</v>
      </c>
      <c r="C12" s="29">
        <f>11.5*24.5*6.5*24.5</f>
        <v>44868.6875</v>
      </c>
      <c r="D12" s="29" t="s">
        <v>104</v>
      </c>
      <c r="E12" s="32">
        <f t="shared" si="1"/>
        <v>20.77261744</v>
      </c>
      <c r="F12" s="29"/>
      <c r="G12" s="29" t="s">
        <v>105</v>
      </c>
      <c r="H12" s="32">
        <v>2699.99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4.25" customHeight="1">
      <c r="A13" s="29" t="s">
        <v>106</v>
      </c>
      <c r="B13" s="32">
        <v>479.992</v>
      </c>
      <c r="C13" s="29">
        <f>7.4*24.5*4.7*24.5</f>
        <v>20876.695</v>
      </c>
      <c r="D13" s="29" t="s">
        <v>107</v>
      </c>
      <c r="E13" s="32">
        <f t="shared" si="1"/>
        <v>43.49383948</v>
      </c>
      <c r="F13" s="29"/>
      <c r="G13" s="29" t="s">
        <v>108</v>
      </c>
      <c r="H13" s="32">
        <v>599.99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4.25" customHeight="1">
      <c r="A14" s="29" t="s">
        <v>109</v>
      </c>
      <c r="B14" s="32">
        <v>959.9920000000001</v>
      </c>
      <c r="C14" s="29">
        <f>120*68</f>
        <v>8160</v>
      </c>
      <c r="D14" s="29" t="s">
        <v>110</v>
      </c>
      <c r="E14" s="32">
        <f t="shared" si="1"/>
        <v>8.500070834</v>
      </c>
      <c r="F14" s="29"/>
      <c r="G14" s="29" t="s">
        <v>111</v>
      </c>
      <c r="H14" s="32">
        <v>1199.99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4.25" customHeight="1">
      <c r="A15" s="29" t="s">
        <v>112</v>
      </c>
      <c r="B15" s="32">
        <v>1839.992</v>
      </c>
      <c r="C15" s="29">
        <f>7.5*24.5*4.7*24.5</f>
        <v>21158.8125</v>
      </c>
      <c r="D15" s="29" t="s">
        <v>113</v>
      </c>
      <c r="E15" s="32">
        <f t="shared" si="1"/>
        <v>11.49940462</v>
      </c>
      <c r="F15" s="29"/>
      <c r="G15" s="29" t="s">
        <v>114</v>
      </c>
      <c r="H15" s="32">
        <v>2299.99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4.25" customHeight="1">
      <c r="A16" s="29" t="s">
        <v>115</v>
      </c>
      <c r="B16" s="32">
        <v>199.20000000000002</v>
      </c>
      <c r="C16" s="29">
        <f>5.12*24.5*3.23*24.5</f>
        <v>9926.6944</v>
      </c>
      <c r="D16" s="29"/>
      <c r="E16" s="32">
        <f t="shared" si="1"/>
        <v>49.83280321</v>
      </c>
      <c r="F16" s="29"/>
      <c r="G16" s="29" t="s">
        <v>116</v>
      </c>
      <c r="H16" s="32">
        <v>249.0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4.25" customHeight="1">
      <c r="A17" s="29" t="s">
        <v>117</v>
      </c>
      <c r="B17" s="32">
        <v>450.0</v>
      </c>
      <c r="C17" s="29">
        <f>192*120</f>
        <v>23040</v>
      </c>
      <c r="D17" s="29" t="s">
        <v>118</v>
      </c>
      <c r="E17" s="32">
        <f t="shared" si="1"/>
        <v>51.2</v>
      </c>
      <c r="F17" s="29"/>
      <c r="G17" s="29" t="s">
        <v>119</v>
      </c>
      <c r="H17" s="29">
        <v>450.0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4.25" customHeight="1">
      <c r="A18" s="29" t="s">
        <v>120</v>
      </c>
      <c r="B18" s="32">
        <v>240.0</v>
      </c>
      <c r="C18" s="29">
        <f>129*80</f>
        <v>10320</v>
      </c>
      <c r="D18" s="29"/>
      <c r="E18" s="32">
        <f t="shared" si="1"/>
        <v>43</v>
      </c>
      <c r="F18" s="29"/>
      <c r="G18" s="29" t="s">
        <v>121</v>
      </c>
      <c r="H18" s="29">
        <v>300.0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4.25" customHeight="1">
      <c r="A19" s="29" t="s">
        <v>122</v>
      </c>
      <c r="B19" s="32">
        <v>1599.2</v>
      </c>
      <c r="C19" s="29">
        <f>276 * 155</f>
        <v>42780</v>
      </c>
      <c r="D19" s="29" t="s">
        <v>123</v>
      </c>
      <c r="E19" s="32">
        <f t="shared" si="1"/>
        <v>26.75087544</v>
      </c>
      <c r="F19" s="29"/>
      <c r="G19" s="29" t="s">
        <v>124</v>
      </c>
      <c r="H19" s="29">
        <v>1999.0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4.25" customHeight="1">
      <c r="A20" s="29" t="s">
        <v>125</v>
      </c>
      <c r="B20" s="32">
        <v>2239.2</v>
      </c>
      <c r="C20" s="29">
        <f>345 * 195</f>
        <v>67275</v>
      </c>
      <c r="D20" s="29" t="s">
        <v>126</v>
      </c>
      <c r="E20" s="32">
        <f t="shared" si="1"/>
        <v>30.04421222</v>
      </c>
      <c r="F20" s="29"/>
      <c r="G20" s="29" t="s">
        <v>127</v>
      </c>
      <c r="H20" s="29">
        <v>279900.0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4.25" customHeight="1">
      <c r="A21" s="29" t="s">
        <v>128</v>
      </c>
      <c r="B21" s="32">
        <v>2639.2000000000003</v>
      </c>
      <c r="C21" s="29">
        <f>292 * 165</f>
        <v>48180</v>
      </c>
      <c r="D21" s="29" t="s">
        <v>129</v>
      </c>
      <c r="E21" s="32">
        <f t="shared" si="1"/>
        <v>18.25553198</v>
      </c>
      <c r="F21" s="29"/>
      <c r="G21" s="29" t="s">
        <v>130</v>
      </c>
      <c r="H21" s="29">
        <v>3299.0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4.2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4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4.2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4.2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4.2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4.2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4.2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4.2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4.2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4.2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4.2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4.2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4.2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4.2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4.2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4.2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4.2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4.2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4.2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4.2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4.2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4.2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4.2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4.2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4.2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4.2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4.2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4.2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4.2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4.2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4.2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4.2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4.2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4.2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4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4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4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4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4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4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4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4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4.2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4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4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4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4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4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4.2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4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4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4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4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4.2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4.2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4.2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4.2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4.2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4.2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4.2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4.2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4.2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4.2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4.2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4.2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4.2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4.2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4.2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4.2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4.2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4.2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4.2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4.2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4.2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4.2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4.2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4.2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4.2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4.2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4.2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4.2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4.2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4.2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4.2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4.2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4.2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4.2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4.2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4.2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4.2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4.2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4.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4.2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4.2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4.2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4.2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4.2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4.2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4.2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4.2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4.2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4.2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4.2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4.2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4.2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4.2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4.2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4.2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4.2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4.2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4.2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4.2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4.2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4.2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4.2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4.2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4.2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4.2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4.2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4.2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4.2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4.2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4.2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4.2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4.2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4.2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4.2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4.2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4.2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4.2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4.2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4.2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4.2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4.2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4.2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4.2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4.2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4.2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4.2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4.2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4.2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4.2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4.2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4.2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4.2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4.2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4.2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4.2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4.2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4.2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4.2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4.2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4.2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4.2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4.2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4.2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4.2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4.2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4.2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4.2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4.2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4.2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4.2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4.2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4.2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4.2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4.2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4.2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4.2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4.2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4.2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4.2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4.2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4.2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4.2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4.2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4.2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4.2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4.2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4.2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4.2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4.2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4.2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4.2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4.2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4.2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4.2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4.2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4.2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4.2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4.2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4.2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4.2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4.2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4.2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4.2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4.2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4.2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4.2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4.2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4.2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4.2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4.2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4.2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4.2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4.2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4.2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4.2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4.2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4.2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4.2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4.2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4.2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4.2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4.2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4.2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4.2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4.2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4.2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4.2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4.2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4.2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4.2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4.2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4.2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4.2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4.2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4.2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4.2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4.2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4.2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4.2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4.2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4.2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4.2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4.2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4.2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4.2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4.2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4.2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4.2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4.2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4.2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4.2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4.2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4.2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4.2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4.2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4.2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4.2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4.2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4.2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4.2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4.2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4.2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4.2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4.2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4.2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4.2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4.2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4.2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4.2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4.2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4.2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4.2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4.2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4.2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4.2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4.2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4.2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4.2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4.2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4.2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4.2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4.2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4.2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4.2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4.2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4.2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4.2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4.2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4.2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4.2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4.2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4.2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4.2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4.2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4.2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4.2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4.2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4.2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4.2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4.2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4.2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4.2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4.2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4.2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4.2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4.2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4.2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4.2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4.2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4.2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4.2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4.2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4.2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4.2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4.2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4.2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4.2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4.2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4.2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4.2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4.2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4.2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4.2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4.2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4.2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4.2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4.2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4.2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4.2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4.2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4.2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4.2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4.2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4.2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4.2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4.2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4.2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4.2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4.2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4.2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4.2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4.2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4.2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4.2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4.2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4.2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4.2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4.2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4.2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4.2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4.2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4.2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4.2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4.2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4.2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4.2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4.2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4.2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4.2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4.2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4.2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4.2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4.2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4.2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4.2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4.2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4.2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4.2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4.2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4.2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4.2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4.2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4.2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4.2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4.2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4.2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4.2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4.2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4.2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4.2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4.2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4.2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4.2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4.2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4.2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4.2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4.2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4.2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4.2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4.2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4.2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4.2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4.2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4.2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4.2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4.2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4.2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4.2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4.2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4.2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4.2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4.2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4.2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4.2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4.2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4.2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4.2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4.2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4.2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4.2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4.2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4.2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4.2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4.2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4.2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4.2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4.2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4.2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4.2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4.2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4.2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4.2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4.2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4.2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4.2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4.2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4.2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4.2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4.2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4.2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4.2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4.2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4.2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4.2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4.2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4.2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4.2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4.2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4.2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4.2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4.2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4.2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4.2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4.2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4.2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4.2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4.2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4.2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4.2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4.2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4.2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4.2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4.2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4.2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4.2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4.2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4.2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4.2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4.2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4.2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4.2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4.2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4.2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4.2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4.2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4.2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4.2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4.2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4.2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4.2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4.2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4.2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4.2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4.2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4.2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4.2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4.2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4.2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4.2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4.2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4.2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4.2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4.2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4.2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4.2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4.2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4.2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4.2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4.2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4.2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4.2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4.2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4.2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4.2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4.2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4.2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4.2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4.2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4.2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4.2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4.2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4.2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4.2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4.2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4.2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4.2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4.2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4.2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4.2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4.2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4.2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4.2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4.2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4.2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4.2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4.2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4.2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4.2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4.2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4.2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4.2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4.2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4.2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4.2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4.2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4.2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4.2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4.2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4.2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4.2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4.2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4.2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4.2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4.2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4.2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4.2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4.2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4.2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4.2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4.2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4.2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4.2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4.2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4.2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4.2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4.2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4.2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4.2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4.2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4.2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4.2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4.2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4.2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4.2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4.2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4.2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4.2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4.2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4.2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4.2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4.2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4.2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4.2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4.2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4.2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4.2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4.2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4.2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4.2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4.2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4.2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4.2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4.2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4.2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4.2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4.2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4.2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4.2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4.2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4.2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4.2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4.2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4.2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4.2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4.2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4.2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4.2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4.2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4.2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4.2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4.2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4.2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4.2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4.2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4.2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4.2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4.2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4.2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4.2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4.2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4.2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4.2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4.2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4.2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4.2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4.2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4.2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4.2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4.2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4.2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4.2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4.2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4.2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4.2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4.2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4.2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4.2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4.2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4.2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4.2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4.2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4.2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4.2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4.2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4.2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4.2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4.2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4.2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4.2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4.2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4.2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4.2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4.2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4.2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4.2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4.2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4.2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4.2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4.2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4.2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4.2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4.2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4.2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4.2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4.2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4.2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4.2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4.2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4.2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4.2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4.2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4.2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4.2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4.2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4.2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4.2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4.2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4.2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4.2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4.2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4.2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4.2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4.2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4.2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4.2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4.2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4.2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4.2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4.2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4.2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4.2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4.2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4.2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4.2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4.2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4.2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4.2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4.2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4.2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4.2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4.2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4.2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4.2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4.2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4.2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4.2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4.2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4.2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4.2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4.2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4.2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4.2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4.2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4.2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4.2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4.2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4.2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4.2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4.2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4.2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4.2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4.2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4.2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4.2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4.2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4.2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4.2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4.2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4.2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4.2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4.2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4.2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4.2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4.2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4.2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4.2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4.2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4.2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4.2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4.2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4.2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4.2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4.2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4.2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4.2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4.2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4.2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4.2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4.2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4.2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4.2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4.2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4.2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4.2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4.2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4.2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4.2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4.2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4.2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4.2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4.2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4.2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4.2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4.2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4.2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4.2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4.2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4.2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4.2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4.2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4.2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4.2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4.2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4.2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4.2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4.2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4.2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4.2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4.2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4.2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4.2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4.2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4.2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4.2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4.2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4.2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4.2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4.2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4.2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4.2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4.2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4.2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4.2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4.2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4.2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4.2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4.2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4.2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4.2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4.2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4.2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4.2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4.2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4.2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4.2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4.2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4.2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4.2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4.2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4.2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4.2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4.2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4.2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4.2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4.2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4.2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4.2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4.2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4.2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4.2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4.2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4.2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4.2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4.2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4.2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4.2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4.2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4.2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4.2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4.2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4.2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4.2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4.2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4.2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4.2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4.2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4.2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4.2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4.2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4.2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4.2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4.2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4.2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4.2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4.2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4.2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4.2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4.2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4.2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4.2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4.2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4.2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4.2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4.2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4.2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4.2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4.2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4.2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4.2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4.2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4.2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4.2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4.2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4.2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4.2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4.2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4.2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4.2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4.2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4.2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4.2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4.2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4.2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4.2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4.2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4.2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4.2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4.2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4.2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4.2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4.2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4.2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4.2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4.2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4.2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4.2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4.2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4.2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4.2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4.2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4.2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4.2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4.2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4.2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4.2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4.2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4.2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4.2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4.2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4.2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4.2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4.2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4.2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4.2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4.2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4.2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4.2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4.2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4.2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4.2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4.2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4.2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4.2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4.2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4.2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4.2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4.2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4.2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4.2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4.2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4.2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4.2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4.2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4.2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4.2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4.2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4.2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4.2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4.2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4.2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4.2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4.2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4.2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4.2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4.2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4.2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4.2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4.2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4.2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4.2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4.2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4.2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4.2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4.2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4.2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4.2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4.2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4.2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4.2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4.2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4.2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4.2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4.2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4.2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4.2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4.2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4.2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4.2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4.2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2020-11-30T14:46:23Z</dcterms:created>
  <dc:creator>Michael Hauer</dc:creator>
</cp:coreProperties>
</file>