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ogz\OneDrive\Desktop\MANOS CAFE\"/>
    </mc:Choice>
  </mc:AlternateContent>
  <xr:revisionPtr revIDLastSave="0" documentId="8_{659AB21D-3D1A-416B-8AE6-4A82343F91BE}" xr6:coauthVersionLast="47" xr6:coauthVersionMax="47" xr10:uidLastSave="{00000000-0000-0000-0000-000000000000}"/>
  <bookViews>
    <workbookView xWindow="-108" yWindow="-108" windowWidth="23256" windowHeight="12456" activeTab="1" xr2:uid="{E47D8BB4-53AB-4F8E-A7BA-EC878BDBCEB1}"/>
  </bookViews>
  <sheets>
    <sheet name="VAT &amp; EXPENCES" sheetId="1" r:id="rId1"/>
    <sheet name="SALES REPOR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6" i="2" l="1"/>
  <c r="K66" i="2"/>
  <c r="J66" i="2"/>
  <c r="I66" i="2"/>
  <c r="H66" i="2"/>
  <c r="G66" i="2"/>
  <c r="F66" i="2"/>
  <c r="E64" i="2"/>
  <c r="L64" i="2" s="1"/>
  <c r="M64" i="2" s="1"/>
  <c r="L62" i="2"/>
  <c r="M62" i="2" s="1"/>
  <c r="E60" i="2"/>
  <c r="L60" i="2" s="1"/>
  <c r="M60" i="2" s="1"/>
  <c r="L58" i="2"/>
  <c r="M58" i="2" s="1"/>
  <c r="L56" i="2"/>
  <c r="M56" i="2" s="1"/>
  <c r="L54" i="2"/>
  <c r="M54" i="2" s="1"/>
  <c r="E54" i="2"/>
  <c r="C52" i="2"/>
  <c r="L52" i="2" s="1"/>
  <c r="M52" i="2" s="1"/>
  <c r="L50" i="2"/>
  <c r="M50" i="2" s="1"/>
  <c r="L48" i="2"/>
  <c r="M48" i="2" s="1"/>
  <c r="L46" i="2"/>
  <c r="M46" i="2" s="1"/>
  <c r="L44" i="2"/>
  <c r="M44" i="2" s="1"/>
  <c r="L42" i="2"/>
  <c r="M42" i="2" s="1"/>
  <c r="L40" i="2"/>
  <c r="M40" i="2" s="1"/>
  <c r="D38" i="2"/>
  <c r="D66" i="2" s="1"/>
  <c r="L36" i="2"/>
  <c r="M36" i="2" s="1"/>
  <c r="R34" i="2"/>
  <c r="Q34" i="2"/>
  <c r="P34" i="2"/>
  <c r="P66" i="2" s="1"/>
  <c r="L34" i="2"/>
  <c r="M34" i="2" s="1"/>
  <c r="R32" i="2"/>
  <c r="E32" i="2"/>
  <c r="E66" i="2" s="1"/>
  <c r="L30" i="2"/>
  <c r="M30" i="2" s="1"/>
  <c r="R28" i="2"/>
  <c r="C28" i="2"/>
  <c r="L28" i="2" s="1"/>
  <c r="M28" i="2" s="1"/>
  <c r="L26" i="2"/>
  <c r="M26" i="2" s="1"/>
  <c r="L24" i="2"/>
  <c r="M24" i="2" s="1"/>
  <c r="L22" i="2"/>
  <c r="M22" i="2" s="1"/>
  <c r="L20" i="2"/>
  <c r="M20" i="2" s="1"/>
  <c r="L18" i="2"/>
  <c r="M18" i="2" s="1"/>
  <c r="R16" i="2"/>
  <c r="M16" i="2"/>
  <c r="N16" i="2" s="1"/>
  <c r="O16" i="2" s="1"/>
  <c r="L16" i="2"/>
  <c r="C14" i="2"/>
  <c r="C66" i="2" s="1"/>
  <c r="L12" i="2"/>
  <c r="M12" i="2" s="1"/>
  <c r="E12" i="2"/>
  <c r="M10" i="2"/>
  <c r="L10" i="2"/>
  <c r="R8" i="2"/>
  <c r="L8" i="2"/>
  <c r="M8" i="2" s="1"/>
  <c r="R6" i="2"/>
  <c r="R66" i="2" s="1"/>
  <c r="S66" i="2" s="1"/>
  <c r="L6" i="2"/>
  <c r="M6" i="2" s="1"/>
  <c r="L4" i="2"/>
  <c r="H101" i="1"/>
  <c r="J101" i="1" s="1"/>
  <c r="J100" i="1"/>
  <c r="H100" i="1"/>
  <c r="H99" i="1"/>
  <c r="J99" i="1" s="1"/>
  <c r="J98" i="1"/>
  <c r="H98" i="1"/>
  <c r="H97" i="1"/>
  <c r="J97" i="1" s="1"/>
  <c r="I96" i="1"/>
  <c r="H96" i="1"/>
  <c r="H95" i="1"/>
  <c r="J95" i="1" s="1"/>
  <c r="I94" i="1"/>
  <c r="H94" i="1"/>
  <c r="H93" i="1"/>
  <c r="J93" i="1" s="1"/>
  <c r="J92" i="1"/>
  <c r="H92" i="1"/>
  <c r="H91" i="1"/>
  <c r="J91" i="1" s="1"/>
  <c r="J90" i="1"/>
  <c r="H90" i="1"/>
  <c r="H89" i="1"/>
  <c r="J89" i="1" s="1"/>
  <c r="J88" i="1"/>
  <c r="H88" i="1"/>
  <c r="H87" i="1"/>
  <c r="J87" i="1" s="1"/>
  <c r="J86" i="1"/>
  <c r="H86" i="1"/>
  <c r="H85" i="1"/>
  <c r="J85" i="1" s="1"/>
  <c r="J84" i="1"/>
  <c r="H84" i="1"/>
  <c r="H83" i="1"/>
  <c r="J83" i="1" s="1"/>
  <c r="J82" i="1"/>
  <c r="H82" i="1"/>
  <c r="G82" i="1"/>
  <c r="H81" i="1"/>
  <c r="J81" i="1" s="1"/>
  <c r="J80" i="1"/>
  <c r="H80" i="1"/>
  <c r="H79" i="1"/>
  <c r="J79" i="1" s="1"/>
  <c r="J78" i="1"/>
  <c r="H78" i="1"/>
  <c r="H77" i="1"/>
  <c r="J77" i="1" s="1"/>
  <c r="J76" i="1"/>
  <c r="H76" i="1"/>
  <c r="H75" i="1"/>
  <c r="J75" i="1" s="1"/>
  <c r="J74" i="1"/>
  <c r="H74" i="1"/>
  <c r="H73" i="1"/>
  <c r="J73" i="1" s="1"/>
  <c r="I72" i="1"/>
  <c r="H72" i="1"/>
  <c r="H71" i="1"/>
  <c r="J71" i="1" s="1"/>
  <c r="J70" i="1"/>
  <c r="H70" i="1"/>
  <c r="H69" i="1"/>
  <c r="J69" i="1" s="1"/>
  <c r="J68" i="1"/>
  <c r="H68" i="1"/>
  <c r="H67" i="1"/>
  <c r="J67" i="1" s="1"/>
  <c r="G66" i="1"/>
  <c r="H66" i="1" s="1"/>
  <c r="J66" i="1" s="1"/>
  <c r="J65" i="1"/>
  <c r="H65" i="1"/>
  <c r="H64" i="1"/>
  <c r="J64" i="1" s="1"/>
  <c r="J63" i="1"/>
  <c r="H63" i="1"/>
  <c r="G63" i="1"/>
  <c r="H62" i="1"/>
  <c r="J62" i="1" s="1"/>
  <c r="H61" i="1"/>
  <c r="H60" i="1"/>
  <c r="J60" i="1" s="1"/>
  <c r="J59" i="1"/>
  <c r="H59" i="1"/>
  <c r="H58" i="1"/>
  <c r="J58" i="1" s="1"/>
  <c r="I57" i="1"/>
  <c r="H57" i="1"/>
  <c r="H56" i="1"/>
  <c r="J56" i="1" s="1"/>
  <c r="J55" i="1"/>
  <c r="H55" i="1"/>
  <c r="G55" i="1"/>
  <c r="H54" i="1"/>
  <c r="J54" i="1" s="1"/>
  <c r="J53" i="1"/>
  <c r="H53" i="1"/>
  <c r="H52" i="1"/>
  <c r="J52" i="1" s="1"/>
  <c r="G52" i="1"/>
  <c r="H51" i="1"/>
  <c r="J51" i="1" s="1"/>
  <c r="J50" i="1"/>
  <c r="H50" i="1"/>
  <c r="G49" i="1"/>
  <c r="H49" i="1" s="1"/>
  <c r="J49" i="1" s="1"/>
  <c r="J48" i="1"/>
  <c r="H48" i="1"/>
  <c r="H47" i="1"/>
  <c r="J47" i="1" s="1"/>
  <c r="J46" i="1"/>
  <c r="H46" i="1"/>
  <c r="H45" i="1"/>
  <c r="I45" i="1" s="1"/>
  <c r="J44" i="1"/>
  <c r="H44" i="1"/>
  <c r="H43" i="1"/>
  <c r="J43" i="1" s="1"/>
  <c r="J42" i="1"/>
  <c r="H42" i="1"/>
  <c r="H41" i="1"/>
  <c r="J41" i="1" s="1"/>
  <c r="G41" i="1"/>
  <c r="H40" i="1"/>
  <c r="J40" i="1" s="1"/>
  <c r="J39" i="1"/>
  <c r="H39" i="1"/>
  <c r="H38" i="1"/>
  <c r="J38" i="1" s="1"/>
  <c r="J37" i="1"/>
  <c r="H37" i="1"/>
  <c r="H36" i="1"/>
  <c r="I36" i="1" s="1"/>
  <c r="J35" i="1"/>
  <c r="H35" i="1"/>
  <c r="G35" i="1"/>
  <c r="H34" i="1"/>
  <c r="J34" i="1" s="1"/>
  <c r="J33" i="1"/>
  <c r="H33" i="1"/>
  <c r="H32" i="1"/>
  <c r="J32" i="1" s="1"/>
  <c r="J31" i="1"/>
  <c r="H31" i="1"/>
  <c r="H30" i="1"/>
  <c r="J30" i="1" s="1"/>
  <c r="G30" i="1"/>
  <c r="H29" i="1"/>
  <c r="J29" i="1" s="1"/>
  <c r="J28" i="1"/>
  <c r="H28" i="1"/>
  <c r="G27" i="1"/>
  <c r="H27" i="1" s="1"/>
  <c r="J27" i="1" s="1"/>
  <c r="J26" i="1"/>
  <c r="H26" i="1"/>
  <c r="H25" i="1"/>
  <c r="J25" i="1" s="1"/>
  <c r="J24" i="1"/>
  <c r="H24" i="1"/>
  <c r="H23" i="1"/>
  <c r="J23" i="1" s="1"/>
  <c r="J22" i="1"/>
  <c r="H22" i="1"/>
  <c r="H21" i="1"/>
  <c r="J21" i="1" s="1"/>
  <c r="N20" i="1"/>
  <c r="G20" i="1"/>
  <c r="H20" i="1" s="1"/>
  <c r="J20" i="1" s="1"/>
  <c r="I19" i="1"/>
  <c r="H19" i="1"/>
  <c r="H18" i="1"/>
  <c r="J18" i="1" s="1"/>
  <c r="H17" i="1"/>
  <c r="J17" i="1" s="1"/>
  <c r="J16" i="1"/>
  <c r="H16" i="1"/>
  <c r="U15" i="1"/>
  <c r="H15" i="1"/>
  <c r="J15" i="1" s="1"/>
  <c r="U14" i="1"/>
  <c r="H14" i="1"/>
  <c r="J14" i="1" s="1"/>
  <c r="U13" i="1"/>
  <c r="G13" i="1"/>
  <c r="G103" i="1" s="1"/>
  <c r="U12" i="1"/>
  <c r="H12" i="1"/>
  <c r="J12" i="1" s="1"/>
  <c r="U11" i="1"/>
  <c r="I11" i="1"/>
  <c r="H11" i="1"/>
  <c r="U10" i="1"/>
  <c r="H10" i="1"/>
  <c r="I10" i="1" s="1"/>
  <c r="U9" i="1"/>
  <c r="H9" i="1"/>
  <c r="J9" i="1" s="1"/>
  <c r="U8" i="1"/>
  <c r="H8" i="1"/>
  <c r="J8" i="1" s="1"/>
  <c r="U7" i="1"/>
  <c r="J7" i="1"/>
  <c r="H7" i="1"/>
  <c r="U6" i="1"/>
  <c r="H6" i="1"/>
  <c r="J6" i="1" s="1"/>
  <c r="U5" i="1"/>
  <c r="N5" i="1"/>
  <c r="H5" i="1"/>
  <c r="J5" i="1" s="1"/>
  <c r="U4" i="1"/>
  <c r="U17" i="1" s="1"/>
  <c r="U19" i="1" s="1"/>
  <c r="H4" i="1"/>
  <c r="J4" i="1" s="1"/>
  <c r="H3" i="1"/>
  <c r="J3" i="1" s="1"/>
  <c r="H2" i="1"/>
  <c r="N28" i="2" l="1"/>
  <c r="O28" i="2" s="1"/>
  <c r="N64" i="2"/>
  <c r="O64" i="2"/>
  <c r="N8" i="2"/>
  <c r="O8" i="2"/>
  <c r="N34" i="2"/>
  <c r="O34" i="2"/>
  <c r="N52" i="2"/>
  <c r="O52" i="2" s="1"/>
  <c r="O12" i="2"/>
  <c r="N12" i="2"/>
  <c r="N24" i="2"/>
  <c r="O24" i="2" s="1"/>
  <c r="O30" i="2"/>
  <c r="N30" i="2"/>
  <c r="N46" i="2"/>
  <c r="O46" i="2"/>
  <c r="N60" i="2"/>
  <c r="O60" i="2" s="1"/>
  <c r="O10" i="2"/>
  <c r="N20" i="2"/>
  <c r="O20" i="2"/>
  <c r="N42" i="2"/>
  <c r="O42" i="2" s="1"/>
  <c r="N50" i="2"/>
  <c r="O50" i="2"/>
  <c r="N56" i="2"/>
  <c r="O56" i="2" s="1"/>
  <c r="N22" i="2"/>
  <c r="O22" i="2"/>
  <c r="N36" i="2"/>
  <c r="O36" i="2"/>
  <c r="N44" i="2"/>
  <c r="O44" i="2"/>
  <c r="N58" i="2"/>
  <c r="O58" i="2" s="1"/>
  <c r="N6" i="2"/>
  <c r="O6" i="2"/>
  <c r="N18" i="2"/>
  <c r="O18" i="2" s="1"/>
  <c r="N26" i="2"/>
  <c r="O26" i="2"/>
  <c r="N40" i="2"/>
  <c r="O40" i="2"/>
  <c r="N48" i="2"/>
  <c r="O48" i="2" s="1"/>
  <c r="N54" i="2"/>
  <c r="O54" i="2" s="1"/>
  <c r="N62" i="2"/>
  <c r="O62" i="2"/>
  <c r="N10" i="2"/>
  <c r="L14" i="2"/>
  <c r="M14" i="2" s="1"/>
  <c r="L32" i="2"/>
  <c r="M32" i="2" s="1"/>
  <c r="M4" i="2"/>
  <c r="L38" i="2"/>
  <c r="M38" i="2" s="1"/>
  <c r="I102" i="1"/>
  <c r="J2" i="1"/>
  <c r="J102" i="1" s="1"/>
  <c r="M4" i="1" s="1"/>
  <c r="M20" i="1" s="1"/>
  <c r="O20" i="1" s="1"/>
  <c r="P20" i="1" s="1"/>
  <c r="H13" i="1"/>
  <c r="J13" i="1" s="1"/>
  <c r="N14" i="2" l="1"/>
  <c r="O14" i="2"/>
  <c r="N4" i="2"/>
  <c r="N66" i="2" s="1"/>
  <c r="M66" i="2"/>
  <c r="N32" i="2"/>
  <c r="O32" i="2"/>
  <c r="L66" i="2"/>
  <c r="L68" i="2" s="1"/>
  <c r="N38" i="2"/>
  <c r="O38" i="2"/>
  <c r="I103" i="1"/>
  <c r="H103" i="1"/>
  <c r="O4" i="2" l="1"/>
  <c r="O66" i="2" s="1"/>
</calcChain>
</file>

<file path=xl/sharedStrings.xml><?xml version="1.0" encoding="utf-8"?>
<sst xmlns="http://schemas.openxmlformats.org/spreadsheetml/2006/main" count="488" uniqueCount="154">
  <si>
    <t>DATE</t>
  </si>
  <si>
    <t>INVOICE NO</t>
  </si>
  <si>
    <t>COMPANY NAME /SUPPLIERS NAME</t>
  </si>
  <si>
    <t>VAT REG NO</t>
  </si>
  <si>
    <t>PARTICULARS / TYPES</t>
  </si>
  <si>
    <t>VAT RATE</t>
  </si>
  <si>
    <t>BASE AMOUNT</t>
  </si>
  <si>
    <t>VAT AMOUNT 15%</t>
  </si>
  <si>
    <t>BANK</t>
  </si>
  <si>
    <t>CASH</t>
  </si>
  <si>
    <t>REMARKS</t>
  </si>
  <si>
    <t>CASH OUT</t>
  </si>
  <si>
    <t>CASH IN</t>
  </si>
  <si>
    <t>NOTES</t>
  </si>
  <si>
    <t>CASH REPORT</t>
  </si>
  <si>
    <t>1010365088</t>
  </si>
  <si>
    <t xml:space="preserve">DANYAT TRADING EST </t>
  </si>
  <si>
    <t>300125777500003</t>
  </si>
  <si>
    <t>CHOCOLATE</t>
  </si>
  <si>
    <t>PETTY CASH</t>
  </si>
  <si>
    <t>AL ABEER INTERNATIONAL MEDICAL CO-HAIL</t>
  </si>
  <si>
    <t>300209459400003</t>
  </si>
  <si>
    <t>MEDICAL</t>
  </si>
  <si>
    <t>CITY FLOWER HYPERMARKET</t>
  </si>
  <si>
    <t>310028960200003</t>
  </si>
  <si>
    <t>SHOP INGREDIENTS AND MATERIALS</t>
  </si>
  <si>
    <t>CASH LEFT FROM 2024</t>
  </si>
  <si>
    <t>CASH SALES REPORT</t>
  </si>
  <si>
    <t>7 ELEVEN MARKET</t>
  </si>
  <si>
    <t>300960668400003</t>
  </si>
  <si>
    <t>KITCHEN INGREDIENTS</t>
  </si>
  <si>
    <t>COMPANY TRANSFER</t>
  </si>
  <si>
    <t>UBER</t>
  </si>
  <si>
    <t>TRANSPORTATION</t>
  </si>
  <si>
    <t>NADEC</t>
  </si>
  <si>
    <t>300055853500003</t>
  </si>
  <si>
    <t>MILK</t>
  </si>
  <si>
    <t>232040583</t>
  </si>
  <si>
    <t>AL DANA FOOD SUPPLY</t>
  </si>
  <si>
    <t>311241333200003</t>
  </si>
  <si>
    <t>CREAM</t>
  </si>
  <si>
    <t xml:space="preserve">FOOD CHOICE </t>
  </si>
  <si>
    <t>300952868300003</t>
  </si>
  <si>
    <t>MOLTAQA ALKHABBAZEEN</t>
  </si>
  <si>
    <t>310570726200003</t>
  </si>
  <si>
    <t>BIRTHDAY GIFT</t>
  </si>
  <si>
    <t>LULU HYPERMARKET</t>
  </si>
  <si>
    <t>300060864110003</t>
  </si>
  <si>
    <t>BAR &amp; KITCHEN INGREDIENTS</t>
  </si>
  <si>
    <t>CLEANING MATERIALS</t>
  </si>
  <si>
    <t>TOTAL CASH</t>
  </si>
  <si>
    <t>BREAKFAST RASTING</t>
  </si>
  <si>
    <t xml:space="preserve">CASH CHANGE </t>
  </si>
  <si>
    <t>PEACOCK</t>
  </si>
  <si>
    <t>311655193400003</t>
  </si>
  <si>
    <t xml:space="preserve">COFFEE BEANS </t>
  </si>
  <si>
    <t>TOTAL</t>
  </si>
  <si>
    <t>SNB PAY BILL</t>
  </si>
  <si>
    <t>INTERNET BILL</t>
  </si>
  <si>
    <t>ALENTISAR</t>
  </si>
  <si>
    <t>MASCARPONE</t>
  </si>
  <si>
    <t>CARREEM</t>
  </si>
  <si>
    <t>SACO</t>
  </si>
  <si>
    <t>300050207600003</t>
  </si>
  <si>
    <t>BAR FLORR MATT</t>
  </si>
  <si>
    <t>GOLDEN TASTES TRADING EST.</t>
  </si>
  <si>
    <t>310865124800003</t>
  </si>
  <si>
    <t>FLOUR</t>
  </si>
  <si>
    <t>JANA AL-RUMAN WHOLESALE TRADING EST</t>
  </si>
  <si>
    <t>311614173600003</t>
  </si>
  <si>
    <t>EGG</t>
  </si>
  <si>
    <t>OTHAIM</t>
  </si>
  <si>
    <t>300057178310003</t>
  </si>
  <si>
    <t>SABON</t>
  </si>
  <si>
    <t>AL MAJIDH PLASTIC</t>
  </si>
  <si>
    <t>300500262700003</t>
  </si>
  <si>
    <t>TISSUE</t>
  </si>
  <si>
    <t>MOHAMMED SALEH SETAR AL FOUNDATION</t>
  </si>
  <si>
    <t>300238194300003</t>
  </si>
  <si>
    <t>WATER</t>
  </si>
  <si>
    <t>KENWOOD WIRE WHISK</t>
  </si>
  <si>
    <t>KITCHEN MATERIALS</t>
  </si>
  <si>
    <t>KITCHAN INGREDIENYS</t>
  </si>
  <si>
    <t>SWORD SCARF</t>
  </si>
  <si>
    <t>STAFF BED</t>
  </si>
  <si>
    <t>TRANSPOTATION</t>
  </si>
  <si>
    <t>BREAKFAST</t>
  </si>
  <si>
    <t>ALMOSAFER</t>
  </si>
  <si>
    <t>300056209610003</t>
  </si>
  <si>
    <t>DARB ALWATAN</t>
  </si>
  <si>
    <t>311510940300003</t>
  </si>
  <si>
    <t>TRANSPORATION</t>
  </si>
  <si>
    <t>COFFEE BEANS</t>
  </si>
  <si>
    <t>TRANSPORTATION DENNIS</t>
  </si>
  <si>
    <t>BREAKFAST ITEM</t>
  </si>
  <si>
    <t>COFFEE AVENUE</t>
  </si>
  <si>
    <t>302183799500003</t>
  </si>
  <si>
    <t>V60 Filter</t>
  </si>
  <si>
    <t>KITCHEN MATERILAS</t>
  </si>
  <si>
    <t>117736</t>
  </si>
  <si>
    <t xml:space="preserve">LEGEND OF THE NORTH </t>
  </si>
  <si>
    <t>311272794900003</t>
  </si>
  <si>
    <t>GLUE</t>
  </si>
  <si>
    <t xml:space="preserve">KITCHEN INGREDIENTS </t>
  </si>
  <si>
    <t>THE STAR DAWN VEGETABLE MARKET</t>
  </si>
  <si>
    <t>WASAM AL DEIRA SUPPLIES</t>
  </si>
  <si>
    <t>311000283400003</t>
  </si>
  <si>
    <t>Battery</t>
  </si>
  <si>
    <t>HUNGERSTATION</t>
  </si>
  <si>
    <t xml:space="preserve">CHOCOLATE </t>
  </si>
  <si>
    <t xml:space="preserve">BAR MATERIALS </t>
  </si>
  <si>
    <t xml:space="preserve">SHOP MATERIALS </t>
  </si>
  <si>
    <t>TRANSPORATATION</t>
  </si>
  <si>
    <t>FRUITS &amp; SUGAR</t>
  </si>
  <si>
    <t>BRANCH OF AHMED AL-RADDADI TRADING ESTB.</t>
  </si>
  <si>
    <t>30116267500003</t>
  </si>
  <si>
    <t>OIL</t>
  </si>
  <si>
    <t>BALAD FISH TRADING SHOP</t>
  </si>
  <si>
    <t>301192572500003</t>
  </si>
  <si>
    <t>FRUITS</t>
  </si>
  <si>
    <t>ATLAS HAIL TRADING CO.</t>
  </si>
  <si>
    <t>311294229100003</t>
  </si>
  <si>
    <t>PLUMBING</t>
  </si>
  <si>
    <t>HOT PACK</t>
  </si>
  <si>
    <t>302006770500003</t>
  </si>
  <si>
    <t>8OZ CONTAINER</t>
  </si>
  <si>
    <t>MOTHHELAH</t>
  </si>
  <si>
    <t>BURR FOR COFFFEE GRINDER</t>
  </si>
  <si>
    <t>3000184</t>
  </si>
  <si>
    <t>FLAKES CHOCOLATE</t>
  </si>
  <si>
    <t>JERJER</t>
  </si>
  <si>
    <t>25113000234</t>
  </si>
  <si>
    <t>READY PRODUCTS</t>
  </si>
  <si>
    <t>302091777500003</t>
  </si>
  <si>
    <t xml:space="preserve">CHOCOLATES </t>
  </si>
  <si>
    <t>25113000257</t>
  </si>
  <si>
    <t>BAR ITEMS</t>
  </si>
  <si>
    <t>1st</t>
  </si>
  <si>
    <t>FODICS PAY</t>
  </si>
  <si>
    <t xml:space="preserve">ALINMA </t>
  </si>
  <si>
    <t>HUNGER</t>
  </si>
  <si>
    <t>JAHEZ</t>
  </si>
  <si>
    <t>KOINZ</t>
  </si>
  <si>
    <t>online</t>
  </si>
  <si>
    <t>GROSS SALES</t>
  </si>
  <si>
    <t>NET SALES</t>
  </si>
  <si>
    <t>TOTAL SALES</t>
  </si>
  <si>
    <t>DIFFERENCE</t>
  </si>
  <si>
    <t>2nd</t>
  </si>
  <si>
    <t>CARD</t>
  </si>
  <si>
    <t>MADA</t>
  </si>
  <si>
    <t>AM</t>
  </si>
  <si>
    <t>PM</t>
  </si>
  <si>
    <t>MADA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</si>
</sst>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3"/>
      <color rgb="FF0070C0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b/>
      <sz val="13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2" borderId="0" xfId="0" applyFill="1"/>
    <xf numFmtId="0" fontId="7" fillId="2" borderId="1" xfId="0" applyFont="1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/>
    </xf>
    <xf numFmtId="0" fontId="0" fillId="3" borderId="1" xfId="0" applyFill="1" applyBorder="1"/>
    <xf numFmtId="0" fontId="0" fillId="3" borderId="1" xfId="0" quotePrefix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vertic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0" fillId="0" borderId="0" xfId="0" applyNumberFormat="1"/>
    <xf numFmtId="43" fontId="0" fillId="3" borderId="5" xfId="1" applyFont="1" applyFill="1" applyBorder="1" applyAlignment="1">
      <alignment horizontal="right"/>
    </xf>
    <xf numFmtId="43" fontId="0" fillId="3" borderId="1" xfId="1" applyFont="1" applyFill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3" borderId="1" xfId="0" applyFill="1" applyBorder="1" applyAlignment="1">
      <alignment horizontal="center"/>
    </xf>
    <xf numFmtId="16" fontId="0" fillId="0" borderId="1" xfId="0" applyNumberFormat="1" applyBorder="1"/>
    <xf numFmtId="0" fontId="0" fillId="0" borderId="0" xfId="0" applyAlignment="1">
      <alignment horizontal="right"/>
    </xf>
    <xf numFmtId="0" fontId="0" fillId="0" borderId="5" xfId="0" applyBorder="1"/>
    <xf numFmtId="2" fontId="0" fillId="3" borderId="1" xfId="0" applyNumberFormat="1" applyFill="1" applyBorder="1"/>
    <xf numFmtId="0" fontId="0" fillId="0" borderId="1" xfId="0" applyBorder="1" applyAlignment="1">
      <alignment horizontal="center" vertical="center"/>
    </xf>
    <xf numFmtId="0" fontId="4" fillId="4" borderId="1" xfId="0" applyFont="1" applyFill="1" applyBorder="1"/>
    <xf numFmtId="2" fontId="8" fillId="5" borderId="1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right"/>
    </xf>
    <xf numFmtId="0" fontId="0" fillId="3" borderId="1" xfId="0" quotePrefix="1" applyFill="1" applyBorder="1" applyAlignment="1">
      <alignment horizontal="right"/>
    </xf>
    <xf numFmtId="0" fontId="0" fillId="0" borderId="1" xfId="0" quotePrefix="1" applyBorder="1" applyAlignment="1">
      <alignment horizontal="center" vertical="center"/>
    </xf>
    <xf numFmtId="0" fontId="1" fillId="3" borderId="1" xfId="0" applyFont="1" applyFill="1" applyBorder="1"/>
    <xf numFmtId="43" fontId="0" fillId="3" borderId="1" xfId="1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0" xfId="0" applyFont="1" applyFill="1"/>
    <xf numFmtId="2" fontId="9" fillId="7" borderId="1" xfId="0" applyNumberFormat="1" applyFont="1" applyFill="1" applyBorder="1" applyAlignment="1">
      <alignment horizontal="right" vertical="center"/>
    </xf>
    <xf numFmtId="0" fontId="9" fillId="7" borderId="1" xfId="0" applyFont="1" applyFill="1" applyBorder="1" applyAlignment="1">
      <alignment horizontal="center" vertical="center"/>
    </xf>
    <xf numFmtId="0" fontId="9" fillId="3" borderId="0" xfId="0" applyFont="1" applyFill="1"/>
    <xf numFmtId="0" fontId="9" fillId="8" borderId="0" xfId="0" applyFont="1" applyFill="1"/>
    <xf numFmtId="0" fontId="9" fillId="7" borderId="0" xfId="0" applyFont="1" applyFill="1" applyAlignment="1">
      <alignment horizontal="center" vertical="center"/>
    </xf>
    <xf numFmtId="2" fontId="10" fillId="7" borderId="1" xfId="0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0" fillId="7" borderId="0" xfId="0" applyFill="1"/>
    <xf numFmtId="1" fontId="0" fillId="0" borderId="0" xfId="0" applyNumberFormat="1"/>
    <xf numFmtId="0" fontId="6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9" fontId="6" fillId="9" borderId="2" xfId="0" applyNumberFormat="1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/>
    </xf>
    <xf numFmtId="2" fontId="0" fillId="0" borderId="2" xfId="1" applyNumberFormat="1" applyFont="1" applyBorder="1" applyAlignment="1">
      <alignment horizontal="center" vertical="center"/>
    </xf>
    <xf numFmtId="2" fontId="12" fillId="3" borderId="2" xfId="1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2" fontId="12" fillId="3" borderId="4" xfId="1" applyNumberFormat="1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43" fontId="0" fillId="0" borderId="0" xfId="0" applyNumberFormat="1"/>
    <xf numFmtId="2" fontId="3" fillId="0" borderId="2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/>
    </xf>
    <xf numFmtId="2" fontId="14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0" fontId="0" fillId="3" borderId="0" xfId="0" applyFill="1"/>
    <xf numFmtId="2" fontId="0" fillId="0" borderId="3" xfId="1" applyNumberFormat="1" applyFon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 wrapText="1"/>
    </xf>
    <xf numFmtId="2" fontId="0" fillId="3" borderId="4" xfId="0" applyNumberForma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 wrapText="1"/>
    </xf>
    <xf numFmtId="0" fontId="3" fillId="0" borderId="0" xfId="0" applyFont="1"/>
    <xf numFmtId="2" fontId="3" fillId="3" borderId="1" xfId="0" applyNumberFormat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2" fontId="3" fillId="0" borderId="4" xfId="1" applyNumberFormat="1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0" fillId="0" borderId="7" xfId="1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2" fontId="0" fillId="0" borderId="8" xfId="1" applyNumberFormat="1" applyFont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0" fillId="0" borderId="9" xfId="1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2" fontId="0" fillId="0" borderId="11" xfId="1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1" fillId="3" borderId="2" xfId="1" applyNumberFormat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6" fillId="3" borderId="2" xfId="1" applyNumberFormat="1" applyFont="1" applyFill="1" applyBorder="1" applyAlignment="1">
      <alignment horizontal="center" vertical="center"/>
    </xf>
    <xf numFmtId="2" fontId="16" fillId="3" borderId="4" xfId="1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43" fontId="17" fillId="3" borderId="1" xfId="1" applyFont="1" applyFill="1" applyBorder="1" applyAlignment="1">
      <alignment horizontal="center" vertical="center"/>
    </xf>
    <xf numFmtId="43" fontId="17" fillId="3" borderId="2" xfId="1" applyFont="1" applyFill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43" fontId="0" fillId="0" borderId="12" xfId="0" applyNumberFormat="1" applyBorder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43" fontId="17" fillId="3" borderId="4" xfId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hogz\OneDrive\Desktop\MANOS%20CAFE\MONTHLY%20Expences%20and%20Sales\JANUARY%20SALES,%20VAT%20&amp;%20EXPENCES.xlsx" TargetMode="External"/><Relationship Id="rId1" Type="http://schemas.openxmlformats.org/officeDocument/2006/relationships/externalLinkPath" Target="MONTHLY%20Expences%20and%20Sales/JANUARY%20SALES,%20VAT%20&amp;%20EXPEN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REPORT"/>
      <sheetName val="VAT &amp; EXPENCES"/>
    </sheetNames>
    <sheetDataSet>
      <sheetData sheetId="0">
        <row r="66">
          <cell r="R66">
            <v>17202.59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DE5EC-975A-43ED-918B-783CC3D4FC0C}">
  <dimension ref="A1:NI149"/>
  <sheetViews>
    <sheetView workbookViewId="0">
      <selection sqref="A1:XFD1048576"/>
    </sheetView>
  </sheetViews>
  <sheetFormatPr defaultRowHeight="14.4" x14ac:dyDescent="0.3"/>
  <cols>
    <col min="1" max="1" width="18.88671875" customWidth="1"/>
    <col min="2" max="2" width="22.6640625" customWidth="1"/>
    <col min="3" max="3" width="57.5546875" customWidth="1"/>
    <col min="4" max="4" width="32.109375" customWidth="1"/>
    <col min="5" max="6" width="38.88671875" customWidth="1"/>
    <col min="7" max="7" width="25.33203125" customWidth="1"/>
    <col min="8" max="8" width="23.44140625" customWidth="1"/>
    <col min="9" max="9" width="13.5546875" customWidth="1"/>
    <col min="10" max="10" width="16.21875" customWidth="1"/>
    <col min="11" max="11" width="21.109375" customWidth="1"/>
    <col min="12" max="12" width="12.5546875" customWidth="1"/>
    <col min="13" max="13" width="13.77734375" customWidth="1"/>
    <col min="14" max="14" width="21.5546875" customWidth="1"/>
    <col min="15" max="15" width="20.77734375" customWidth="1"/>
    <col min="18" max="18" width="14.21875" customWidth="1"/>
    <col min="19" max="19" width="5.88671875" customWidth="1"/>
    <col min="20" max="20" width="4.21875" customWidth="1"/>
    <col min="21" max="21" width="5.5546875" customWidth="1"/>
  </cols>
  <sheetData>
    <row r="1" spans="1:22" s="2" customFormat="1" ht="14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3" t="s">
        <v>11</v>
      </c>
      <c r="N1" s="3" t="s">
        <v>12</v>
      </c>
      <c r="O1" s="4" t="s">
        <v>13</v>
      </c>
      <c r="P1" s="4" t="s">
        <v>0</v>
      </c>
      <c r="Q1" s="5"/>
      <c r="R1" s="6" t="s">
        <v>14</v>
      </c>
      <c r="S1" s="6"/>
      <c r="T1" s="6"/>
      <c r="U1" s="6"/>
      <c r="V1" s="6"/>
    </row>
    <row r="2" spans="1:22" ht="14.4" customHeight="1" x14ac:dyDescent="0.3">
      <c r="A2" s="7">
        <v>45658</v>
      </c>
      <c r="B2" s="8" t="s">
        <v>15</v>
      </c>
      <c r="C2" s="9" t="s">
        <v>16</v>
      </c>
      <c r="D2" s="10" t="s">
        <v>17</v>
      </c>
      <c r="E2" s="9" t="s">
        <v>18</v>
      </c>
      <c r="F2" s="11">
        <v>0.15</v>
      </c>
      <c r="G2" s="12">
        <v>3420</v>
      </c>
      <c r="H2" s="13">
        <f>G2*F2</f>
        <v>513</v>
      </c>
      <c r="I2" s="13"/>
      <c r="J2" s="14">
        <f>H2+G2</f>
        <v>3933</v>
      </c>
      <c r="K2" s="15" t="s">
        <v>19</v>
      </c>
      <c r="M2" s="16"/>
      <c r="N2" s="16"/>
      <c r="O2" s="17"/>
      <c r="P2" s="17"/>
      <c r="Q2" s="5"/>
      <c r="R2" s="6"/>
      <c r="S2" s="6"/>
      <c r="T2" s="6"/>
      <c r="U2" s="6"/>
      <c r="V2" s="6"/>
    </row>
    <row r="3" spans="1:22" ht="14.4" customHeight="1" x14ac:dyDescent="0.3">
      <c r="A3" s="7">
        <v>45658</v>
      </c>
      <c r="B3" s="8">
        <v>1269920</v>
      </c>
      <c r="C3" s="9" t="s">
        <v>20</v>
      </c>
      <c r="D3" s="10" t="s">
        <v>21</v>
      </c>
      <c r="E3" s="9" t="s">
        <v>22</v>
      </c>
      <c r="F3" s="11">
        <v>0.15</v>
      </c>
      <c r="G3" s="12">
        <v>30</v>
      </c>
      <c r="H3" s="13">
        <f t="shared" ref="H3:H70" si="0">G3*F3</f>
        <v>4.5</v>
      </c>
      <c r="I3" s="13"/>
      <c r="J3" s="14">
        <f t="shared" ref="J3:J70" si="1">H3+G3</f>
        <v>34.5</v>
      </c>
      <c r="K3" s="15" t="s">
        <v>19</v>
      </c>
      <c r="M3" s="18"/>
      <c r="N3" s="18"/>
      <c r="O3" s="19"/>
      <c r="P3" s="19"/>
      <c r="Q3" s="5"/>
      <c r="R3" s="6"/>
      <c r="S3" s="6"/>
      <c r="T3" s="6"/>
      <c r="U3" s="6"/>
      <c r="V3" s="6"/>
    </row>
    <row r="4" spans="1:22" x14ac:dyDescent="0.3">
      <c r="A4" s="7">
        <v>45659</v>
      </c>
      <c r="B4" s="8">
        <v>464786</v>
      </c>
      <c r="C4" s="9" t="s">
        <v>23</v>
      </c>
      <c r="D4" s="10" t="s">
        <v>24</v>
      </c>
      <c r="E4" s="9" t="s">
        <v>25</v>
      </c>
      <c r="F4" s="11">
        <v>0.15</v>
      </c>
      <c r="G4" s="12">
        <v>85.03</v>
      </c>
      <c r="H4" s="13">
        <f t="shared" si="0"/>
        <v>12.7545</v>
      </c>
      <c r="I4" s="13"/>
      <c r="J4" s="14">
        <f t="shared" si="1"/>
        <v>97.784500000000008</v>
      </c>
      <c r="K4" s="15" t="s">
        <v>19</v>
      </c>
      <c r="M4" s="20">
        <f>SUM(J102)</f>
        <v>23438.311000000002</v>
      </c>
      <c r="N4" s="21">
        <v>4252</v>
      </c>
      <c r="O4" s="22" t="s">
        <v>26</v>
      </c>
      <c r="P4" s="23"/>
      <c r="R4" s="13"/>
      <c r="S4" s="13">
        <v>500</v>
      </c>
      <c r="T4" s="13"/>
      <c r="U4" s="13">
        <f>T4*S4</f>
        <v>0</v>
      </c>
      <c r="V4" s="13"/>
    </row>
    <row r="5" spans="1:22" x14ac:dyDescent="0.3">
      <c r="A5" s="7">
        <v>45659</v>
      </c>
      <c r="B5" s="8">
        <v>464787</v>
      </c>
      <c r="C5" s="9" t="s">
        <v>23</v>
      </c>
      <c r="D5" s="10" t="s">
        <v>24</v>
      </c>
      <c r="E5" s="9" t="s">
        <v>25</v>
      </c>
      <c r="F5" s="11">
        <v>0.15</v>
      </c>
      <c r="G5" s="12">
        <v>3.48</v>
      </c>
      <c r="H5" s="13">
        <f t="shared" si="0"/>
        <v>0.52200000000000002</v>
      </c>
      <c r="I5" s="13"/>
      <c r="J5" s="14">
        <f t="shared" si="1"/>
        <v>4.0019999999999998</v>
      </c>
      <c r="K5" s="15" t="s">
        <v>19</v>
      </c>
      <c r="M5" s="24"/>
      <c r="N5" s="14">
        <f>SUM('[1]SALES REPORT'!$R$66:$R$67)</f>
        <v>17202.59</v>
      </c>
      <c r="O5" s="25" t="s">
        <v>27</v>
      </c>
      <c r="P5" s="13"/>
      <c r="R5" s="13"/>
      <c r="S5" s="13">
        <v>200</v>
      </c>
      <c r="T5" s="13">
        <v>2</v>
      </c>
      <c r="U5" s="13">
        <f t="shared" ref="U5:U14" si="2">T5*S5</f>
        <v>400</v>
      </c>
      <c r="V5" s="13"/>
    </row>
    <row r="6" spans="1:22" x14ac:dyDescent="0.3">
      <c r="A6" s="7">
        <v>45659</v>
      </c>
      <c r="B6" s="26">
        <v>5569</v>
      </c>
      <c r="C6" s="9" t="s">
        <v>28</v>
      </c>
      <c r="D6" s="10" t="s">
        <v>29</v>
      </c>
      <c r="E6" s="9" t="s">
        <v>30</v>
      </c>
      <c r="F6" s="11">
        <v>0.15</v>
      </c>
      <c r="G6" s="12">
        <v>86.96</v>
      </c>
      <c r="H6" s="13">
        <f t="shared" si="0"/>
        <v>13.043999999999999</v>
      </c>
      <c r="I6" s="13"/>
      <c r="J6" s="14">
        <f t="shared" si="1"/>
        <v>100.00399999999999</v>
      </c>
      <c r="K6" s="15" t="s">
        <v>19</v>
      </c>
      <c r="M6" s="24"/>
      <c r="N6" s="14">
        <v>2323</v>
      </c>
      <c r="O6" s="25" t="s">
        <v>31</v>
      </c>
      <c r="P6" s="27">
        <v>45679</v>
      </c>
      <c r="R6" s="13"/>
      <c r="S6" s="13">
        <v>100</v>
      </c>
      <c r="T6" s="13">
        <v>2</v>
      </c>
      <c r="U6" s="13">
        <f t="shared" si="2"/>
        <v>200</v>
      </c>
      <c r="V6" s="13"/>
    </row>
    <row r="7" spans="1:22" x14ac:dyDescent="0.3">
      <c r="A7" s="7">
        <v>45659</v>
      </c>
      <c r="B7" s="26"/>
      <c r="C7" s="9" t="s">
        <v>32</v>
      </c>
      <c r="D7" s="10"/>
      <c r="E7" s="9" t="s">
        <v>33</v>
      </c>
      <c r="F7" s="11">
        <v>0</v>
      </c>
      <c r="G7" s="12">
        <v>27</v>
      </c>
      <c r="H7" s="13">
        <f t="shared" si="0"/>
        <v>0</v>
      </c>
      <c r="I7" s="13"/>
      <c r="J7" s="14">
        <f t="shared" si="1"/>
        <v>27</v>
      </c>
      <c r="K7" s="15" t="s">
        <v>19</v>
      </c>
      <c r="M7" s="24"/>
      <c r="N7" s="14">
        <v>1000</v>
      </c>
      <c r="O7" s="28" t="s">
        <v>31</v>
      </c>
      <c r="P7" s="27">
        <v>45686</v>
      </c>
      <c r="R7" s="13"/>
      <c r="S7" s="13">
        <v>50</v>
      </c>
      <c r="T7" s="13">
        <v>2</v>
      </c>
      <c r="U7" s="13">
        <f t="shared" si="2"/>
        <v>100</v>
      </c>
      <c r="V7" s="13"/>
    </row>
    <row r="8" spans="1:22" x14ac:dyDescent="0.3">
      <c r="A8" s="7">
        <v>45659</v>
      </c>
      <c r="B8" s="26">
        <v>9121578</v>
      </c>
      <c r="C8" s="9" t="s">
        <v>34</v>
      </c>
      <c r="D8" s="10" t="s">
        <v>35</v>
      </c>
      <c r="E8" s="9" t="s">
        <v>36</v>
      </c>
      <c r="F8" s="11">
        <v>0.15</v>
      </c>
      <c r="G8" s="12">
        <v>276</v>
      </c>
      <c r="H8" s="13">
        <f t="shared" si="0"/>
        <v>41.4</v>
      </c>
      <c r="I8" s="13"/>
      <c r="J8" s="14">
        <f t="shared" si="1"/>
        <v>317.39999999999998</v>
      </c>
      <c r="K8" s="15" t="s">
        <v>19</v>
      </c>
      <c r="M8" s="24"/>
      <c r="N8" s="14"/>
      <c r="O8" s="29"/>
      <c r="P8" s="13"/>
      <c r="R8" s="13"/>
      <c r="S8" s="13">
        <v>20</v>
      </c>
      <c r="T8" s="13"/>
      <c r="U8" s="13">
        <f t="shared" si="2"/>
        <v>0</v>
      </c>
      <c r="V8" s="13"/>
    </row>
    <row r="9" spans="1:22" x14ac:dyDescent="0.3">
      <c r="A9" s="7">
        <v>45660</v>
      </c>
      <c r="B9" s="8" t="s">
        <v>37</v>
      </c>
      <c r="C9" s="9" t="s">
        <v>38</v>
      </c>
      <c r="D9" s="10" t="s">
        <v>39</v>
      </c>
      <c r="E9" s="9" t="s">
        <v>40</v>
      </c>
      <c r="F9" s="11">
        <v>0.15</v>
      </c>
      <c r="G9" s="12">
        <v>6.96</v>
      </c>
      <c r="H9" s="13">
        <f t="shared" si="0"/>
        <v>1.044</v>
      </c>
      <c r="I9" s="13"/>
      <c r="J9" s="14">
        <f t="shared" si="1"/>
        <v>8.0039999999999996</v>
      </c>
      <c r="K9" s="15" t="s">
        <v>19</v>
      </c>
      <c r="M9" s="24"/>
      <c r="N9" s="14"/>
      <c r="O9" s="29"/>
      <c r="P9" s="13"/>
      <c r="R9" s="13"/>
      <c r="S9" s="13">
        <v>10</v>
      </c>
      <c r="T9" s="13">
        <v>1</v>
      </c>
      <c r="U9" s="13">
        <f t="shared" si="2"/>
        <v>10</v>
      </c>
      <c r="V9" s="13"/>
    </row>
    <row r="10" spans="1:22" x14ac:dyDescent="0.3">
      <c r="A10" s="7">
        <v>45659</v>
      </c>
      <c r="B10" s="26">
        <v>25000126</v>
      </c>
      <c r="C10" s="9" t="s">
        <v>41</v>
      </c>
      <c r="D10" s="10" t="s">
        <v>42</v>
      </c>
      <c r="E10" s="9" t="s">
        <v>30</v>
      </c>
      <c r="F10" s="11">
        <v>0.15</v>
      </c>
      <c r="G10" s="12">
        <v>559.71</v>
      </c>
      <c r="H10" s="13">
        <f t="shared" si="0"/>
        <v>83.956500000000005</v>
      </c>
      <c r="I10" s="14">
        <f>H10+G10</f>
        <v>643.66650000000004</v>
      </c>
      <c r="K10" s="15" t="s">
        <v>8</v>
      </c>
      <c r="M10" s="24"/>
      <c r="N10" s="14"/>
      <c r="O10" s="29"/>
      <c r="P10" s="13"/>
      <c r="R10" s="13"/>
      <c r="S10" s="13">
        <v>5</v>
      </c>
      <c r="T10" s="13">
        <v>19</v>
      </c>
      <c r="U10" s="13">
        <f t="shared" si="2"/>
        <v>95</v>
      </c>
      <c r="V10" s="13"/>
    </row>
    <row r="11" spans="1:22" x14ac:dyDescent="0.3">
      <c r="A11" s="7">
        <v>45661</v>
      </c>
      <c r="B11" s="26">
        <v>41985</v>
      </c>
      <c r="C11" s="9" t="s">
        <v>43</v>
      </c>
      <c r="D11" s="10" t="s">
        <v>44</v>
      </c>
      <c r="E11" s="9" t="s">
        <v>30</v>
      </c>
      <c r="F11" s="11">
        <v>0.15</v>
      </c>
      <c r="G11" s="12">
        <v>930</v>
      </c>
      <c r="H11" s="13">
        <f t="shared" si="0"/>
        <v>139.5</v>
      </c>
      <c r="I11" s="14">
        <f>H11+G11</f>
        <v>1069.5</v>
      </c>
      <c r="J11" s="13"/>
      <c r="K11" s="15" t="s">
        <v>8</v>
      </c>
      <c r="M11" s="24"/>
      <c r="N11" s="14"/>
      <c r="O11" s="29"/>
      <c r="P11" s="13"/>
      <c r="R11" s="13"/>
      <c r="S11" s="13">
        <v>2</v>
      </c>
      <c r="T11" s="13"/>
      <c r="U11" s="13">
        <f t="shared" si="2"/>
        <v>0</v>
      </c>
      <c r="V11" s="13"/>
    </row>
    <row r="12" spans="1:22" ht="15" customHeight="1" x14ac:dyDescent="0.3">
      <c r="A12" s="7">
        <v>45661</v>
      </c>
      <c r="B12" s="26"/>
      <c r="C12" s="9" t="s">
        <v>45</v>
      </c>
      <c r="D12" s="10"/>
      <c r="E12" s="30" t="s">
        <v>45</v>
      </c>
      <c r="F12" s="11">
        <v>0</v>
      </c>
      <c r="G12" s="12">
        <v>200</v>
      </c>
      <c r="H12" s="13">
        <f t="shared" si="0"/>
        <v>0</v>
      </c>
      <c r="I12" s="13"/>
      <c r="J12" s="14">
        <f t="shared" si="1"/>
        <v>200</v>
      </c>
      <c r="K12" s="15" t="s">
        <v>19</v>
      </c>
      <c r="M12" s="24"/>
      <c r="N12" s="14"/>
      <c r="O12" s="29"/>
      <c r="P12" s="13"/>
      <c r="R12" s="13"/>
      <c r="S12" s="13">
        <v>1</v>
      </c>
      <c r="T12" s="13">
        <v>3</v>
      </c>
      <c r="U12" s="13">
        <f t="shared" si="2"/>
        <v>3</v>
      </c>
      <c r="V12" s="13"/>
    </row>
    <row r="13" spans="1:22" x14ac:dyDescent="0.3">
      <c r="A13" s="7">
        <v>45661</v>
      </c>
      <c r="B13" s="13"/>
      <c r="C13" s="9" t="s">
        <v>32</v>
      </c>
      <c r="D13" s="13"/>
      <c r="E13" s="30" t="s">
        <v>33</v>
      </c>
      <c r="F13" s="11">
        <v>0</v>
      </c>
      <c r="G13" s="12">
        <f>10+11</f>
        <v>21</v>
      </c>
      <c r="H13" s="13">
        <f t="shared" si="0"/>
        <v>0</v>
      </c>
      <c r="I13" s="13"/>
      <c r="J13" s="14">
        <f t="shared" si="1"/>
        <v>21</v>
      </c>
      <c r="K13" s="15" t="s">
        <v>19</v>
      </c>
      <c r="M13" s="24"/>
      <c r="N13" s="14"/>
      <c r="O13" s="29"/>
      <c r="P13" s="13"/>
      <c r="R13" s="13"/>
      <c r="S13" s="13">
        <v>0.5</v>
      </c>
      <c r="T13" s="13">
        <v>19</v>
      </c>
      <c r="U13" s="13">
        <f t="shared" si="2"/>
        <v>9.5</v>
      </c>
      <c r="V13" s="13"/>
    </row>
    <row r="14" spans="1:22" x14ac:dyDescent="0.3">
      <c r="A14" s="7">
        <v>45661</v>
      </c>
      <c r="B14" s="10">
        <v>104183006</v>
      </c>
      <c r="C14" s="9" t="s">
        <v>46</v>
      </c>
      <c r="D14" s="10" t="s">
        <v>47</v>
      </c>
      <c r="E14" s="9" t="s">
        <v>48</v>
      </c>
      <c r="F14" s="11">
        <v>0.15</v>
      </c>
      <c r="G14" s="12">
        <v>180.97</v>
      </c>
      <c r="H14" s="13">
        <f t="shared" si="0"/>
        <v>27.145499999999998</v>
      </c>
      <c r="I14" s="13"/>
      <c r="J14" s="14">
        <f t="shared" si="1"/>
        <v>208.1155</v>
      </c>
      <c r="K14" s="15" t="s">
        <v>19</v>
      </c>
      <c r="M14" s="24"/>
      <c r="N14" s="14"/>
      <c r="O14" s="29"/>
      <c r="P14" s="13"/>
      <c r="R14" s="13"/>
      <c r="S14" s="13">
        <v>0.25</v>
      </c>
      <c r="T14" s="13">
        <v>3</v>
      </c>
      <c r="U14" s="13">
        <f t="shared" si="2"/>
        <v>0.75</v>
      </c>
      <c r="V14" s="13"/>
    </row>
    <row r="15" spans="1:22" x14ac:dyDescent="0.3">
      <c r="A15" s="7">
        <v>45661</v>
      </c>
      <c r="B15" s="31">
        <v>40816</v>
      </c>
      <c r="C15" s="9" t="s">
        <v>38</v>
      </c>
      <c r="D15" s="10" t="s">
        <v>39</v>
      </c>
      <c r="E15" s="9" t="s">
        <v>49</v>
      </c>
      <c r="F15" s="11">
        <v>0.15</v>
      </c>
      <c r="G15" s="12">
        <v>9.57</v>
      </c>
      <c r="H15" s="13">
        <f t="shared" si="0"/>
        <v>1.4355</v>
      </c>
      <c r="I15" s="13"/>
      <c r="J15" s="14">
        <f t="shared" si="1"/>
        <v>11.0055</v>
      </c>
      <c r="K15" s="15" t="s">
        <v>19</v>
      </c>
      <c r="M15" s="24"/>
      <c r="N15" s="14"/>
      <c r="O15" s="29"/>
      <c r="P15" s="13"/>
      <c r="R15" s="13"/>
      <c r="S15" s="13"/>
      <c r="T15" s="13"/>
      <c r="U15" s="13">
        <f t="shared" ref="U15" si="3">S15*T15</f>
        <v>0</v>
      </c>
      <c r="V15" s="13"/>
    </row>
    <row r="16" spans="1:22" x14ac:dyDescent="0.3">
      <c r="A16" s="7">
        <v>45661</v>
      </c>
      <c r="B16" s="26">
        <v>4175302</v>
      </c>
      <c r="C16" s="9" t="s">
        <v>46</v>
      </c>
      <c r="D16" s="10" t="s">
        <v>47</v>
      </c>
      <c r="E16" s="9" t="s">
        <v>25</v>
      </c>
      <c r="F16" s="11">
        <v>0.15</v>
      </c>
      <c r="G16" s="12">
        <v>7.83</v>
      </c>
      <c r="H16" s="13">
        <f t="shared" si="0"/>
        <v>1.1744999999999999</v>
      </c>
      <c r="I16" s="13"/>
      <c r="J16" s="14">
        <f t="shared" si="1"/>
        <v>9.0045000000000002</v>
      </c>
      <c r="K16" s="15" t="s">
        <v>19</v>
      </c>
      <c r="M16" s="24"/>
      <c r="N16" s="14"/>
      <c r="O16" s="29"/>
      <c r="P16" s="13"/>
      <c r="R16" s="13" t="s">
        <v>8</v>
      </c>
      <c r="T16" s="13"/>
      <c r="U16" s="13">
        <v>521.03</v>
      </c>
      <c r="V16" s="13"/>
    </row>
    <row r="17" spans="1:22" x14ac:dyDescent="0.3">
      <c r="A17" s="7">
        <v>45662</v>
      </c>
      <c r="B17" s="26">
        <v>40921</v>
      </c>
      <c r="C17" s="9" t="s">
        <v>38</v>
      </c>
      <c r="D17" s="10" t="s">
        <v>39</v>
      </c>
      <c r="E17" s="9" t="s">
        <v>30</v>
      </c>
      <c r="F17" s="11">
        <v>0.15</v>
      </c>
      <c r="G17" s="12">
        <v>6.96</v>
      </c>
      <c r="H17" s="13">
        <f t="shared" si="0"/>
        <v>1.044</v>
      </c>
      <c r="I17" s="13"/>
      <c r="J17" s="14">
        <f t="shared" si="1"/>
        <v>8.0039999999999996</v>
      </c>
      <c r="K17" s="15" t="s">
        <v>19</v>
      </c>
      <c r="M17" s="24"/>
      <c r="N17" s="14"/>
      <c r="O17" s="29"/>
      <c r="P17" s="13"/>
      <c r="R17" s="13" t="s">
        <v>50</v>
      </c>
      <c r="T17" s="13"/>
      <c r="U17" s="32">
        <f>SUM(U4:U16)</f>
        <v>1339.28</v>
      </c>
      <c r="V17" s="13"/>
    </row>
    <row r="18" spans="1:22" x14ac:dyDescent="0.3">
      <c r="A18" s="7">
        <v>45663</v>
      </c>
      <c r="B18" s="31">
        <v>6143627</v>
      </c>
      <c r="C18" s="9" t="s">
        <v>46</v>
      </c>
      <c r="D18" s="10" t="s">
        <v>47</v>
      </c>
      <c r="E18" s="9" t="s">
        <v>51</v>
      </c>
      <c r="F18" s="11">
        <v>0.15</v>
      </c>
      <c r="G18" s="12">
        <v>247.73</v>
      </c>
      <c r="H18" s="13">
        <f t="shared" si="0"/>
        <v>37.159499999999994</v>
      </c>
      <c r="I18" s="13"/>
      <c r="J18" s="14">
        <f t="shared" si="1"/>
        <v>284.8895</v>
      </c>
      <c r="K18" s="15" t="s">
        <v>19</v>
      </c>
      <c r="M18" s="24"/>
      <c r="N18" s="13"/>
      <c r="O18" s="29"/>
      <c r="P18" s="13"/>
      <c r="R18" s="13" t="s">
        <v>52</v>
      </c>
      <c r="T18" s="13"/>
      <c r="U18" s="13">
        <v>500</v>
      </c>
      <c r="V18" s="13"/>
    </row>
    <row r="19" spans="1:22" x14ac:dyDescent="0.3">
      <c r="A19" s="7">
        <v>45663</v>
      </c>
      <c r="B19" s="31">
        <v>2788</v>
      </c>
      <c r="C19" s="9" t="s">
        <v>53</v>
      </c>
      <c r="D19" s="10" t="s">
        <v>54</v>
      </c>
      <c r="E19" s="9" t="s">
        <v>55</v>
      </c>
      <c r="F19" s="11">
        <v>0.15</v>
      </c>
      <c r="G19" s="12">
        <v>4196.74</v>
      </c>
      <c r="H19" s="13">
        <f t="shared" si="0"/>
        <v>629.51099999999997</v>
      </c>
      <c r="I19" s="14">
        <f>H19+G19</f>
        <v>4826.2510000000002</v>
      </c>
      <c r="J19" s="13"/>
      <c r="K19" s="15" t="s">
        <v>8</v>
      </c>
      <c r="M19" s="24"/>
      <c r="N19" s="13"/>
      <c r="O19" s="29"/>
      <c r="P19" s="13"/>
      <c r="R19" s="13" t="s">
        <v>56</v>
      </c>
      <c r="T19" s="13"/>
      <c r="U19" s="13">
        <f>SUM(U17:U18)</f>
        <v>1839.28</v>
      </c>
      <c r="V19" s="13"/>
    </row>
    <row r="20" spans="1:22" x14ac:dyDescent="0.3">
      <c r="A20" s="7">
        <v>45663</v>
      </c>
      <c r="B20" s="26"/>
      <c r="C20" s="9" t="s">
        <v>32</v>
      </c>
      <c r="D20" s="10"/>
      <c r="E20" s="9" t="s">
        <v>33</v>
      </c>
      <c r="F20" s="11">
        <v>0</v>
      </c>
      <c r="G20" s="12">
        <f>10+10</f>
        <v>20</v>
      </c>
      <c r="H20" s="13">
        <f t="shared" si="0"/>
        <v>0</v>
      </c>
      <c r="I20" s="13"/>
      <c r="J20" s="14">
        <f t="shared" si="1"/>
        <v>20</v>
      </c>
      <c r="K20" s="15" t="s">
        <v>19</v>
      </c>
      <c r="M20" s="33">
        <f>SUM(M4)</f>
        <v>23438.311000000002</v>
      </c>
      <c r="N20" s="34">
        <f>SUM(N4:N19)</f>
        <v>24777.59</v>
      </c>
      <c r="O20" s="34">
        <f>N20-M20</f>
        <v>1339.2789999999986</v>
      </c>
      <c r="P20" s="35">
        <f>O20-U17</f>
        <v>-1.0000000013405952E-3</v>
      </c>
    </row>
    <row r="21" spans="1:22" x14ac:dyDescent="0.3">
      <c r="A21" s="7">
        <v>45664</v>
      </c>
      <c r="B21" s="26">
        <v>2423</v>
      </c>
      <c r="C21" s="9" t="s">
        <v>57</v>
      </c>
      <c r="D21" s="10"/>
      <c r="E21" s="9" t="s">
        <v>58</v>
      </c>
      <c r="F21" s="11">
        <v>0</v>
      </c>
      <c r="G21" s="12">
        <v>287.5</v>
      </c>
      <c r="H21" s="13">
        <f t="shared" si="0"/>
        <v>0</v>
      </c>
      <c r="I21" s="13"/>
      <c r="J21" s="14">
        <f t="shared" si="1"/>
        <v>287.5</v>
      </c>
      <c r="K21" s="15" t="s">
        <v>19</v>
      </c>
      <c r="M21" s="36"/>
      <c r="N21" s="37"/>
      <c r="O21" s="37"/>
      <c r="P21" s="35"/>
    </row>
    <row r="22" spans="1:22" x14ac:dyDescent="0.3">
      <c r="A22" s="7">
        <v>45664</v>
      </c>
      <c r="B22" s="38">
        <v>149</v>
      </c>
      <c r="C22" s="9" t="s">
        <v>57</v>
      </c>
      <c r="D22" s="10"/>
      <c r="E22" s="9" t="s">
        <v>58</v>
      </c>
      <c r="F22" s="11">
        <v>0</v>
      </c>
      <c r="G22" s="12">
        <v>119.31</v>
      </c>
      <c r="H22" s="13">
        <f t="shared" si="0"/>
        <v>0</v>
      </c>
      <c r="I22" s="13"/>
      <c r="J22" s="14">
        <f t="shared" si="1"/>
        <v>119.31</v>
      </c>
      <c r="K22" s="15" t="s">
        <v>19</v>
      </c>
      <c r="M22" s="2"/>
      <c r="N22" s="21"/>
    </row>
    <row r="23" spans="1:22" x14ac:dyDescent="0.3">
      <c r="A23" s="7">
        <v>45664</v>
      </c>
      <c r="B23" s="26"/>
      <c r="C23" s="9" t="s">
        <v>59</v>
      </c>
      <c r="D23" s="10"/>
      <c r="E23" s="9" t="s">
        <v>60</v>
      </c>
      <c r="F23" s="11">
        <v>0.15</v>
      </c>
      <c r="G23" s="12">
        <v>420</v>
      </c>
      <c r="H23" s="13">
        <f t="shared" si="0"/>
        <v>63</v>
      </c>
      <c r="I23" s="13"/>
      <c r="J23" s="14">
        <f t="shared" si="1"/>
        <v>483</v>
      </c>
      <c r="K23" s="15" t="s">
        <v>19</v>
      </c>
    </row>
    <row r="24" spans="1:22" x14ac:dyDescent="0.3">
      <c r="A24" s="7">
        <v>45664</v>
      </c>
      <c r="B24" s="26"/>
      <c r="C24" s="9" t="s">
        <v>61</v>
      </c>
      <c r="D24" s="10"/>
      <c r="E24" s="9" t="s">
        <v>33</v>
      </c>
      <c r="F24" s="11">
        <v>0</v>
      </c>
      <c r="G24" s="12">
        <v>26.34</v>
      </c>
      <c r="H24" s="13">
        <f t="shared" si="0"/>
        <v>0</v>
      </c>
      <c r="I24" s="13"/>
      <c r="J24" s="14">
        <f t="shared" si="1"/>
        <v>26.34</v>
      </c>
      <c r="K24" s="15" t="s">
        <v>19</v>
      </c>
    </row>
    <row r="25" spans="1:22" x14ac:dyDescent="0.3">
      <c r="A25" s="7">
        <v>45664</v>
      </c>
      <c r="B25" s="26">
        <v>41276</v>
      </c>
      <c r="C25" s="9" t="s">
        <v>38</v>
      </c>
      <c r="D25" s="10" t="s">
        <v>39</v>
      </c>
      <c r="E25" s="9" t="s">
        <v>40</v>
      </c>
      <c r="F25" s="11">
        <v>0.15</v>
      </c>
      <c r="G25" s="12">
        <v>6.96</v>
      </c>
      <c r="H25" s="13">
        <f t="shared" si="0"/>
        <v>1.044</v>
      </c>
      <c r="I25" s="13"/>
      <c r="J25" s="14">
        <f t="shared" si="1"/>
        <v>8.0039999999999996</v>
      </c>
      <c r="K25" s="15" t="s">
        <v>19</v>
      </c>
    </row>
    <row r="26" spans="1:22" x14ac:dyDescent="0.3">
      <c r="A26" s="7">
        <v>45665</v>
      </c>
      <c r="B26" s="8">
        <v>172713</v>
      </c>
      <c r="C26" s="9" t="s">
        <v>46</v>
      </c>
      <c r="D26" s="10" t="s">
        <v>47</v>
      </c>
      <c r="E26" s="9" t="s">
        <v>48</v>
      </c>
      <c r="F26" s="11">
        <v>0.15</v>
      </c>
      <c r="G26" s="12">
        <v>178.41</v>
      </c>
      <c r="H26" s="13">
        <f t="shared" si="0"/>
        <v>26.761499999999998</v>
      </c>
      <c r="I26" s="13"/>
      <c r="J26" s="14">
        <f t="shared" si="1"/>
        <v>205.17149999999998</v>
      </c>
      <c r="K26" s="15" t="s">
        <v>19</v>
      </c>
    </row>
    <row r="27" spans="1:22" x14ac:dyDescent="0.3">
      <c r="A27" s="7">
        <v>45665</v>
      </c>
      <c r="B27" s="8"/>
      <c r="C27" s="9" t="s">
        <v>32</v>
      </c>
      <c r="D27" s="10"/>
      <c r="E27" s="9" t="s">
        <v>33</v>
      </c>
      <c r="F27" s="11">
        <v>0</v>
      </c>
      <c r="G27" s="12">
        <f>10+11</f>
        <v>21</v>
      </c>
      <c r="H27" s="13">
        <f t="shared" si="0"/>
        <v>0</v>
      </c>
      <c r="I27" s="13"/>
      <c r="J27" s="14">
        <f t="shared" si="1"/>
        <v>21</v>
      </c>
      <c r="K27" s="15" t="s">
        <v>19</v>
      </c>
    </row>
    <row r="28" spans="1:22" x14ac:dyDescent="0.3">
      <c r="A28" s="7">
        <v>45665</v>
      </c>
      <c r="B28" s="26">
        <v>581</v>
      </c>
      <c r="C28" s="9" t="s">
        <v>62</v>
      </c>
      <c r="D28" s="10" t="s">
        <v>63</v>
      </c>
      <c r="E28" s="39" t="s">
        <v>64</v>
      </c>
      <c r="F28" s="11">
        <v>0.15</v>
      </c>
      <c r="G28" s="12">
        <v>159.13</v>
      </c>
      <c r="H28" s="13">
        <f t="shared" si="0"/>
        <v>23.869499999999999</v>
      </c>
      <c r="I28" s="13"/>
      <c r="J28" s="14">
        <f t="shared" si="1"/>
        <v>182.99949999999998</v>
      </c>
      <c r="K28" s="15" t="s">
        <v>19</v>
      </c>
    </row>
    <row r="29" spans="1:22" x14ac:dyDescent="0.3">
      <c r="A29" s="7">
        <v>45665</v>
      </c>
      <c r="B29" s="26">
        <v>232041571</v>
      </c>
      <c r="C29" s="9" t="s">
        <v>38</v>
      </c>
      <c r="D29" s="10" t="s">
        <v>39</v>
      </c>
      <c r="E29" s="9" t="s">
        <v>36</v>
      </c>
      <c r="F29" s="11">
        <v>0.15</v>
      </c>
      <c r="G29" s="12">
        <v>44.35</v>
      </c>
      <c r="H29" s="13">
        <f t="shared" si="0"/>
        <v>6.6524999999999999</v>
      </c>
      <c r="I29" s="13"/>
      <c r="J29" s="14">
        <f t="shared" si="1"/>
        <v>51.002499999999998</v>
      </c>
      <c r="K29" s="15" t="s">
        <v>19</v>
      </c>
    </row>
    <row r="30" spans="1:22" x14ac:dyDescent="0.3">
      <c r="A30" s="7">
        <v>45665</v>
      </c>
      <c r="B30" s="26"/>
      <c r="C30" s="9" t="s">
        <v>32</v>
      </c>
      <c r="D30" s="10"/>
      <c r="E30" s="9" t="s">
        <v>33</v>
      </c>
      <c r="F30" s="11">
        <v>0</v>
      </c>
      <c r="G30" s="12">
        <f>13+10</f>
        <v>23</v>
      </c>
      <c r="H30" s="13">
        <f t="shared" si="0"/>
        <v>0</v>
      </c>
      <c r="I30" s="13"/>
      <c r="J30" s="14">
        <f t="shared" si="1"/>
        <v>23</v>
      </c>
      <c r="K30" s="15" t="s">
        <v>19</v>
      </c>
    </row>
    <row r="31" spans="1:22" x14ac:dyDescent="0.3">
      <c r="A31" s="7">
        <v>45665</v>
      </c>
      <c r="B31" s="8">
        <v>105</v>
      </c>
      <c r="C31" s="9" t="s">
        <v>65</v>
      </c>
      <c r="D31" s="10" t="s">
        <v>66</v>
      </c>
      <c r="E31" s="9" t="s">
        <v>18</v>
      </c>
      <c r="F31" s="11">
        <v>0.15</v>
      </c>
      <c r="G31" s="12">
        <v>1113.04</v>
      </c>
      <c r="H31" s="13">
        <f t="shared" si="0"/>
        <v>166.95599999999999</v>
      </c>
      <c r="I31" s="13"/>
      <c r="J31" s="14">
        <f t="shared" si="1"/>
        <v>1279.9959999999999</v>
      </c>
      <c r="K31" s="15" t="s">
        <v>19</v>
      </c>
    </row>
    <row r="32" spans="1:22" x14ac:dyDescent="0.3">
      <c r="A32" s="7">
        <v>45665</v>
      </c>
      <c r="B32" s="26">
        <v>25000559</v>
      </c>
      <c r="C32" s="9" t="s">
        <v>41</v>
      </c>
      <c r="D32" s="10" t="s">
        <v>42</v>
      </c>
      <c r="E32" s="9" t="s">
        <v>67</v>
      </c>
      <c r="F32" s="11">
        <v>0.15</v>
      </c>
      <c r="G32" s="12">
        <v>320</v>
      </c>
      <c r="H32" s="13">
        <f t="shared" si="0"/>
        <v>48</v>
      </c>
      <c r="I32" s="13"/>
      <c r="J32" s="14">
        <f t="shared" si="1"/>
        <v>368</v>
      </c>
      <c r="K32" s="15" t="s">
        <v>19</v>
      </c>
    </row>
    <row r="33" spans="1:11" x14ac:dyDescent="0.3">
      <c r="A33" s="7">
        <v>45665</v>
      </c>
      <c r="B33" s="26">
        <v>53589</v>
      </c>
      <c r="C33" s="9" t="s">
        <v>68</v>
      </c>
      <c r="D33" s="10" t="s">
        <v>69</v>
      </c>
      <c r="E33" s="9" t="s">
        <v>70</v>
      </c>
      <c r="F33" s="11">
        <v>0.15</v>
      </c>
      <c r="G33" s="12">
        <v>934.78</v>
      </c>
      <c r="H33" s="13">
        <f t="shared" si="0"/>
        <v>140.21699999999998</v>
      </c>
      <c r="I33" s="13"/>
      <c r="J33" s="14">
        <f t="shared" si="1"/>
        <v>1074.9969999999998</v>
      </c>
      <c r="K33" s="15" t="s">
        <v>19</v>
      </c>
    </row>
    <row r="34" spans="1:11" x14ac:dyDescent="0.3">
      <c r="A34" s="40">
        <v>45666</v>
      </c>
      <c r="B34" s="26">
        <v>102428</v>
      </c>
      <c r="C34" s="9" t="s">
        <v>71</v>
      </c>
      <c r="D34" s="10" t="s">
        <v>72</v>
      </c>
      <c r="E34" s="9" t="s">
        <v>48</v>
      </c>
      <c r="F34" s="41">
        <v>0.15</v>
      </c>
      <c r="G34" s="12">
        <v>208.43</v>
      </c>
      <c r="H34" s="13">
        <f t="shared" si="0"/>
        <v>31.264499999999998</v>
      </c>
      <c r="I34" s="13"/>
      <c r="J34" s="14">
        <f t="shared" si="1"/>
        <v>239.69450000000001</v>
      </c>
      <c r="K34" s="15" t="s">
        <v>19</v>
      </c>
    </row>
    <row r="35" spans="1:11" x14ac:dyDescent="0.3">
      <c r="A35" s="7">
        <v>45666</v>
      </c>
      <c r="B35" s="26"/>
      <c r="C35" s="9" t="s">
        <v>32</v>
      </c>
      <c r="D35" s="10"/>
      <c r="E35" s="9" t="s">
        <v>33</v>
      </c>
      <c r="F35" s="11">
        <v>0</v>
      </c>
      <c r="G35" s="12">
        <f>10+10</f>
        <v>20</v>
      </c>
      <c r="H35" s="13">
        <f t="shared" si="0"/>
        <v>0</v>
      </c>
      <c r="I35" s="13"/>
      <c r="J35" s="14">
        <f t="shared" si="1"/>
        <v>20</v>
      </c>
      <c r="K35" s="15" t="s">
        <v>19</v>
      </c>
    </row>
    <row r="36" spans="1:11" x14ac:dyDescent="0.3">
      <c r="A36" s="7">
        <v>45666</v>
      </c>
      <c r="B36" s="8"/>
      <c r="C36" s="9" t="s">
        <v>65</v>
      </c>
      <c r="D36" s="10" t="s">
        <v>66</v>
      </c>
      <c r="E36" s="9" t="s">
        <v>18</v>
      </c>
      <c r="F36" s="11">
        <v>0.15</v>
      </c>
      <c r="G36" s="12">
        <v>5565.22</v>
      </c>
      <c r="H36" s="13">
        <f t="shared" si="0"/>
        <v>834.78300000000002</v>
      </c>
      <c r="I36" s="14">
        <f>H36+G36</f>
        <v>6400.0030000000006</v>
      </c>
      <c r="J36" s="13"/>
      <c r="K36" s="15" t="s">
        <v>8</v>
      </c>
    </row>
    <row r="37" spans="1:11" x14ac:dyDescent="0.3">
      <c r="A37" s="7">
        <v>45666</v>
      </c>
      <c r="B37" s="26"/>
      <c r="C37" s="9" t="s">
        <v>34</v>
      </c>
      <c r="D37" s="10" t="s">
        <v>35</v>
      </c>
      <c r="E37" s="9" t="s">
        <v>36</v>
      </c>
      <c r="F37" s="11">
        <v>0.15</v>
      </c>
      <c r="G37" s="12">
        <v>402</v>
      </c>
      <c r="H37" s="13">
        <f t="shared" si="0"/>
        <v>60.3</v>
      </c>
      <c r="I37" s="13"/>
      <c r="J37" s="14">
        <f t="shared" si="1"/>
        <v>462.3</v>
      </c>
      <c r="K37" s="15" t="s">
        <v>19</v>
      </c>
    </row>
    <row r="38" spans="1:11" x14ac:dyDescent="0.3">
      <c r="A38" s="7">
        <v>45667</v>
      </c>
      <c r="B38" s="8">
        <v>41931</v>
      </c>
      <c r="C38" s="9" t="s">
        <v>38</v>
      </c>
      <c r="D38" s="10" t="s">
        <v>39</v>
      </c>
      <c r="E38" s="9" t="s">
        <v>73</v>
      </c>
      <c r="F38" s="11">
        <v>0.15</v>
      </c>
      <c r="G38" s="12">
        <v>3.48</v>
      </c>
      <c r="H38" s="13">
        <f t="shared" si="0"/>
        <v>0.52200000000000002</v>
      </c>
      <c r="I38" s="13"/>
      <c r="J38" s="14">
        <f t="shared" si="1"/>
        <v>4.0019999999999998</v>
      </c>
      <c r="K38" s="15" t="s">
        <v>19</v>
      </c>
    </row>
    <row r="39" spans="1:11" x14ac:dyDescent="0.3">
      <c r="A39" s="7">
        <v>45667</v>
      </c>
      <c r="B39" s="26">
        <v>190219</v>
      </c>
      <c r="C39" s="9" t="s">
        <v>46</v>
      </c>
      <c r="D39" s="10" t="s">
        <v>47</v>
      </c>
      <c r="E39" s="9" t="s">
        <v>48</v>
      </c>
      <c r="F39" s="11">
        <v>0.15</v>
      </c>
      <c r="G39" s="12">
        <v>119</v>
      </c>
      <c r="H39" s="13">
        <f t="shared" si="0"/>
        <v>17.849999999999998</v>
      </c>
      <c r="I39" s="13"/>
      <c r="J39" s="14">
        <f t="shared" si="1"/>
        <v>136.85</v>
      </c>
      <c r="K39" s="15" t="s">
        <v>19</v>
      </c>
    </row>
    <row r="40" spans="1:11" x14ac:dyDescent="0.3">
      <c r="A40" s="7">
        <v>45667</v>
      </c>
      <c r="B40" s="8">
        <v>750</v>
      </c>
      <c r="C40" s="9" t="s">
        <v>74</v>
      </c>
      <c r="D40" s="10" t="s">
        <v>75</v>
      </c>
      <c r="E40" s="39" t="s">
        <v>76</v>
      </c>
      <c r="F40" s="11">
        <v>0.15</v>
      </c>
      <c r="G40" s="12">
        <v>100.87</v>
      </c>
      <c r="H40" s="13">
        <f t="shared" si="0"/>
        <v>15.1305</v>
      </c>
      <c r="I40" s="13"/>
      <c r="J40" s="14">
        <f t="shared" si="1"/>
        <v>116.0005</v>
      </c>
      <c r="K40" s="15" t="s">
        <v>19</v>
      </c>
    </row>
    <row r="41" spans="1:11" x14ac:dyDescent="0.3">
      <c r="A41" s="7">
        <v>45667</v>
      </c>
      <c r="B41" s="8"/>
      <c r="C41" s="9" t="s">
        <v>32</v>
      </c>
      <c r="D41" s="10"/>
      <c r="E41" s="39" t="s">
        <v>33</v>
      </c>
      <c r="F41" s="11">
        <v>0</v>
      </c>
      <c r="G41" s="12">
        <f>10+10+15+15</f>
        <v>50</v>
      </c>
      <c r="H41" s="13">
        <f t="shared" si="0"/>
        <v>0</v>
      </c>
      <c r="I41" s="13"/>
      <c r="J41" s="14">
        <f t="shared" si="1"/>
        <v>50</v>
      </c>
      <c r="K41" s="15" t="s">
        <v>19</v>
      </c>
    </row>
    <row r="42" spans="1:11" x14ac:dyDescent="0.3">
      <c r="A42" s="7">
        <v>45668</v>
      </c>
      <c r="B42" s="8">
        <v>30000078</v>
      </c>
      <c r="C42" s="9" t="s">
        <v>77</v>
      </c>
      <c r="D42" s="10" t="s">
        <v>78</v>
      </c>
      <c r="E42" s="39" t="s">
        <v>79</v>
      </c>
      <c r="F42" s="11">
        <v>0.15</v>
      </c>
      <c r="G42" s="12">
        <v>188.04</v>
      </c>
      <c r="H42" s="13">
        <f t="shared" si="0"/>
        <v>28.206</v>
      </c>
      <c r="I42" s="13"/>
      <c r="J42" s="14">
        <f t="shared" si="1"/>
        <v>216.24599999999998</v>
      </c>
      <c r="K42" s="15" t="s">
        <v>19</v>
      </c>
    </row>
    <row r="43" spans="1:11" x14ac:dyDescent="0.3">
      <c r="A43" s="7">
        <v>45669</v>
      </c>
      <c r="B43" s="8">
        <v>42247</v>
      </c>
      <c r="C43" s="9" t="s">
        <v>38</v>
      </c>
      <c r="D43" s="10" t="s">
        <v>39</v>
      </c>
      <c r="E43" s="39" t="s">
        <v>30</v>
      </c>
      <c r="F43" s="11">
        <v>0.15</v>
      </c>
      <c r="G43" s="12">
        <v>6.09</v>
      </c>
      <c r="H43" s="13">
        <f t="shared" si="0"/>
        <v>0.91349999999999998</v>
      </c>
      <c r="I43" s="13"/>
      <c r="J43" s="14">
        <f t="shared" si="1"/>
        <v>7.0034999999999998</v>
      </c>
      <c r="K43" s="15" t="s">
        <v>19</v>
      </c>
    </row>
    <row r="44" spans="1:11" x14ac:dyDescent="0.3">
      <c r="A44" s="7">
        <v>45669</v>
      </c>
      <c r="B44" s="8"/>
      <c r="C44" s="9" t="s">
        <v>80</v>
      </c>
      <c r="D44" s="10"/>
      <c r="E44" s="9" t="s">
        <v>81</v>
      </c>
      <c r="F44" s="11">
        <v>0</v>
      </c>
      <c r="G44" s="12">
        <v>157</v>
      </c>
      <c r="H44" s="13">
        <f t="shared" si="0"/>
        <v>0</v>
      </c>
      <c r="I44" s="13"/>
      <c r="J44" s="14">
        <f t="shared" si="1"/>
        <v>157</v>
      </c>
      <c r="K44" s="15" t="s">
        <v>19</v>
      </c>
    </row>
    <row r="45" spans="1:11" x14ac:dyDescent="0.3">
      <c r="A45" s="7">
        <v>45670</v>
      </c>
      <c r="B45" s="8">
        <v>1113</v>
      </c>
      <c r="C45" s="9" t="s">
        <v>41</v>
      </c>
      <c r="D45" s="10" t="s">
        <v>42</v>
      </c>
      <c r="E45" s="9" t="s">
        <v>82</v>
      </c>
      <c r="F45" s="11">
        <v>0.15</v>
      </c>
      <c r="G45" s="12">
        <v>1855</v>
      </c>
      <c r="H45" s="13">
        <f t="shared" si="0"/>
        <v>278.25</v>
      </c>
      <c r="I45" s="14">
        <f>H45+G45</f>
        <v>2133.25</v>
      </c>
      <c r="J45" s="13"/>
      <c r="K45" s="15" t="s">
        <v>8</v>
      </c>
    </row>
    <row r="46" spans="1:11" x14ac:dyDescent="0.3">
      <c r="A46" s="7">
        <v>45670</v>
      </c>
      <c r="B46" s="8">
        <v>7125</v>
      </c>
      <c r="C46" s="9" t="s">
        <v>28</v>
      </c>
      <c r="D46" s="10" t="s">
        <v>29</v>
      </c>
      <c r="E46" s="39" t="s">
        <v>30</v>
      </c>
      <c r="F46" s="11">
        <v>0.15</v>
      </c>
      <c r="G46" s="12">
        <v>86.96</v>
      </c>
      <c r="H46" s="13">
        <f t="shared" si="0"/>
        <v>13.043999999999999</v>
      </c>
      <c r="I46" s="13"/>
      <c r="J46" s="14">
        <f t="shared" si="1"/>
        <v>100.00399999999999</v>
      </c>
      <c r="K46" s="15" t="s">
        <v>19</v>
      </c>
    </row>
    <row r="47" spans="1:11" x14ac:dyDescent="0.3">
      <c r="A47" s="7">
        <v>45670</v>
      </c>
      <c r="B47" s="26">
        <v>317719</v>
      </c>
      <c r="C47" s="9" t="s">
        <v>23</v>
      </c>
      <c r="D47" s="10" t="s">
        <v>24</v>
      </c>
      <c r="E47" s="39" t="s">
        <v>30</v>
      </c>
      <c r="F47" s="11">
        <v>0.15</v>
      </c>
      <c r="G47" s="12">
        <v>144.05000000000001</v>
      </c>
      <c r="H47" s="13">
        <f t="shared" si="0"/>
        <v>21.607500000000002</v>
      </c>
      <c r="I47" s="13"/>
      <c r="J47" s="14">
        <f t="shared" si="1"/>
        <v>165.65750000000003</v>
      </c>
      <c r="K47" s="15" t="s">
        <v>19</v>
      </c>
    </row>
    <row r="48" spans="1:11" x14ac:dyDescent="0.3">
      <c r="A48" s="7">
        <v>45670</v>
      </c>
      <c r="B48" s="8"/>
      <c r="C48" s="9" t="s">
        <v>83</v>
      </c>
      <c r="D48" s="10"/>
      <c r="E48" s="39" t="s">
        <v>84</v>
      </c>
      <c r="F48" s="11">
        <v>0</v>
      </c>
      <c r="G48" s="12">
        <v>450</v>
      </c>
      <c r="H48" s="13">
        <f t="shared" si="0"/>
        <v>0</v>
      </c>
      <c r="I48" s="13"/>
      <c r="J48" s="14">
        <f t="shared" si="1"/>
        <v>450</v>
      </c>
      <c r="K48" s="15" t="s">
        <v>19</v>
      </c>
    </row>
    <row r="49" spans="1:14" x14ac:dyDescent="0.3">
      <c r="A49" s="7">
        <v>45670</v>
      </c>
      <c r="B49" s="26"/>
      <c r="C49" s="9" t="s">
        <v>32</v>
      </c>
      <c r="D49" s="10"/>
      <c r="E49" s="9" t="s">
        <v>85</v>
      </c>
      <c r="F49" s="11">
        <v>0</v>
      </c>
      <c r="G49" s="12">
        <f>10+14+18</f>
        <v>42</v>
      </c>
      <c r="H49" s="13">
        <f t="shared" si="0"/>
        <v>0</v>
      </c>
      <c r="I49" s="13"/>
      <c r="J49" s="14">
        <f t="shared" si="1"/>
        <v>42</v>
      </c>
      <c r="K49" s="15" t="s">
        <v>19</v>
      </c>
    </row>
    <row r="50" spans="1:14" x14ac:dyDescent="0.3">
      <c r="A50" s="7">
        <v>45671</v>
      </c>
      <c r="B50" s="31">
        <v>121793</v>
      </c>
      <c r="C50" s="9" t="s">
        <v>34</v>
      </c>
      <c r="D50" s="10" t="s">
        <v>35</v>
      </c>
      <c r="E50" s="13" t="s">
        <v>36</v>
      </c>
      <c r="F50" s="41">
        <v>0.15</v>
      </c>
      <c r="G50" s="12">
        <v>276</v>
      </c>
      <c r="H50" s="13">
        <f t="shared" si="0"/>
        <v>41.4</v>
      </c>
      <c r="I50" s="13"/>
      <c r="J50" s="14">
        <f t="shared" si="1"/>
        <v>317.39999999999998</v>
      </c>
      <c r="K50" s="15" t="s">
        <v>19</v>
      </c>
    </row>
    <row r="51" spans="1:14" x14ac:dyDescent="0.3">
      <c r="A51" s="7">
        <v>45671</v>
      </c>
      <c r="B51" s="26">
        <v>114203038</v>
      </c>
      <c r="C51" s="9" t="s">
        <v>46</v>
      </c>
      <c r="D51" s="10" t="s">
        <v>47</v>
      </c>
      <c r="E51" s="39" t="s">
        <v>30</v>
      </c>
      <c r="F51" s="11">
        <v>0.15</v>
      </c>
      <c r="G51" s="12">
        <v>103.07</v>
      </c>
      <c r="H51" s="13">
        <f t="shared" si="0"/>
        <v>15.460499999999998</v>
      </c>
      <c r="I51" s="13"/>
      <c r="J51" s="14">
        <f t="shared" si="1"/>
        <v>118.53049999999999</v>
      </c>
      <c r="K51" s="15" t="s">
        <v>19</v>
      </c>
    </row>
    <row r="52" spans="1:14" x14ac:dyDescent="0.3">
      <c r="A52" s="7">
        <v>45671</v>
      </c>
      <c r="B52" s="26"/>
      <c r="C52" s="9" t="s">
        <v>32</v>
      </c>
      <c r="D52" s="10"/>
      <c r="E52" s="39" t="s">
        <v>33</v>
      </c>
      <c r="F52" s="11">
        <v>0</v>
      </c>
      <c r="G52" s="12">
        <f>10+10</f>
        <v>20</v>
      </c>
      <c r="H52" s="13">
        <f t="shared" si="0"/>
        <v>0</v>
      </c>
      <c r="I52" s="13"/>
      <c r="J52" s="14">
        <f t="shared" si="1"/>
        <v>20</v>
      </c>
      <c r="K52" s="15" t="s">
        <v>19</v>
      </c>
    </row>
    <row r="53" spans="1:14" x14ac:dyDescent="0.3">
      <c r="A53" s="7">
        <v>45672</v>
      </c>
      <c r="B53" s="8">
        <v>42911</v>
      </c>
      <c r="C53" s="9" t="s">
        <v>38</v>
      </c>
      <c r="D53" s="10" t="s">
        <v>39</v>
      </c>
      <c r="E53" s="39" t="s">
        <v>86</v>
      </c>
      <c r="F53" s="11">
        <v>0.15</v>
      </c>
      <c r="G53" s="12">
        <v>3.48</v>
      </c>
      <c r="H53" s="13">
        <f t="shared" si="0"/>
        <v>0.52200000000000002</v>
      </c>
      <c r="I53" s="13"/>
      <c r="J53" s="14">
        <f t="shared" si="1"/>
        <v>4.0019999999999998</v>
      </c>
      <c r="K53" s="15" t="s">
        <v>19</v>
      </c>
    </row>
    <row r="54" spans="1:14" x14ac:dyDescent="0.3">
      <c r="A54" s="7">
        <v>45672</v>
      </c>
      <c r="B54" s="26">
        <v>4653083</v>
      </c>
      <c r="C54" s="9" t="s">
        <v>87</v>
      </c>
      <c r="D54" s="10" t="s">
        <v>88</v>
      </c>
      <c r="E54" s="39" t="s">
        <v>33</v>
      </c>
      <c r="F54" s="11">
        <v>0.15</v>
      </c>
      <c r="G54" s="12">
        <v>379.06</v>
      </c>
      <c r="H54" s="13">
        <f t="shared" si="0"/>
        <v>56.859000000000002</v>
      </c>
      <c r="I54" s="13"/>
      <c r="J54" s="14">
        <f t="shared" si="1"/>
        <v>435.91899999999998</v>
      </c>
      <c r="K54" s="15" t="s">
        <v>19</v>
      </c>
    </row>
    <row r="55" spans="1:14" x14ac:dyDescent="0.3">
      <c r="A55" s="7">
        <v>45672</v>
      </c>
      <c r="B55" s="26">
        <v>11512</v>
      </c>
      <c r="C55" s="9" t="s">
        <v>89</v>
      </c>
      <c r="D55" s="10" t="s">
        <v>90</v>
      </c>
      <c r="E55" s="39" t="s">
        <v>33</v>
      </c>
      <c r="F55" s="11">
        <v>0.15</v>
      </c>
      <c r="G55" s="12">
        <f>170-22.17</f>
        <v>147.82999999999998</v>
      </c>
      <c r="H55" s="13">
        <f t="shared" si="0"/>
        <v>22.174499999999998</v>
      </c>
      <c r="I55" s="13"/>
      <c r="J55" s="14">
        <f t="shared" si="1"/>
        <v>170.00449999999998</v>
      </c>
      <c r="K55" s="15" t="s">
        <v>19</v>
      </c>
    </row>
    <row r="56" spans="1:14" x14ac:dyDescent="0.3">
      <c r="A56" s="7">
        <v>45672</v>
      </c>
      <c r="B56" s="26"/>
      <c r="C56" s="9" t="s">
        <v>91</v>
      </c>
      <c r="D56" s="10"/>
      <c r="E56" s="39" t="s">
        <v>33</v>
      </c>
      <c r="F56" s="11">
        <v>0</v>
      </c>
      <c r="G56" s="12">
        <v>15</v>
      </c>
      <c r="H56" s="13">
        <f t="shared" si="0"/>
        <v>0</v>
      </c>
      <c r="I56" s="13"/>
      <c r="J56" s="14">
        <f t="shared" si="1"/>
        <v>15</v>
      </c>
      <c r="K56" s="15" t="s">
        <v>19</v>
      </c>
    </row>
    <row r="57" spans="1:14" x14ac:dyDescent="0.3">
      <c r="A57" s="7">
        <v>45673</v>
      </c>
      <c r="B57" s="26">
        <v>2835</v>
      </c>
      <c r="C57" s="9" t="s">
        <v>53</v>
      </c>
      <c r="D57" s="10" t="s">
        <v>54</v>
      </c>
      <c r="E57" s="39" t="s">
        <v>92</v>
      </c>
      <c r="F57" s="11">
        <v>0.15</v>
      </c>
      <c r="G57" s="12">
        <v>5329.57</v>
      </c>
      <c r="H57" s="13">
        <f t="shared" si="0"/>
        <v>799.43549999999993</v>
      </c>
      <c r="I57" s="14">
        <f>H57+G57</f>
        <v>6129.0054999999993</v>
      </c>
      <c r="J57" s="13"/>
      <c r="K57" s="15" t="s">
        <v>8</v>
      </c>
    </row>
    <row r="58" spans="1:14" x14ac:dyDescent="0.3">
      <c r="A58" s="7">
        <v>45674</v>
      </c>
      <c r="B58" s="26"/>
      <c r="C58" s="9" t="s">
        <v>91</v>
      </c>
      <c r="D58" s="10"/>
      <c r="E58" s="39" t="s">
        <v>93</v>
      </c>
      <c r="F58" s="11">
        <v>0</v>
      </c>
      <c r="G58" s="12">
        <v>40</v>
      </c>
      <c r="H58" s="13">
        <f t="shared" si="0"/>
        <v>0</v>
      </c>
      <c r="I58" s="13"/>
      <c r="J58" s="14">
        <f t="shared" si="1"/>
        <v>40</v>
      </c>
      <c r="K58" s="15" t="s">
        <v>19</v>
      </c>
      <c r="N58" s="21"/>
    </row>
    <row r="59" spans="1:14" x14ac:dyDescent="0.3">
      <c r="A59" s="7">
        <v>45674</v>
      </c>
      <c r="B59" s="26">
        <v>213733</v>
      </c>
      <c r="C59" s="9" t="s">
        <v>46</v>
      </c>
      <c r="D59" s="10" t="s">
        <v>47</v>
      </c>
      <c r="E59" s="9" t="s">
        <v>94</v>
      </c>
      <c r="F59" s="11">
        <v>0.15</v>
      </c>
      <c r="G59" s="12">
        <v>425.79</v>
      </c>
      <c r="H59" s="13">
        <f t="shared" si="0"/>
        <v>63.868499999999997</v>
      </c>
      <c r="I59" s="13"/>
      <c r="J59" s="14">
        <f t="shared" si="1"/>
        <v>489.6585</v>
      </c>
      <c r="K59" s="15" t="s">
        <v>19</v>
      </c>
    </row>
    <row r="60" spans="1:14" x14ac:dyDescent="0.3">
      <c r="A60" s="7">
        <v>45674</v>
      </c>
      <c r="B60" s="26">
        <v>5300</v>
      </c>
      <c r="C60" s="9" t="s">
        <v>95</v>
      </c>
      <c r="D60" s="10" t="s">
        <v>96</v>
      </c>
      <c r="E60" s="9" t="s">
        <v>97</v>
      </c>
      <c r="F60" s="11">
        <v>0.15</v>
      </c>
      <c r="G60" s="12">
        <v>173.91</v>
      </c>
      <c r="H60" s="13">
        <f t="shared" si="0"/>
        <v>26.086499999999997</v>
      </c>
      <c r="I60" s="13"/>
      <c r="J60" s="14">
        <f t="shared" si="1"/>
        <v>199.9965</v>
      </c>
      <c r="K60" s="15" t="s">
        <v>19</v>
      </c>
    </row>
    <row r="61" spans="1:14" x14ac:dyDescent="0.3">
      <c r="A61" s="7">
        <v>45674</v>
      </c>
      <c r="B61" s="26">
        <v>1285</v>
      </c>
      <c r="C61" s="9" t="s">
        <v>74</v>
      </c>
      <c r="D61" s="10" t="s">
        <v>75</v>
      </c>
      <c r="E61" s="9" t="s">
        <v>98</v>
      </c>
      <c r="F61" s="11">
        <v>0.15</v>
      </c>
      <c r="G61" s="12">
        <v>28.69</v>
      </c>
      <c r="H61" s="13">
        <f t="shared" si="0"/>
        <v>4.3034999999999997</v>
      </c>
      <c r="I61" s="13"/>
      <c r="J61" s="14">
        <v>33</v>
      </c>
      <c r="K61" s="15" t="s">
        <v>19</v>
      </c>
    </row>
    <row r="62" spans="1:14" x14ac:dyDescent="0.3">
      <c r="A62" s="7">
        <v>45674</v>
      </c>
      <c r="B62" s="8" t="s">
        <v>99</v>
      </c>
      <c r="C62" s="9" t="s">
        <v>100</v>
      </c>
      <c r="D62" s="10" t="s">
        <v>101</v>
      </c>
      <c r="E62" s="9" t="s">
        <v>94</v>
      </c>
      <c r="F62" s="11">
        <v>0.15</v>
      </c>
      <c r="G62" s="12">
        <v>330.44</v>
      </c>
      <c r="H62" s="13">
        <f t="shared" si="0"/>
        <v>49.565999999999995</v>
      </c>
      <c r="I62" s="13"/>
      <c r="J62" s="14">
        <f t="shared" si="1"/>
        <v>380.00599999999997</v>
      </c>
      <c r="K62" s="15" t="s">
        <v>19</v>
      </c>
    </row>
    <row r="63" spans="1:14" x14ac:dyDescent="0.3">
      <c r="A63" s="7">
        <v>45674</v>
      </c>
      <c r="B63" s="26"/>
      <c r="C63" s="9" t="s">
        <v>32</v>
      </c>
      <c r="D63" s="10"/>
      <c r="E63" s="42" t="s">
        <v>33</v>
      </c>
      <c r="F63" s="11">
        <v>0</v>
      </c>
      <c r="G63" s="12">
        <f>10+16+10+14</f>
        <v>50</v>
      </c>
      <c r="H63" s="13">
        <f t="shared" si="0"/>
        <v>0</v>
      </c>
      <c r="I63" s="13"/>
      <c r="J63" s="14">
        <f t="shared" si="1"/>
        <v>50</v>
      </c>
      <c r="K63" s="15" t="s">
        <v>19</v>
      </c>
    </row>
    <row r="64" spans="1:14" x14ac:dyDescent="0.3">
      <c r="A64" s="7">
        <v>45675</v>
      </c>
      <c r="B64" s="26">
        <v>43351</v>
      </c>
      <c r="C64" s="9" t="s">
        <v>38</v>
      </c>
      <c r="D64" s="10" t="s">
        <v>39</v>
      </c>
      <c r="E64" s="9" t="s">
        <v>102</v>
      </c>
      <c r="F64" s="11">
        <v>0.15</v>
      </c>
      <c r="G64" s="12">
        <v>1.74</v>
      </c>
      <c r="H64" s="13">
        <f t="shared" si="0"/>
        <v>0.26100000000000001</v>
      </c>
      <c r="I64" s="13"/>
      <c r="J64" s="14">
        <f t="shared" si="1"/>
        <v>2.0009999999999999</v>
      </c>
      <c r="K64" s="15" t="s">
        <v>19</v>
      </c>
    </row>
    <row r="65" spans="1:11" x14ac:dyDescent="0.3">
      <c r="A65" s="7">
        <v>45675</v>
      </c>
      <c r="B65" s="8">
        <v>224618</v>
      </c>
      <c r="C65" s="9" t="s">
        <v>46</v>
      </c>
      <c r="D65" s="10" t="s">
        <v>47</v>
      </c>
      <c r="E65" s="13" t="s">
        <v>94</v>
      </c>
      <c r="F65" s="11">
        <v>0.15</v>
      </c>
      <c r="G65" s="12">
        <v>117.39</v>
      </c>
      <c r="H65" s="13">
        <f t="shared" si="0"/>
        <v>17.608499999999999</v>
      </c>
      <c r="I65" s="13"/>
      <c r="J65" s="14">
        <f t="shared" si="1"/>
        <v>134.99850000000001</v>
      </c>
      <c r="K65" s="15" t="s">
        <v>19</v>
      </c>
    </row>
    <row r="66" spans="1:11" x14ac:dyDescent="0.3">
      <c r="A66" s="7">
        <v>45675</v>
      </c>
      <c r="B66" s="8"/>
      <c r="C66" s="9" t="s">
        <v>32</v>
      </c>
      <c r="D66" s="10"/>
      <c r="E66" s="39" t="s">
        <v>33</v>
      </c>
      <c r="F66" s="11">
        <v>0</v>
      </c>
      <c r="G66" s="12">
        <f>10+10</f>
        <v>20</v>
      </c>
      <c r="H66" s="13">
        <f t="shared" si="0"/>
        <v>0</v>
      </c>
      <c r="I66" s="13"/>
      <c r="J66" s="14">
        <f t="shared" si="1"/>
        <v>20</v>
      </c>
      <c r="K66" s="15" t="s">
        <v>19</v>
      </c>
    </row>
    <row r="67" spans="1:11" x14ac:dyDescent="0.3">
      <c r="A67" s="7">
        <v>45676</v>
      </c>
      <c r="B67" s="26">
        <v>54950</v>
      </c>
      <c r="C67" s="9" t="s">
        <v>68</v>
      </c>
      <c r="D67" s="10" t="s">
        <v>69</v>
      </c>
      <c r="E67" s="39" t="s">
        <v>70</v>
      </c>
      <c r="F67" s="11">
        <v>0.15</v>
      </c>
      <c r="G67" s="12">
        <v>782.61</v>
      </c>
      <c r="H67" s="13">
        <f t="shared" si="0"/>
        <v>117.39149999999999</v>
      </c>
      <c r="I67" s="13"/>
      <c r="J67" s="14">
        <f t="shared" si="1"/>
        <v>900.00149999999996</v>
      </c>
      <c r="K67" s="15" t="s">
        <v>19</v>
      </c>
    </row>
    <row r="68" spans="1:11" x14ac:dyDescent="0.3">
      <c r="A68" s="7">
        <v>45676</v>
      </c>
      <c r="B68" s="26">
        <v>79195</v>
      </c>
      <c r="C68" s="9" t="s">
        <v>43</v>
      </c>
      <c r="D68" s="10" t="s">
        <v>44</v>
      </c>
      <c r="E68" s="9" t="s">
        <v>103</v>
      </c>
      <c r="F68" s="11">
        <v>0.15</v>
      </c>
      <c r="G68" s="12">
        <v>960</v>
      </c>
      <c r="H68" s="13">
        <f t="shared" si="0"/>
        <v>144</v>
      </c>
      <c r="I68" s="13"/>
      <c r="J68" s="14">
        <f t="shared" si="1"/>
        <v>1104</v>
      </c>
      <c r="K68" s="15" t="s">
        <v>19</v>
      </c>
    </row>
    <row r="69" spans="1:11" x14ac:dyDescent="0.3">
      <c r="A69" s="7">
        <v>45676</v>
      </c>
      <c r="B69" s="13"/>
      <c r="C69" s="9" t="s">
        <v>104</v>
      </c>
      <c r="D69" s="13"/>
      <c r="E69" s="9" t="s">
        <v>103</v>
      </c>
      <c r="F69" s="11">
        <v>0</v>
      </c>
      <c r="G69" s="12">
        <v>18</v>
      </c>
      <c r="H69" s="13">
        <f t="shared" si="0"/>
        <v>0</v>
      </c>
      <c r="I69" s="13"/>
      <c r="J69" s="14">
        <f t="shared" si="1"/>
        <v>18</v>
      </c>
      <c r="K69" s="15" t="s">
        <v>19</v>
      </c>
    </row>
    <row r="70" spans="1:11" x14ac:dyDescent="0.3">
      <c r="A70" s="7">
        <v>45677</v>
      </c>
      <c r="B70" s="26">
        <v>17956</v>
      </c>
      <c r="C70" s="9" t="s">
        <v>105</v>
      </c>
      <c r="D70" s="10" t="s">
        <v>106</v>
      </c>
      <c r="E70" s="9" t="s">
        <v>107</v>
      </c>
      <c r="F70" s="11">
        <v>0.15</v>
      </c>
      <c r="G70" s="12">
        <v>15.65</v>
      </c>
      <c r="H70" s="13">
        <f t="shared" si="0"/>
        <v>2.3475000000000001</v>
      </c>
      <c r="I70" s="13"/>
      <c r="J70" s="14">
        <f t="shared" si="1"/>
        <v>17.997500000000002</v>
      </c>
      <c r="K70" s="15" t="s">
        <v>19</v>
      </c>
    </row>
    <row r="71" spans="1:11" x14ac:dyDescent="0.3">
      <c r="A71" s="7">
        <v>45678</v>
      </c>
      <c r="B71" s="8"/>
      <c r="C71" s="9" t="s">
        <v>108</v>
      </c>
      <c r="D71" s="10"/>
      <c r="E71" s="9" t="s">
        <v>109</v>
      </c>
      <c r="F71" s="11">
        <v>0</v>
      </c>
      <c r="G71" s="12">
        <v>98.5</v>
      </c>
      <c r="H71" s="13">
        <f t="shared" ref="H71:H101" si="4">G71*F71</f>
        <v>0</v>
      </c>
      <c r="I71" s="13"/>
      <c r="J71" s="14">
        <f t="shared" ref="J71:J101" si="5">H71+G71</f>
        <v>98.5</v>
      </c>
      <c r="K71" s="15" t="s">
        <v>19</v>
      </c>
    </row>
    <row r="72" spans="1:11" x14ac:dyDescent="0.3">
      <c r="A72" s="7">
        <v>45670</v>
      </c>
      <c r="B72" s="26">
        <v>1113</v>
      </c>
      <c r="C72" s="9" t="s">
        <v>41</v>
      </c>
      <c r="D72" s="10" t="s">
        <v>42</v>
      </c>
      <c r="E72" s="9" t="s">
        <v>103</v>
      </c>
      <c r="F72" s="11">
        <v>0.15</v>
      </c>
      <c r="G72" s="12">
        <v>1855</v>
      </c>
      <c r="H72" s="13">
        <f t="shared" si="4"/>
        <v>278.25</v>
      </c>
      <c r="I72" s="14">
        <f>H72+G72</f>
        <v>2133.25</v>
      </c>
      <c r="J72" s="13"/>
      <c r="K72" s="15" t="s">
        <v>8</v>
      </c>
    </row>
    <row r="73" spans="1:11" x14ac:dyDescent="0.3">
      <c r="A73" s="7">
        <v>45679</v>
      </c>
      <c r="B73" s="9">
        <v>1432</v>
      </c>
      <c r="C73" s="9" t="s">
        <v>62</v>
      </c>
      <c r="D73" s="10" t="s">
        <v>63</v>
      </c>
      <c r="E73" s="9" t="s">
        <v>110</v>
      </c>
      <c r="F73" s="11">
        <v>0.15</v>
      </c>
      <c r="G73" s="12">
        <v>155.65</v>
      </c>
      <c r="H73" s="13">
        <f t="shared" si="4"/>
        <v>23.3475</v>
      </c>
      <c r="I73" s="13"/>
      <c r="J73" s="14">
        <f t="shared" si="5"/>
        <v>178.9975</v>
      </c>
      <c r="K73" s="15" t="s">
        <v>19</v>
      </c>
    </row>
    <row r="74" spans="1:11" x14ac:dyDescent="0.3">
      <c r="A74" s="7">
        <v>45679</v>
      </c>
      <c r="B74" s="26">
        <v>1597</v>
      </c>
      <c r="C74" s="9" t="s">
        <v>74</v>
      </c>
      <c r="D74" s="10" t="s">
        <v>75</v>
      </c>
      <c r="E74" s="9" t="s">
        <v>111</v>
      </c>
      <c r="F74" s="11">
        <v>0.15</v>
      </c>
      <c r="G74" s="12">
        <v>1863.48</v>
      </c>
      <c r="H74" s="13">
        <f t="shared" si="4"/>
        <v>279.52199999999999</v>
      </c>
      <c r="I74" s="13"/>
      <c r="J74" s="14">
        <f t="shared" si="5"/>
        <v>2143.002</v>
      </c>
      <c r="K74" s="15" t="s">
        <v>19</v>
      </c>
    </row>
    <row r="75" spans="1:11" x14ac:dyDescent="0.3">
      <c r="A75" s="7">
        <v>45679</v>
      </c>
      <c r="B75" s="26">
        <v>1599</v>
      </c>
      <c r="C75" s="9" t="s">
        <v>74</v>
      </c>
      <c r="D75" s="10" t="s">
        <v>75</v>
      </c>
      <c r="E75" s="9" t="s">
        <v>111</v>
      </c>
      <c r="F75" s="11">
        <v>0.15</v>
      </c>
      <c r="G75" s="12">
        <v>73.91</v>
      </c>
      <c r="H75" s="13">
        <f t="shared" si="4"/>
        <v>11.086499999999999</v>
      </c>
      <c r="I75" s="13"/>
      <c r="J75" s="14">
        <f t="shared" si="5"/>
        <v>84.996499999999997</v>
      </c>
      <c r="K75" s="15" t="s">
        <v>19</v>
      </c>
    </row>
    <row r="76" spans="1:11" x14ac:dyDescent="0.3">
      <c r="A76" s="7">
        <v>45679</v>
      </c>
      <c r="B76" s="26"/>
      <c r="C76" s="9" t="s">
        <v>32</v>
      </c>
      <c r="D76" s="10"/>
      <c r="E76" s="39" t="s">
        <v>112</v>
      </c>
      <c r="F76" s="11">
        <v>0</v>
      </c>
      <c r="G76" s="12">
        <v>48</v>
      </c>
      <c r="H76" s="13">
        <f t="shared" si="4"/>
        <v>0</v>
      </c>
      <c r="I76" s="13"/>
      <c r="J76" s="14">
        <f t="shared" si="5"/>
        <v>48</v>
      </c>
      <c r="K76" s="15" t="s">
        <v>19</v>
      </c>
    </row>
    <row r="77" spans="1:11" x14ac:dyDescent="0.3">
      <c r="A77" s="7">
        <v>45679</v>
      </c>
      <c r="B77" s="26">
        <v>55253</v>
      </c>
      <c r="C77" s="9" t="s">
        <v>68</v>
      </c>
      <c r="D77" s="10" t="s">
        <v>69</v>
      </c>
      <c r="E77" s="39" t="s">
        <v>113</v>
      </c>
      <c r="F77" s="11">
        <v>0.15</v>
      </c>
      <c r="G77" s="12">
        <v>204.35</v>
      </c>
      <c r="H77" s="13">
        <f t="shared" si="4"/>
        <v>30.652499999999996</v>
      </c>
      <c r="I77" s="13"/>
      <c r="J77" s="14">
        <f t="shared" si="5"/>
        <v>235.0025</v>
      </c>
      <c r="K77" s="15" t="s">
        <v>19</v>
      </c>
    </row>
    <row r="78" spans="1:11" x14ac:dyDescent="0.3">
      <c r="A78" s="7">
        <v>45680</v>
      </c>
      <c r="B78" s="26">
        <v>21943</v>
      </c>
      <c r="C78" s="9" t="s">
        <v>34</v>
      </c>
      <c r="D78" s="10" t="s">
        <v>35</v>
      </c>
      <c r="E78" s="39"/>
      <c r="F78" s="11">
        <v>0.15</v>
      </c>
      <c r="G78" s="12">
        <v>184</v>
      </c>
      <c r="H78" s="13">
        <f t="shared" si="4"/>
        <v>27.599999999999998</v>
      </c>
      <c r="I78" s="13"/>
      <c r="J78" s="14">
        <f t="shared" si="5"/>
        <v>211.6</v>
      </c>
      <c r="K78" s="15" t="s">
        <v>19</v>
      </c>
    </row>
    <row r="79" spans="1:11" x14ac:dyDescent="0.3">
      <c r="A79" s="7">
        <v>45681</v>
      </c>
      <c r="B79" s="10">
        <v>1774</v>
      </c>
      <c r="C79" s="9" t="s">
        <v>114</v>
      </c>
      <c r="D79" s="10" t="s">
        <v>115</v>
      </c>
      <c r="E79" s="39" t="s">
        <v>116</v>
      </c>
      <c r="F79" s="11">
        <v>0.15</v>
      </c>
      <c r="G79" s="12">
        <v>104.35</v>
      </c>
      <c r="H79" s="13">
        <f t="shared" si="4"/>
        <v>15.652499999999998</v>
      </c>
      <c r="I79" s="13"/>
      <c r="J79" s="14">
        <f t="shared" si="5"/>
        <v>120.0025</v>
      </c>
      <c r="K79" s="15" t="s">
        <v>19</v>
      </c>
    </row>
    <row r="80" spans="1:11" x14ac:dyDescent="0.3">
      <c r="A80" s="7">
        <v>45681</v>
      </c>
      <c r="B80" s="43">
        <v>657</v>
      </c>
      <c r="C80" s="9" t="s">
        <v>117</v>
      </c>
      <c r="D80" s="10" t="s">
        <v>118</v>
      </c>
      <c r="E80" s="39" t="s">
        <v>119</v>
      </c>
      <c r="F80" s="11">
        <v>0</v>
      </c>
      <c r="G80" s="44">
        <v>25</v>
      </c>
      <c r="H80" s="13">
        <f t="shared" si="4"/>
        <v>0</v>
      </c>
      <c r="I80" s="13"/>
      <c r="J80" s="14">
        <f t="shared" si="5"/>
        <v>25</v>
      </c>
      <c r="K80" s="15" t="s">
        <v>19</v>
      </c>
    </row>
    <row r="81" spans="1:11" x14ac:dyDescent="0.3">
      <c r="A81" s="7">
        <v>45681</v>
      </c>
      <c r="B81" s="43">
        <v>7579</v>
      </c>
      <c r="C81" s="9" t="s">
        <v>120</v>
      </c>
      <c r="D81" s="10" t="s">
        <v>121</v>
      </c>
      <c r="E81" s="39" t="s">
        <v>122</v>
      </c>
      <c r="F81" s="11">
        <v>0.15</v>
      </c>
      <c r="G81" s="44">
        <v>73.91</v>
      </c>
      <c r="H81" s="13">
        <f t="shared" si="4"/>
        <v>11.086499999999999</v>
      </c>
      <c r="I81" s="13"/>
      <c r="J81" s="14">
        <f t="shared" si="5"/>
        <v>84.996499999999997</v>
      </c>
      <c r="K81" s="15" t="s">
        <v>19</v>
      </c>
    </row>
    <row r="82" spans="1:11" x14ac:dyDescent="0.3">
      <c r="A82" s="7">
        <v>45681</v>
      </c>
      <c r="B82" s="43"/>
      <c r="C82" s="9" t="s">
        <v>32</v>
      </c>
      <c r="D82" s="10"/>
      <c r="E82" s="39" t="s">
        <v>33</v>
      </c>
      <c r="F82" s="11">
        <v>0</v>
      </c>
      <c r="G82" s="44">
        <f>10+11+11+14+12</f>
        <v>58</v>
      </c>
      <c r="H82" s="13">
        <f t="shared" si="4"/>
        <v>0</v>
      </c>
      <c r="I82" s="13"/>
      <c r="J82" s="14">
        <f t="shared" si="5"/>
        <v>58</v>
      </c>
      <c r="K82" s="15" t="s">
        <v>19</v>
      </c>
    </row>
    <row r="83" spans="1:11" x14ac:dyDescent="0.3">
      <c r="A83" s="7">
        <v>45681</v>
      </c>
      <c r="B83" s="8">
        <v>44604</v>
      </c>
      <c r="C83" s="9" t="s">
        <v>38</v>
      </c>
      <c r="D83" s="10" t="s">
        <v>39</v>
      </c>
      <c r="E83" s="9" t="s">
        <v>116</v>
      </c>
      <c r="F83" s="11">
        <v>0.15</v>
      </c>
      <c r="G83" s="45">
        <v>15.65</v>
      </c>
      <c r="H83" s="13">
        <f t="shared" si="4"/>
        <v>2.3475000000000001</v>
      </c>
      <c r="I83" s="13"/>
      <c r="J83" s="14">
        <f t="shared" si="5"/>
        <v>17.997500000000002</v>
      </c>
      <c r="K83" s="15" t="s">
        <v>19</v>
      </c>
    </row>
    <row r="84" spans="1:11" x14ac:dyDescent="0.3">
      <c r="A84" s="7">
        <v>45680</v>
      </c>
      <c r="B84" s="26">
        <v>2501900</v>
      </c>
      <c r="C84" s="9" t="s">
        <v>123</v>
      </c>
      <c r="D84" s="46" t="s">
        <v>124</v>
      </c>
      <c r="E84" s="47" t="s">
        <v>125</v>
      </c>
      <c r="F84" s="11">
        <v>0.15</v>
      </c>
      <c r="G84" s="45">
        <v>185.22</v>
      </c>
      <c r="H84" s="13">
        <f t="shared" si="4"/>
        <v>27.782999999999998</v>
      </c>
      <c r="I84" s="13"/>
      <c r="J84" s="14">
        <f t="shared" si="5"/>
        <v>213.00299999999999</v>
      </c>
      <c r="K84" s="15" t="s">
        <v>19</v>
      </c>
    </row>
    <row r="85" spans="1:11" x14ac:dyDescent="0.3">
      <c r="A85" s="7">
        <v>45682</v>
      </c>
      <c r="B85" s="26"/>
      <c r="C85" s="9" t="s">
        <v>126</v>
      </c>
      <c r="D85" s="10"/>
      <c r="E85" s="47" t="s">
        <v>127</v>
      </c>
      <c r="F85" s="11">
        <v>0</v>
      </c>
      <c r="G85" s="12">
        <v>105.8</v>
      </c>
      <c r="H85" s="13">
        <f t="shared" si="4"/>
        <v>0</v>
      </c>
      <c r="I85" s="13"/>
      <c r="J85" s="14">
        <f t="shared" si="5"/>
        <v>105.8</v>
      </c>
      <c r="K85" s="15" t="s">
        <v>19</v>
      </c>
    </row>
    <row r="86" spans="1:11" x14ac:dyDescent="0.3">
      <c r="A86" s="7">
        <v>45682</v>
      </c>
      <c r="B86" s="8" t="s">
        <v>128</v>
      </c>
      <c r="C86" s="9" t="s">
        <v>77</v>
      </c>
      <c r="D86" s="10" t="s">
        <v>78</v>
      </c>
      <c r="E86" s="9" t="s">
        <v>79</v>
      </c>
      <c r="F86" s="11">
        <v>0.15</v>
      </c>
      <c r="G86" s="12">
        <v>206.52</v>
      </c>
      <c r="H86" s="13">
        <f t="shared" si="4"/>
        <v>30.978000000000002</v>
      </c>
      <c r="I86" s="13"/>
      <c r="J86" s="14">
        <f t="shared" si="5"/>
        <v>237.49800000000002</v>
      </c>
      <c r="K86" s="15" t="s">
        <v>19</v>
      </c>
    </row>
    <row r="87" spans="1:11" x14ac:dyDescent="0.3">
      <c r="A87" s="7">
        <v>45683</v>
      </c>
      <c r="B87" s="8"/>
      <c r="C87" s="9" t="s">
        <v>108</v>
      </c>
      <c r="D87" s="10"/>
      <c r="E87" s="47" t="s">
        <v>129</v>
      </c>
      <c r="F87" s="11">
        <v>0</v>
      </c>
      <c r="G87" s="12">
        <v>84.9</v>
      </c>
      <c r="H87" s="13">
        <f t="shared" si="4"/>
        <v>0</v>
      </c>
      <c r="I87" s="13"/>
      <c r="J87" s="14">
        <f t="shared" si="5"/>
        <v>84.9</v>
      </c>
      <c r="K87" s="15" t="s">
        <v>19</v>
      </c>
    </row>
    <row r="88" spans="1:11" x14ac:dyDescent="0.3">
      <c r="A88" s="7">
        <v>45683</v>
      </c>
      <c r="B88" s="8">
        <v>44991</v>
      </c>
      <c r="C88" s="9" t="s">
        <v>38</v>
      </c>
      <c r="D88" s="10" t="s">
        <v>39</v>
      </c>
      <c r="E88" s="9" t="s">
        <v>130</v>
      </c>
      <c r="F88" s="11">
        <v>0.15</v>
      </c>
      <c r="G88" s="12">
        <v>1.74</v>
      </c>
      <c r="H88" s="13">
        <f t="shared" si="4"/>
        <v>0.26100000000000001</v>
      </c>
      <c r="I88" s="13"/>
      <c r="J88" s="14">
        <f t="shared" si="5"/>
        <v>2.0009999999999999</v>
      </c>
      <c r="K88" s="15" t="s">
        <v>19</v>
      </c>
    </row>
    <row r="89" spans="1:11" x14ac:dyDescent="0.3">
      <c r="A89" s="7">
        <v>45683</v>
      </c>
      <c r="B89" s="8">
        <v>21987</v>
      </c>
      <c r="C89" s="9" t="s">
        <v>34</v>
      </c>
      <c r="D89" s="10" t="s">
        <v>35</v>
      </c>
      <c r="E89" s="9" t="s">
        <v>36</v>
      </c>
      <c r="F89" s="11">
        <v>0.15</v>
      </c>
      <c r="G89" s="12">
        <v>184</v>
      </c>
      <c r="H89" s="13">
        <f t="shared" si="4"/>
        <v>27.599999999999998</v>
      </c>
      <c r="I89" s="13"/>
      <c r="J89" s="14">
        <f t="shared" si="5"/>
        <v>211.6</v>
      </c>
      <c r="K89" s="15" t="s">
        <v>19</v>
      </c>
    </row>
    <row r="90" spans="1:11" x14ac:dyDescent="0.3">
      <c r="A90" s="7">
        <v>45684</v>
      </c>
      <c r="B90" s="26">
        <v>97159</v>
      </c>
      <c r="C90" s="9" t="s">
        <v>43</v>
      </c>
      <c r="D90" s="10" t="s">
        <v>44</v>
      </c>
      <c r="E90" s="9" t="s">
        <v>30</v>
      </c>
      <c r="F90" s="11">
        <v>0.15</v>
      </c>
      <c r="G90" s="12">
        <v>525</v>
      </c>
      <c r="H90" s="13">
        <f t="shared" si="4"/>
        <v>78.75</v>
      </c>
      <c r="I90" s="13"/>
      <c r="J90" s="14">
        <f t="shared" si="5"/>
        <v>603.75</v>
      </c>
      <c r="K90" s="15" t="s">
        <v>19</v>
      </c>
    </row>
    <row r="91" spans="1:11" x14ac:dyDescent="0.3">
      <c r="A91" s="7">
        <v>45685</v>
      </c>
      <c r="B91" s="8" t="s">
        <v>131</v>
      </c>
      <c r="C91" s="9" t="s">
        <v>132</v>
      </c>
      <c r="D91" s="10" t="s">
        <v>133</v>
      </c>
      <c r="E91" s="9" t="s">
        <v>134</v>
      </c>
      <c r="F91" s="11">
        <v>0.15</v>
      </c>
      <c r="G91" s="12">
        <v>1126</v>
      </c>
      <c r="H91" s="13">
        <f t="shared" si="4"/>
        <v>168.9</v>
      </c>
      <c r="I91" s="13"/>
      <c r="J91" s="14">
        <f t="shared" si="5"/>
        <v>1294.9000000000001</v>
      </c>
      <c r="K91" s="15" t="s">
        <v>19</v>
      </c>
    </row>
    <row r="92" spans="1:11" x14ac:dyDescent="0.3">
      <c r="A92" s="7">
        <v>45685</v>
      </c>
      <c r="B92" s="26"/>
      <c r="C92" s="9" t="s">
        <v>104</v>
      </c>
      <c r="D92" s="10"/>
      <c r="E92" s="9" t="s">
        <v>119</v>
      </c>
      <c r="F92" s="11">
        <v>0</v>
      </c>
      <c r="G92" s="12">
        <v>18</v>
      </c>
      <c r="H92" s="13">
        <f t="shared" si="4"/>
        <v>0</v>
      </c>
      <c r="I92" s="13"/>
      <c r="J92" s="14">
        <f t="shared" si="5"/>
        <v>18</v>
      </c>
      <c r="K92" s="15" t="s">
        <v>19</v>
      </c>
    </row>
    <row r="93" spans="1:11" x14ac:dyDescent="0.3">
      <c r="A93" s="7">
        <v>45685</v>
      </c>
      <c r="B93" s="26">
        <v>945459097</v>
      </c>
      <c r="C93" s="9" t="s">
        <v>68</v>
      </c>
      <c r="D93" s="10" t="s">
        <v>69</v>
      </c>
      <c r="E93" s="9" t="s">
        <v>119</v>
      </c>
      <c r="F93" s="11">
        <v>0.15</v>
      </c>
      <c r="G93" s="12">
        <v>121.74</v>
      </c>
      <c r="H93" s="13">
        <f t="shared" si="4"/>
        <v>18.260999999999999</v>
      </c>
      <c r="I93" s="13"/>
      <c r="J93" s="14">
        <f t="shared" si="5"/>
        <v>140.001</v>
      </c>
      <c r="K93" s="15" t="s">
        <v>19</v>
      </c>
    </row>
    <row r="94" spans="1:11" x14ac:dyDescent="0.3">
      <c r="A94" s="7">
        <v>45686</v>
      </c>
      <c r="B94" s="8" t="s">
        <v>135</v>
      </c>
      <c r="C94" s="9" t="s">
        <v>132</v>
      </c>
      <c r="D94" s="10" t="s">
        <v>133</v>
      </c>
      <c r="E94" s="9" t="s">
        <v>134</v>
      </c>
      <c r="F94" s="11">
        <v>0.15</v>
      </c>
      <c r="G94" s="12">
        <v>4600</v>
      </c>
      <c r="H94" s="13">
        <f t="shared" si="4"/>
        <v>690</v>
      </c>
      <c r="I94" s="14">
        <f>H94+G94</f>
        <v>5290</v>
      </c>
      <c r="J94" s="13"/>
      <c r="K94" s="15" t="s">
        <v>8</v>
      </c>
    </row>
    <row r="95" spans="1:11" x14ac:dyDescent="0.3">
      <c r="A95" s="7">
        <v>45686</v>
      </c>
      <c r="B95" s="26"/>
      <c r="C95" s="9" t="s">
        <v>108</v>
      </c>
      <c r="D95" s="10"/>
      <c r="E95" s="9" t="s">
        <v>134</v>
      </c>
      <c r="F95" s="11">
        <v>0</v>
      </c>
      <c r="G95" s="12">
        <v>184.56</v>
      </c>
      <c r="H95" s="13">
        <f t="shared" si="4"/>
        <v>0</v>
      </c>
      <c r="I95" s="13"/>
      <c r="J95" s="14">
        <f t="shared" si="5"/>
        <v>184.56</v>
      </c>
      <c r="K95" s="15" t="s">
        <v>19</v>
      </c>
    </row>
    <row r="96" spans="1:11" x14ac:dyDescent="0.3">
      <c r="A96" s="7">
        <v>45687</v>
      </c>
      <c r="B96" s="26">
        <v>2865</v>
      </c>
      <c r="C96" s="9" t="s">
        <v>53</v>
      </c>
      <c r="D96" s="10" t="s">
        <v>54</v>
      </c>
      <c r="E96" s="9" t="s">
        <v>92</v>
      </c>
      <c r="F96" s="11">
        <v>0.15</v>
      </c>
      <c r="G96" s="12">
        <v>13371.73</v>
      </c>
      <c r="H96" s="13">
        <f t="shared" si="4"/>
        <v>2005.7594999999999</v>
      </c>
      <c r="I96" s="14">
        <f>H96+G96</f>
        <v>15377.4895</v>
      </c>
      <c r="J96" s="13"/>
      <c r="K96" s="15" t="s">
        <v>8</v>
      </c>
    </row>
    <row r="97" spans="1:373" x14ac:dyDescent="0.3">
      <c r="A97" s="7">
        <v>45687</v>
      </c>
      <c r="B97" s="26">
        <v>3000263</v>
      </c>
      <c r="C97" s="9" t="s">
        <v>132</v>
      </c>
      <c r="D97" s="10" t="s">
        <v>133</v>
      </c>
      <c r="E97" s="9" t="s">
        <v>136</v>
      </c>
      <c r="F97" s="11">
        <v>0.15</v>
      </c>
      <c r="G97" s="48">
        <v>430</v>
      </c>
      <c r="H97" s="13">
        <f t="shared" si="4"/>
        <v>64.5</v>
      </c>
      <c r="I97" s="13"/>
      <c r="J97" s="14">
        <f t="shared" si="5"/>
        <v>494.5</v>
      </c>
      <c r="K97" s="15" t="s">
        <v>19</v>
      </c>
    </row>
    <row r="98" spans="1:373" x14ac:dyDescent="0.3">
      <c r="A98" s="7">
        <v>45687</v>
      </c>
      <c r="B98" s="26">
        <v>174027</v>
      </c>
      <c r="C98" s="9" t="s">
        <v>46</v>
      </c>
      <c r="D98" s="10" t="s">
        <v>47</v>
      </c>
      <c r="E98" s="9" t="s">
        <v>111</v>
      </c>
      <c r="F98" s="11">
        <v>0.15</v>
      </c>
      <c r="G98" s="48">
        <v>132.16999999999999</v>
      </c>
      <c r="H98" s="13">
        <f t="shared" si="4"/>
        <v>19.825499999999998</v>
      </c>
      <c r="I98" s="13"/>
      <c r="J98" s="14">
        <f t="shared" si="5"/>
        <v>151.99549999999999</v>
      </c>
      <c r="K98" s="15" t="s">
        <v>19</v>
      </c>
    </row>
    <row r="99" spans="1:373" x14ac:dyDescent="0.3">
      <c r="A99" s="7">
        <v>45687</v>
      </c>
      <c r="B99" s="26"/>
      <c r="C99" s="9" t="s">
        <v>32</v>
      </c>
      <c r="D99" s="10"/>
      <c r="E99" s="9" t="s">
        <v>33</v>
      </c>
      <c r="F99" s="11">
        <v>0</v>
      </c>
      <c r="G99" s="12">
        <v>10</v>
      </c>
      <c r="H99" s="13">
        <f t="shared" si="4"/>
        <v>0</v>
      </c>
      <c r="I99" s="13"/>
      <c r="J99" s="14">
        <f t="shared" si="5"/>
        <v>10</v>
      </c>
      <c r="K99" s="15" t="s">
        <v>19</v>
      </c>
    </row>
    <row r="100" spans="1:373" x14ac:dyDescent="0.3">
      <c r="A100" s="7">
        <v>45687</v>
      </c>
      <c r="B100" s="26"/>
      <c r="C100" s="9" t="s">
        <v>32</v>
      </c>
      <c r="D100" s="10"/>
      <c r="E100" s="9" t="s">
        <v>33</v>
      </c>
      <c r="F100" s="11">
        <v>0</v>
      </c>
      <c r="G100" s="12">
        <v>11</v>
      </c>
      <c r="H100" s="13">
        <f t="shared" si="4"/>
        <v>0</v>
      </c>
      <c r="I100" s="13"/>
      <c r="J100" s="14">
        <f t="shared" si="5"/>
        <v>11</v>
      </c>
      <c r="K100" s="15" t="s">
        <v>19</v>
      </c>
    </row>
    <row r="101" spans="1:373" x14ac:dyDescent="0.3">
      <c r="A101" s="7">
        <v>45687</v>
      </c>
      <c r="B101" s="43">
        <v>122067</v>
      </c>
      <c r="C101" s="9" t="s">
        <v>34</v>
      </c>
      <c r="D101" s="10" t="s">
        <v>35</v>
      </c>
      <c r="E101" s="9" t="s">
        <v>36</v>
      </c>
      <c r="F101" s="11">
        <v>0.15</v>
      </c>
      <c r="G101" s="12">
        <v>276</v>
      </c>
      <c r="H101" s="13">
        <f t="shared" si="4"/>
        <v>41.4</v>
      </c>
      <c r="I101" s="13"/>
      <c r="J101" s="14">
        <f t="shared" si="5"/>
        <v>317.39999999999998</v>
      </c>
      <c r="K101" s="15" t="s">
        <v>19</v>
      </c>
    </row>
    <row r="102" spans="1:373" s="50" customFormat="1" ht="28.2" customHeight="1" x14ac:dyDescent="0.4">
      <c r="A102" s="49"/>
      <c r="B102" s="49"/>
      <c r="C102" s="49"/>
      <c r="D102" s="49"/>
      <c r="E102" s="49"/>
      <c r="F102" s="49"/>
      <c r="I102" s="51">
        <f>SUM(I2:I101)</f>
        <v>44002.415500000003</v>
      </c>
      <c r="J102" s="51">
        <f>SUM(J2:J101)</f>
        <v>23438.311000000002</v>
      </c>
      <c r="K102" s="52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NI102" s="54"/>
    </row>
    <row r="103" spans="1:373" ht="24" customHeight="1" x14ac:dyDescent="0.45">
      <c r="A103" s="55"/>
      <c r="B103" s="55"/>
      <c r="C103" s="55"/>
      <c r="D103" s="55"/>
      <c r="E103" s="55"/>
      <c r="F103" s="55"/>
      <c r="G103" s="51">
        <f>SUM(G2:G101)</f>
        <v>58940.31</v>
      </c>
      <c r="H103" s="51">
        <f>SUM(H2:H101)</f>
        <v>8500.4100000000035</v>
      </c>
      <c r="I103" s="56">
        <f>SUM(I102:J102)</f>
        <v>67440.726500000004</v>
      </c>
      <c r="J103" s="57"/>
      <c r="K103" s="58"/>
    </row>
    <row r="104" spans="1:373" x14ac:dyDescent="0.3">
      <c r="D104" s="59"/>
    </row>
    <row r="105" spans="1:373" x14ac:dyDescent="0.3">
      <c r="D105" s="59"/>
    </row>
    <row r="106" spans="1:373" x14ac:dyDescent="0.3">
      <c r="D106" s="59"/>
    </row>
    <row r="107" spans="1:373" ht="14.4" customHeight="1" x14ac:dyDescent="0.3">
      <c r="D107" s="59"/>
    </row>
    <row r="108" spans="1:373" ht="14.4" customHeight="1" x14ac:dyDescent="0.3">
      <c r="D108" s="59"/>
    </row>
    <row r="109" spans="1:373" ht="14.4" customHeight="1" x14ac:dyDescent="0.3">
      <c r="D109" s="59"/>
    </row>
    <row r="110" spans="1:373" ht="14.4" customHeight="1" x14ac:dyDescent="0.3">
      <c r="D110" s="59"/>
    </row>
    <row r="111" spans="1:373" ht="14.4" customHeight="1" x14ac:dyDescent="0.3">
      <c r="D111" s="59"/>
    </row>
    <row r="112" spans="1:373" ht="14.4" customHeight="1" x14ac:dyDescent="0.3">
      <c r="D112" s="59"/>
    </row>
    <row r="113" spans="4:4" ht="14.4" customHeight="1" x14ac:dyDescent="0.3">
      <c r="D113" s="59"/>
    </row>
    <row r="114" spans="4:4" ht="14.4" customHeight="1" x14ac:dyDescent="0.3">
      <c r="D114" s="59"/>
    </row>
    <row r="115" spans="4:4" ht="14.4" customHeight="1" x14ac:dyDescent="0.3">
      <c r="D115" s="59"/>
    </row>
    <row r="116" spans="4:4" ht="14.4" customHeight="1" x14ac:dyDescent="0.3">
      <c r="D116" s="59"/>
    </row>
    <row r="117" spans="4:4" ht="14.4" customHeight="1" x14ac:dyDescent="0.3">
      <c r="D117" s="59"/>
    </row>
    <row r="118" spans="4:4" ht="14.4" customHeight="1" x14ac:dyDescent="0.3">
      <c r="D118" s="59"/>
    </row>
    <row r="119" spans="4:4" ht="14.4" customHeight="1" x14ac:dyDescent="0.3">
      <c r="D119" s="59"/>
    </row>
    <row r="120" spans="4:4" ht="14.4" customHeight="1" x14ac:dyDescent="0.3">
      <c r="D120" s="59"/>
    </row>
    <row r="121" spans="4:4" ht="14.4" customHeight="1" x14ac:dyDescent="0.3">
      <c r="D121" s="59"/>
    </row>
    <row r="122" spans="4:4" ht="14.4" customHeight="1" x14ac:dyDescent="0.3">
      <c r="D122" s="59"/>
    </row>
    <row r="123" spans="4:4" ht="14.4" customHeight="1" x14ac:dyDescent="0.3">
      <c r="D123" s="59"/>
    </row>
    <row r="124" spans="4:4" ht="14.4" customHeight="1" x14ac:dyDescent="0.3">
      <c r="D124" s="59"/>
    </row>
    <row r="125" spans="4:4" x14ac:dyDescent="0.3">
      <c r="D125" s="59"/>
    </row>
    <row r="126" spans="4:4" x14ac:dyDescent="0.3">
      <c r="D126" s="59"/>
    </row>
    <row r="127" spans="4:4" x14ac:dyDescent="0.3">
      <c r="D127" s="59"/>
    </row>
    <row r="128" spans="4:4" x14ac:dyDescent="0.3">
      <c r="D128" s="59"/>
    </row>
    <row r="129" spans="4:4" x14ac:dyDescent="0.3">
      <c r="D129" s="59"/>
    </row>
    <row r="130" spans="4:4" x14ac:dyDescent="0.3">
      <c r="D130" s="59"/>
    </row>
    <row r="131" spans="4:4" x14ac:dyDescent="0.3">
      <c r="D131" s="59"/>
    </row>
    <row r="132" spans="4:4" x14ac:dyDescent="0.3">
      <c r="D132" s="59"/>
    </row>
    <row r="133" spans="4:4" x14ac:dyDescent="0.3">
      <c r="D133" s="59"/>
    </row>
    <row r="134" spans="4:4" x14ac:dyDescent="0.3">
      <c r="D134" s="59"/>
    </row>
    <row r="135" spans="4:4" x14ac:dyDescent="0.3">
      <c r="D135" s="59"/>
    </row>
    <row r="136" spans="4:4" x14ac:dyDescent="0.3">
      <c r="D136" s="59"/>
    </row>
    <row r="137" spans="4:4" x14ac:dyDescent="0.3">
      <c r="D137" s="59"/>
    </row>
    <row r="138" spans="4:4" x14ac:dyDescent="0.3">
      <c r="D138" s="59"/>
    </row>
    <row r="139" spans="4:4" x14ac:dyDescent="0.3">
      <c r="D139" s="59"/>
    </row>
    <row r="140" spans="4:4" x14ac:dyDescent="0.3">
      <c r="D140" s="59"/>
    </row>
    <row r="141" spans="4:4" x14ac:dyDescent="0.3">
      <c r="D141" s="59"/>
    </row>
    <row r="142" spans="4:4" x14ac:dyDescent="0.3">
      <c r="D142" s="59"/>
    </row>
    <row r="143" spans="4:4" x14ac:dyDescent="0.3">
      <c r="D143" s="59"/>
    </row>
    <row r="144" spans="4:4" x14ac:dyDescent="0.3">
      <c r="D144" s="59"/>
    </row>
    <row r="145" spans="4:4" x14ac:dyDescent="0.3">
      <c r="D145" s="59"/>
    </row>
    <row r="146" spans="4:4" x14ac:dyDescent="0.3">
      <c r="D146" s="59"/>
    </row>
    <row r="147" spans="4:4" x14ac:dyDescent="0.3">
      <c r="D147" s="59"/>
    </row>
    <row r="148" spans="4:4" x14ac:dyDescent="0.3">
      <c r="D148" s="59"/>
    </row>
    <row r="149" spans="4:4" x14ac:dyDescent="0.3">
      <c r="D149" s="59"/>
    </row>
  </sheetData>
  <mergeCells count="12">
    <mergeCell ref="M20:M21"/>
    <mergeCell ref="N20:N21"/>
    <mergeCell ref="O20:O21"/>
    <mergeCell ref="P20:P21"/>
    <mergeCell ref="A102:F103"/>
    <mergeCell ref="I103:J103"/>
    <mergeCell ref="M1:M3"/>
    <mergeCell ref="N1:N3"/>
    <mergeCell ref="O1:O3"/>
    <mergeCell ref="P1:P3"/>
    <mergeCell ref="R1:V3"/>
    <mergeCell ref="M4:M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2CAC-DE10-4A94-A9EB-D6B992A1DB5C}">
  <dimension ref="A2:U76"/>
  <sheetViews>
    <sheetView tabSelected="1" workbookViewId="0">
      <selection activeCell="E6" sqref="E6:E7"/>
    </sheetView>
  </sheetViews>
  <sheetFormatPr defaultRowHeight="14.4" x14ac:dyDescent="0.3"/>
  <cols>
    <col min="1" max="2" width="10.109375" customWidth="1"/>
    <col min="3" max="3" width="14.5546875" customWidth="1"/>
    <col min="4" max="5" width="16" customWidth="1"/>
    <col min="6" max="8" width="14.5546875" hidden="1" customWidth="1"/>
    <col min="9" max="10" width="12.88671875" hidden="1" customWidth="1"/>
    <col min="11" max="11" width="13" hidden="1" customWidth="1"/>
    <col min="12" max="12" width="15.88671875" customWidth="1"/>
    <col min="13" max="13" width="17.6640625" customWidth="1"/>
    <col min="14" max="14" width="16.6640625" customWidth="1"/>
    <col min="15" max="15" width="18.6640625" customWidth="1"/>
    <col min="16" max="16" width="12.21875" customWidth="1"/>
    <col min="17" max="17" width="10.88671875" customWidth="1"/>
    <col min="18" max="18" width="20.5546875" customWidth="1"/>
    <col min="19" max="19" width="9.5546875" bestFit="1" customWidth="1"/>
  </cols>
  <sheetData>
    <row r="2" spans="1:20" ht="15.75" customHeight="1" x14ac:dyDescent="0.3">
      <c r="A2" s="60" t="s">
        <v>0</v>
      </c>
      <c r="B2" s="61" t="s">
        <v>137</v>
      </c>
      <c r="C2" s="60" t="s">
        <v>9</v>
      </c>
      <c r="D2" s="60" t="s">
        <v>138</v>
      </c>
      <c r="E2" s="62" t="s">
        <v>139</v>
      </c>
      <c r="F2" s="63" t="s">
        <v>140</v>
      </c>
      <c r="G2" s="62" t="s">
        <v>140</v>
      </c>
      <c r="H2" s="62" t="s">
        <v>141</v>
      </c>
      <c r="I2" s="63" t="s">
        <v>142</v>
      </c>
      <c r="J2" s="63" t="s">
        <v>142</v>
      </c>
      <c r="K2" s="62" t="s">
        <v>143</v>
      </c>
      <c r="L2" s="64" t="s">
        <v>144</v>
      </c>
      <c r="M2" s="60" t="s">
        <v>145</v>
      </c>
      <c r="N2" s="65">
        <v>0.15</v>
      </c>
      <c r="O2" s="62" t="s">
        <v>146</v>
      </c>
      <c r="P2" s="60" t="s">
        <v>147</v>
      </c>
      <c r="Q2" s="60"/>
      <c r="R2" s="60" t="s">
        <v>27</v>
      </c>
    </row>
    <row r="3" spans="1:20" ht="15.75" customHeight="1" x14ac:dyDescent="0.3">
      <c r="A3" s="60"/>
      <c r="B3" s="61" t="s">
        <v>148</v>
      </c>
      <c r="C3" s="60"/>
      <c r="D3" s="60"/>
      <c r="E3" s="66"/>
      <c r="F3" s="67" t="s">
        <v>9</v>
      </c>
      <c r="G3" s="66"/>
      <c r="H3" s="66"/>
      <c r="I3" s="67" t="s">
        <v>9</v>
      </c>
      <c r="J3" s="67" t="s">
        <v>149</v>
      </c>
      <c r="K3" s="66"/>
      <c r="L3" s="64"/>
      <c r="M3" s="60"/>
      <c r="N3" s="66"/>
      <c r="O3" s="66"/>
      <c r="P3" s="61" t="s">
        <v>9</v>
      </c>
      <c r="Q3" s="61" t="s">
        <v>150</v>
      </c>
      <c r="R3" s="60"/>
    </row>
    <row r="4" spans="1:20" ht="17.25" customHeight="1" x14ac:dyDescent="0.3">
      <c r="A4" s="68">
        <v>45658</v>
      </c>
      <c r="B4" s="69" t="s">
        <v>151</v>
      </c>
      <c r="C4" s="70">
        <v>878</v>
      </c>
      <c r="D4" s="70"/>
      <c r="E4" s="70">
        <v>6456</v>
      </c>
      <c r="F4" s="71"/>
      <c r="G4" s="71"/>
      <c r="H4" s="71"/>
      <c r="I4" s="71"/>
      <c r="J4" s="71"/>
      <c r="K4" s="71"/>
      <c r="L4" s="72">
        <f>SUM(C4:K4)+SUM(C5:K5)</f>
        <v>7334</v>
      </c>
      <c r="M4" s="71">
        <f>L4*100/115</f>
        <v>6377.391304347826</v>
      </c>
      <c r="N4" s="71">
        <f>M4*N2</f>
        <v>956.60869565217388</v>
      </c>
      <c r="O4" s="73">
        <f>M4+N4</f>
        <v>7334</v>
      </c>
      <c r="P4" s="74"/>
      <c r="Q4" s="75"/>
      <c r="R4" s="76">
        <v>878</v>
      </c>
    </row>
    <row r="5" spans="1:20" ht="16.2" customHeight="1" x14ac:dyDescent="0.3">
      <c r="A5" s="77"/>
      <c r="B5" s="78" t="s">
        <v>152</v>
      </c>
      <c r="C5" s="79"/>
      <c r="D5" s="79"/>
      <c r="E5" s="79"/>
      <c r="F5" s="80"/>
      <c r="G5" s="80"/>
      <c r="H5" s="80"/>
      <c r="I5" s="80"/>
      <c r="J5" s="80"/>
      <c r="K5" s="80"/>
      <c r="L5" s="81"/>
      <c r="M5" s="80"/>
      <c r="N5" s="80"/>
      <c r="O5" s="82"/>
      <c r="P5" s="83"/>
      <c r="Q5" s="75"/>
      <c r="R5" s="76"/>
    </row>
    <row r="6" spans="1:20" ht="17.25" customHeight="1" x14ac:dyDescent="0.3">
      <c r="A6" s="68">
        <v>45659</v>
      </c>
      <c r="B6" s="40" t="s">
        <v>151</v>
      </c>
      <c r="C6" s="70">
        <v>561.5</v>
      </c>
      <c r="D6" s="70"/>
      <c r="E6" s="70">
        <v>6043.5</v>
      </c>
      <c r="F6" s="71"/>
      <c r="G6" s="71"/>
      <c r="H6" s="71"/>
      <c r="I6" s="71"/>
      <c r="J6" s="71"/>
      <c r="K6" s="71"/>
      <c r="L6" s="72">
        <f>SUM(C6:K6)+SUM(C7:K7)</f>
        <v>6605</v>
      </c>
      <c r="M6" s="71">
        <f t="shared" ref="M6" si="0">L6*100/115</f>
        <v>5743.478260869565</v>
      </c>
      <c r="N6" s="73">
        <f>M6*15%</f>
        <v>861.52173913043475</v>
      </c>
      <c r="O6" s="73">
        <f t="shared" ref="O6" si="1">M6+N6</f>
        <v>6605</v>
      </c>
      <c r="P6" s="73">
        <v>4</v>
      </c>
      <c r="Q6" s="84">
        <v>46</v>
      </c>
      <c r="R6" s="76">
        <f>452.5+113</f>
        <v>565.5</v>
      </c>
      <c r="S6" s="21"/>
    </row>
    <row r="7" spans="1:20" ht="17.25" customHeight="1" x14ac:dyDescent="0.3">
      <c r="A7" s="77"/>
      <c r="B7" s="40" t="s">
        <v>152</v>
      </c>
      <c r="C7" s="79"/>
      <c r="D7" s="79"/>
      <c r="E7" s="79"/>
      <c r="F7" s="80"/>
      <c r="G7" s="80"/>
      <c r="H7" s="80"/>
      <c r="I7" s="80"/>
      <c r="J7" s="80"/>
      <c r="K7" s="80"/>
      <c r="L7" s="81"/>
      <c r="M7" s="80"/>
      <c r="N7" s="85"/>
      <c r="O7" s="82"/>
      <c r="P7" s="85"/>
      <c r="Q7" s="84"/>
      <c r="R7" s="76"/>
      <c r="S7" s="21"/>
    </row>
    <row r="8" spans="1:20" ht="17.25" customHeight="1" x14ac:dyDescent="0.3">
      <c r="A8" s="68">
        <v>45660</v>
      </c>
      <c r="B8" s="40" t="s">
        <v>151</v>
      </c>
      <c r="C8" s="70">
        <v>517</v>
      </c>
      <c r="D8" s="70"/>
      <c r="E8" s="70">
        <v>6904</v>
      </c>
      <c r="F8" s="71"/>
      <c r="G8" s="71"/>
      <c r="H8" s="71"/>
      <c r="I8" s="71"/>
      <c r="J8" s="71"/>
      <c r="K8" s="71"/>
      <c r="L8" s="72">
        <f>SUM(C8:K8)+SUM(C9:K9)</f>
        <v>7421</v>
      </c>
      <c r="M8" s="71">
        <f t="shared" ref="M8" si="2">L8*100/115</f>
        <v>6453.04347826087</v>
      </c>
      <c r="N8" s="73">
        <f>M8*15%</f>
        <v>967.95652173913049</v>
      </c>
      <c r="O8" s="73">
        <f t="shared" ref="O8" si="3">M8+N8</f>
        <v>7421</v>
      </c>
      <c r="P8" s="73">
        <v>3</v>
      </c>
      <c r="Q8" s="86">
        <v>5</v>
      </c>
      <c r="R8" s="76">
        <f>342+152</f>
        <v>494</v>
      </c>
      <c r="T8" s="21"/>
    </row>
    <row r="9" spans="1:20" ht="17.25" customHeight="1" x14ac:dyDescent="0.3">
      <c r="A9" s="77"/>
      <c r="B9" s="40" t="s">
        <v>152</v>
      </c>
      <c r="C9" s="79"/>
      <c r="D9" s="79"/>
      <c r="E9" s="79"/>
      <c r="F9" s="80"/>
      <c r="G9" s="80"/>
      <c r="H9" s="80"/>
      <c r="I9" s="80"/>
      <c r="J9" s="80"/>
      <c r="K9" s="80"/>
      <c r="L9" s="81"/>
      <c r="M9" s="80"/>
      <c r="N9" s="85"/>
      <c r="O9" s="82"/>
      <c r="P9" s="85"/>
      <c r="Q9" s="86"/>
      <c r="R9" s="76"/>
      <c r="S9" s="87"/>
    </row>
    <row r="10" spans="1:20" ht="17.25" customHeight="1" x14ac:dyDescent="0.3">
      <c r="A10" s="68">
        <v>45661</v>
      </c>
      <c r="B10" s="40" t="s">
        <v>151</v>
      </c>
      <c r="C10" s="70">
        <v>923.5</v>
      </c>
      <c r="D10" s="70"/>
      <c r="E10" s="70">
        <v>5561.5</v>
      </c>
      <c r="F10" s="71"/>
      <c r="G10" s="71"/>
      <c r="H10" s="71"/>
      <c r="I10" s="71"/>
      <c r="J10" s="71"/>
      <c r="K10" s="71"/>
      <c r="L10" s="72">
        <f>SUM(C10:K10)+SUM(C11:K11)</f>
        <v>6485</v>
      </c>
      <c r="M10" s="71">
        <f t="shared" ref="M10" si="4">L10*100/115</f>
        <v>5639.130434782609</v>
      </c>
      <c r="N10" s="73">
        <f>M10*15%</f>
        <v>845.86956521739137</v>
      </c>
      <c r="O10" s="73">
        <f t="shared" ref="O10" si="5">M10+N10</f>
        <v>6485</v>
      </c>
      <c r="P10" s="88">
        <v>12</v>
      </c>
      <c r="Q10" s="86"/>
      <c r="R10" s="76">
        <v>910</v>
      </c>
      <c r="S10" s="87"/>
      <c r="T10" s="21"/>
    </row>
    <row r="11" spans="1:20" ht="17.25" customHeight="1" x14ac:dyDescent="0.3">
      <c r="A11" s="77"/>
      <c r="B11" s="40" t="s">
        <v>152</v>
      </c>
      <c r="C11" s="79"/>
      <c r="D11" s="79"/>
      <c r="E11" s="79"/>
      <c r="F11" s="80"/>
      <c r="G11" s="80"/>
      <c r="H11" s="80"/>
      <c r="I11" s="80"/>
      <c r="J11" s="80"/>
      <c r="K11" s="80"/>
      <c r="L11" s="81"/>
      <c r="M11" s="80"/>
      <c r="N11" s="85"/>
      <c r="O11" s="82"/>
      <c r="P11" s="89"/>
      <c r="Q11" s="86"/>
      <c r="R11" s="76"/>
      <c r="S11" s="87"/>
      <c r="T11" s="21"/>
    </row>
    <row r="12" spans="1:20" ht="17.25" customHeight="1" x14ac:dyDescent="0.3">
      <c r="A12" s="68">
        <v>45662</v>
      </c>
      <c r="B12" s="40" t="s">
        <v>151</v>
      </c>
      <c r="C12" s="70">
        <v>570.5</v>
      </c>
      <c r="D12" s="90"/>
      <c r="E12" s="70">
        <f>4967.5-51</f>
        <v>4916.5</v>
      </c>
      <c r="F12" s="71"/>
      <c r="G12" s="71"/>
      <c r="H12" s="71"/>
      <c r="I12" s="71"/>
      <c r="J12" s="71"/>
      <c r="K12" s="71"/>
      <c r="L12" s="72">
        <f>SUM(C12:K12)+SUM(C13:K13)</f>
        <v>5487</v>
      </c>
      <c r="M12" s="71">
        <f t="shared" ref="M12" si="6">L12*100/115</f>
        <v>4771.304347826087</v>
      </c>
      <c r="N12" s="73">
        <f>M12*15%</f>
        <v>715.695652173913</v>
      </c>
      <c r="O12" s="73">
        <f t="shared" ref="O12" si="7">M12+N12</f>
        <v>5487</v>
      </c>
      <c r="P12" s="73"/>
      <c r="Q12" s="88"/>
      <c r="R12" s="76">
        <v>569.5</v>
      </c>
    </row>
    <row r="13" spans="1:20" ht="17.25" customHeight="1" x14ac:dyDescent="0.3">
      <c r="A13" s="77"/>
      <c r="B13" s="40" t="s">
        <v>152</v>
      </c>
      <c r="C13" s="79"/>
      <c r="D13" s="90"/>
      <c r="E13" s="79"/>
      <c r="F13" s="80"/>
      <c r="G13" s="80"/>
      <c r="H13" s="80"/>
      <c r="I13" s="80"/>
      <c r="J13" s="80"/>
      <c r="K13" s="80"/>
      <c r="L13" s="81"/>
      <c r="M13" s="80"/>
      <c r="N13" s="85"/>
      <c r="O13" s="82"/>
      <c r="P13" s="85"/>
      <c r="Q13" s="89"/>
      <c r="R13" s="76"/>
      <c r="S13" s="21"/>
      <c r="T13" s="21"/>
    </row>
    <row r="14" spans="1:20" ht="17.25" customHeight="1" x14ac:dyDescent="0.3">
      <c r="A14" s="68">
        <v>45663</v>
      </c>
      <c r="B14" s="40" t="s">
        <v>151</v>
      </c>
      <c r="C14" s="70">
        <f>698-8</f>
        <v>690</v>
      </c>
      <c r="D14" s="71">
        <v>129</v>
      </c>
      <c r="E14" s="70">
        <v>6331</v>
      </c>
      <c r="F14" s="71"/>
      <c r="G14" s="71"/>
      <c r="H14" s="71"/>
      <c r="I14" s="71"/>
      <c r="J14" s="71"/>
      <c r="K14" s="71"/>
      <c r="L14" s="72">
        <f>SUM(C14:K14)+SUM(C15:K15)</f>
        <v>7150</v>
      </c>
      <c r="M14" s="71">
        <f t="shared" ref="M14" si="8">L14*100/115</f>
        <v>6217.391304347826</v>
      </c>
      <c r="N14" s="73">
        <f>M14*15%</f>
        <v>932.60869565217388</v>
      </c>
      <c r="O14" s="73">
        <f t="shared" ref="O14" si="9">M14+N14</f>
        <v>7150</v>
      </c>
      <c r="P14" s="91">
        <v>2</v>
      </c>
      <c r="Q14" s="92"/>
      <c r="R14" s="76">
        <v>690</v>
      </c>
      <c r="T14" s="21"/>
    </row>
    <row r="15" spans="1:20" ht="17.25" customHeight="1" x14ac:dyDescent="0.3">
      <c r="A15" s="77"/>
      <c r="B15" s="40" t="s">
        <v>152</v>
      </c>
      <c r="C15" s="79"/>
      <c r="D15" s="80"/>
      <c r="E15" s="79"/>
      <c r="F15" s="80"/>
      <c r="G15" s="80"/>
      <c r="H15" s="80"/>
      <c r="I15" s="80"/>
      <c r="J15" s="80"/>
      <c r="K15" s="80"/>
      <c r="L15" s="81"/>
      <c r="M15" s="80"/>
      <c r="N15" s="85"/>
      <c r="O15" s="82"/>
      <c r="P15" s="93"/>
      <c r="Q15" s="92"/>
      <c r="R15" s="76"/>
    </row>
    <row r="16" spans="1:20" ht="17.25" customHeight="1" x14ac:dyDescent="0.3">
      <c r="A16" s="68">
        <v>45664</v>
      </c>
      <c r="B16" s="40" t="s">
        <v>151</v>
      </c>
      <c r="C16" s="70">
        <v>414</v>
      </c>
      <c r="D16" s="70"/>
      <c r="E16" s="70">
        <v>4947</v>
      </c>
      <c r="F16" s="71"/>
      <c r="G16" s="71"/>
      <c r="H16" s="71"/>
      <c r="I16" s="71"/>
      <c r="J16" s="71"/>
      <c r="K16" s="71"/>
      <c r="L16" s="72">
        <f>SUM(C16:K16)+SUM(C17:K17)</f>
        <v>5361</v>
      </c>
      <c r="M16" s="71">
        <f t="shared" ref="M16" si="10">L16*100/115</f>
        <v>4661.739130434783</v>
      </c>
      <c r="N16" s="73">
        <f>M16*15%</f>
        <v>699.26086956521738</v>
      </c>
      <c r="O16" s="73">
        <f t="shared" ref="O16" si="11">M16+N16</f>
        <v>5361</v>
      </c>
      <c r="P16" s="88">
        <v>-12</v>
      </c>
      <c r="Q16" s="86"/>
      <c r="R16" s="76">
        <f>15+387</f>
        <v>402</v>
      </c>
      <c r="S16" s="94"/>
    </row>
    <row r="17" spans="1:21" ht="16.8" customHeight="1" x14ac:dyDescent="0.3">
      <c r="A17" s="77"/>
      <c r="B17" s="40" t="s">
        <v>152</v>
      </c>
      <c r="C17" s="79"/>
      <c r="D17" s="79"/>
      <c r="E17" s="79"/>
      <c r="F17" s="80"/>
      <c r="G17" s="80"/>
      <c r="H17" s="80"/>
      <c r="I17" s="80"/>
      <c r="J17" s="80"/>
      <c r="K17" s="80"/>
      <c r="L17" s="81"/>
      <c r="M17" s="80"/>
      <c r="N17" s="85"/>
      <c r="O17" s="82"/>
      <c r="P17" s="89"/>
      <c r="Q17" s="86"/>
      <c r="R17" s="76"/>
    </row>
    <row r="18" spans="1:21" ht="17.25" customHeight="1" x14ac:dyDescent="0.3">
      <c r="A18" s="68">
        <v>45665</v>
      </c>
      <c r="B18" s="40" t="s">
        <v>151</v>
      </c>
      <c r="C18" s="70">
        <v>672</v>
      </c>
      <c r="D18" s="70"/>
      <c r="E18" s="70">
        <v>6357</v>
      </c>
      <c r="F18" s="95"/>
      <c r="G18" s="95"/>
      <c r="H18" s="95"/>
      <c r="I18" s="95"/>
      <c r="J18" s="95"/>
      <c r="K18" s="95"/>
      <c r="L18" s="72">
        <f>SUM(C18:K18)+SUM(C19:K19)</f>
        <v>7029</v>
      </c>
      <c r="M18" s="71">
        <f t="shared" ref="M18" si="12">L18*100/115</f>
        <v>6112.173913043478</v>
      </c>
      <c r="N18" s="96">
        <f>M18*15%</f>
        <v>916.82608695652164</v>
      </c>
      <c r="O18" s="73">
        <f t="shared" ref="O18" si="13">M18+N18</f>
        <v>7029</v>
      </c>
      <c r="P18" s="73"/>
      <c r="Q18" s="97">
        <v>2.75</v>
      </c>
      <c r="R18" s="76">
        <v>645</v>
      </c>
    </row>
    <row r="19" spans="1:21" ht="17.25" customHeight="1" x14ac:dyDescent="0.3">
      <c r="A19" s="77"/>
      <c r="B19" s="40" t="s">
        <v>152</v>
      </c>
      <c r="C19" s="79"/>
      <c r="D19" s="79"/>
      <c r="E19" s="79"/>
      <c r="F19" s="95"/>
      <c r="G19" s="95"/>
      <c r="H19" s="95"/>
      <c r="I19" s="95"/>
      <c r="J19" s="95"/>
      <c r="K19" s="95"/>
      <c r="L19" s="81"/>
      <c r="M19" s="80"/>
      <c r="N19" s="98"/>
      <c r="O19" s="82"/>
      <c r="P19" s="85"/>
      <c r="Q19" s="99"/>
      <c r="R19" s="76"/>
    </row>
    <row r="20" spans="1:21" ht="17.25" customHeight="1" x14ac:dyDescent="0.3">
      <c r="A20" s="68">
        <v>45666</v>
      </c>
      <c r="B20" s="40" t="s">
        <v>151</v>
      </c>
      <c r="C20" s="70">
        <v>236</v>
      </c>
      <c r="D20" s="70"/>
      <c r="E20" s="90">
        <v>6389</v>
      </c>
      <c r="F20" s="71"/>
      <c r="G20" s="71"/>
      <c r="H20" s="71"/>
      <c r="I20" s="71"/>
      <c r="J20" s="71"/>
      <c r="K20" s="71"/>
      <c r="L20" s="72">
        <f>SUM(C20:K20)+SUM(C21:K21)</f>
        <v>6625</v>
      </c>
      <c r="M20" s="71">
        <f t="shared" ref="M20" si="14">L20*100/115</f>
        <v>5760.869565217391</v>
      </c>
      <c r="N20" s="73">
        <f>M20*15%</f>
        <v>864.13043478260863</v>
      </c>
      <c r="O20" s="73">
        <f t="shared" ref="O20" si="15">M20+N20</f>
        <v>6625</v>
      </c>
      <c r="P20" s="73"/>
      <c r="Q20" s="86"/>
      <c r="R20" s="76">
        <v>210</v>
      </c>
      <c r="U20" s="100"/>
    </row>
    <row r="21" spans="1:21" ht="17.25" customHeight="1" x14ac:dyDescent="0.3">
      <c r="A21" s="77"/>
      <c r="B21" s="40" t="s">
        <v>152</v>
      </c>
      <c r="C21" s="79"/>
      <c r="D21" s="79"/>
      <c r="E21" s="90"/>
      <c r="F21" s="80"/>
      <c r="G21" s="80"/>
      <c r="H21" s="80"/>
      <c r="I21" s="80"/>
      <c r="J21" s="80"/>
      <c r="K21" s="80"/>
      <c r="L21" s="81"/>
      <c r="M21" s="80"/>
      <c r="N21" s="85"/>
      <c r="O21" s="82"/>
      <c r="P21" s="85"/>
      <c r="Q21" s="86"/>
      <c r="R21" s="76"/>
    </row>
    <row r="22" spans="1:21" s="94" customFormat="1" ht="17.25" customHeight="1" x14ac:dyDescent="0.3">
      <c r="A22" s="68">
        <v>45667</v>
      </c>
      <c r="B22" s="40" t="s">
        <v>151</v>
      </c>
      <c r="C22" s="70">
        <v>651.66</v>
      </c>
      <c r="D22" s="70"/>
      <c r="E22" s="70">
        <v>6949.34</v>
      </c>
      <c r="F22" s="71"/>
      <c r="G22" s="71"/>
      <c r="H22" s="71"/>
      <c r="I22" s="71"/>
      <c r="J22" s="71"/>
      <c r="K22" s="71"/>
      <c r="L22" s="72">
        <f>SUM(C22:K22)+SUM(C23:K23)</f>
        <v>7601</v>
      </c>
      <c r="M22" s="71">
        <f t="shared" ref="M22" si="16">L22*100/115</f>
        <v>6609.565217391304</v>
      </c>
      <c r="N22" s="73">
        <f>M22*15%</f>
        <v>991.43478260869551</v>
      </c>
      <c r="O22" s="73">
        <f t="shared" ref="O22" si="17">M22+N22</f>
        <v>7601</v>
      </c>
      <c r="P22" s="73"/>
      <c r="Q22" s="101"/>
      <c r="R22" s="76">
        <v>653.25</v>
      </c>
    </row>
    <row r="23" spans="1:21" s="94" customFormat="1" ht="17.25" customHeight="1" x14ac:dyDescent="0.3">
      <c r="A23" s="77"/>
      <c r="B23" s="40" t="s">
        <v>152</v>
      </c>
      <c r="C23" s="79"/>
      <c r="D23" s="79"/>
      <c r="E23" s="79"/>
      <c r="F23" s="80"/>
      <c r="G23" s="80"/>
      <c r="H23" s="80"/>
      <c r="I23" s="80"/>
      <c r="J23" s="80"/>
      <c r="K23" s="80"/>
      <c r="L23" s="81"/>
      <c r="M23" s="80"/>
      <c r="N23" s="85"/>
      <c r="O23" s="82"/>
      <c r="P23" s="85"/>
      <c r="Q23" s="101"/>
      <c r="R23" s="76"/>
    </row>
    <row r="24" spans="1:21" ht="17.25" customHeight="1" x14ac:dyDescent="0.3">
      <c r="A24" s="68">
        <v>45668</v>
      </c>
      <c r="B24" s="40" t="s">
        <v>151</v>
      </c>
      <c r="C24" s="70">
        <v>583</v>
      </c>
      <c r="D24" s="70"/>
      <c r="E24" s="70">
        <v>4128</v>
      </c>
      <c r="F24" s="71"/>
      <c r="G24" s="71"/>
      <c r="H24" s="71"/>
      <c r="I24" s="71"/>
      <c r="J24" s="71"/>
      <c r="K24" s="71"/>
      <c r="L24" s="72">
        <f>SUM(C24:K24)+SUM(C25:K25)</f>
        <v>4711</v>
      </c>
      <c r="M24" s="71">
        <f t="shared" ref="M24" si="18">L24*100/115</f>
        <v>4096.521739130435</v>
      </c>
      <c r="N24" s="71">
        <f>M24*15%</f>
        <v>614.47826086956525</v>
      </c>
      <c r="O24" s="73">
        <f t="shared" ref="O24" si="19">M24+N24</f>
        <v>4711</v>
      </c>
      <c r="P24" s="73"/>
      <c r="Q24" s="86"/>
      <c r="R24" s="76">
        <v>583</v>
      </c>
    </row>
    <row r="25" spans="1:21" ht="17.25" customHeight="1" x14ac:dyDescent="0.3">
      <c r="A25" s="77"/>
      <c r="B25" s="40" t="s">
        <v>152</v>
      </c>
      <c r="C25" s="79"/>
      <c r="D25" s="79"/>
      <c r="E25" s="79"/>
      <c r="F25" s="80"/>
      <c r="G25" s="80"/>
      <c r="H25" s="80"/>
      <c r="I25" s="80"/>
      <c r="J25" s="80"/>
      <c r="K25" s="80"/>
      <c r="L25" s="81"/>
      <c r="M25" s="80"/>
      <c r="N25" s="80"/>
      <c r="O25" s="82"/>
      <c r="P25" s="85"/>
      <c r="Q25" s="86"/>
      <c r="R25" s="76"/>
    </row>
    <row r="26" spans="1:21" ht="17.25" customHeight="1" x14ac:dyDescent="0.3">
      <c r="A26" s="68">
        <v>45669</v>
      </c>
      <c r="B26" s="40" t="s">
        <v>151</v>
      </c>
      <c r="C26" s="71">
        <v>687</v>
      </c>
      <c r="D26" s="70"/>
      <c r="E26" s="71">
        <v>3123</v>
      </c>
      <c r="F26" s="71"/>
      <c r="G26" s="71"/>
      <c r="H26" s="71"/>
      <c r="I26" s="71"/>
      <c r="J26" s="71"/>
      <c r="K26" s="71"/>
      <c r="L26" s="72">
        <f>SUM(C26:K26)+SUM(C27:K27)</f>
        <v>3810</v>
      </c>
      <c r="M26" s="71">
        <f t="shared" ref="M26" si="20">L26*100/115</f>
        <v>3313.0434782608695</v>
      </c>
      <c r="N26" s="73">
        <f>M26*15%</f>
        <v>496.95652173913038</v>
      </c>
      <c r="O26" s="73">
        <f t="shared" ref="O26" si="21">M26+N26</f>
        <v>3810</v>
      </c>
      <c r="P26" s="73"/>
      <c r="Q26" s="86"/>
      <c r="R26" s="76">
        <v>687</v>
      </c>
    </row>
    <row r="27" spans="1:21" ht="17.25" customHeight="1" x14ac:dyDescent="0.3">
      <c r="A27" s="77"/>
      <c r="B27" s="40" t="s">
        <v>152</v>
      </c>
      <c r="C27" s="80"/>
      <c r="D27" s="79"/>
      <c r="E27" s="80"/>
      <c r="F27" s="80"/>
      <c r="G27" s="80"/>
      <c r="H27" s="80"/>
      <c r="I27" s="80"/>
      <c r="J27" s="80"/>
      <c r="K27" s="80"/>
      <c r="L27" s="81"/>
      <c r="M27" s="80"/>
      <c r="N27" s="85"/>
      <c r="O27" s="82"/>
      <c r="P27" s="85"/>
      <c r="Q27" s="86"/>
      <c r="R27" s="76"/>
    </row>
    <row r="28" spans="1:21" ht="17.25" customHeight="1" x14ac:dyDescent="0.3">
      <c r="A28" s="68">
        <v>45670</v>
      </c>
      <c r="B28" s="40" t="s">
        <v>151</v>
      </c>
      <c r="C28" s="70">
        <f>621-10</f>
        <v>611</v>
      </c>
      <c r="D28" s="70"/>
      <c r="E28" s="70">
        <v>4244</v>
      </c>
      <c r="F28" s="71"/>
      <c r="G28" s="71"/>
      <c r="H28" s="71"/>
      <c r="I28" s="71"/>
      <c r="J28" s="71"/>
      <c r="K28" s="71"/>
      <c r="L28" s="72">
        <f>SUM(C28:K28)+SUM(C29:K29)</f>
        <v>4855</v>
      </c>
      <c r="M28" s="71">
        <f t="shared" ref="M28" si="22">L28*100/115</f>
        <v>4221.739130434783</v>
      </c>
      <c r="N28" s="73">
        <f>M28*15%</f>
        <v>633.26086956521738</v>
      </c>
      <c r="O28" s="73">
        <f t="shared" ref="O28" si="23">M28+N28</f>
        <v>4855</v>
      </c>
      <c r="P28" s="73"/>
      <c r="Q28" s="86"/>
      <c r="R28" s="76">
        <f>621</f>
        <v>621</v>
      </c>
    </row>
    <row r="29" spans="1:21" ht="17.25" customHeight="1" x14ac:dyDescent="0.3">
      <c r="A29" s="77"/>
      <c r="B29" s="40" t="s">
        <v>152</v>
      </c>
      <c r="C29" s="79"/>
      <c r="D29" s="79"/>
      <c r="E29" s="79"/>
      <c r="F29" s="80"/>
      <c r="G29" s="80"/>
      <c r="H29" s="80"/>
      <c r="I29" s="80"/>
      <c r="J29" s="80"/>
      <c r="K29" s="80"/>
      <c r="L29" s="81"/>
      <c r="M29" s="80"/>
      <c r="N29" s="85"/>
      <c r="O29" s="82"/>
      <c r="P29" s="85"/>
      <c r="Q29" s="86"/>
      <c r="R29" s="76"/>
    </row>
    <row r="30" spans="1:21" ht="17.25" customHeight="1" x14ac:dyDescent="0.3">
      <c r="A30" s="68">
        <v>45671</v>
      </c>
      <c r="B30" s="40" t="s">
        <v>151</v>
      </c>
      <c r="C30" s="70">
        <v>602</v>
      </c>
      <c r="D30" s="70"/>
      <c r="E30" s="70">
        <v>4006</v>
      </c>
      <c r="F30" s="71"/>
      <c r="G30" s="71"/>
      <c r="H30" s="71"/>
      <c r="I30" s="71"/>
      <c r="J30" s="71"/>
      <c r="K30" s="71"/>
      <c r="L30" s="72">
        <f>SUM(C30:K30)+SUM(C31:K31)</f>
        <v>4608</v>
      </c>
      <c r="M30" s="71">
        <f t="shared" ref="M30" si="24">L30*100/115</f>
        <v>4006.9565217391305</v>
      </c>
      <c r="N30" s="73">
        <f>M30*15%</f>
        <v>601.04347826086951</v>
      </c>
      <c r="O30" s="73">
        <f t="shared" ref="O30" si="25">M30+N30</f>
        <v>4608</v>
      </c>
      <c r="P30" s="73"/>
      <c r="Q30" s="92">
        <v>1</v>
      </c>
      <c r="R30" s="76">
        <v>602</v>
      </c>
    </row>
    <row r="31" spans="1:21" ht="17.25" customHeight="1" x14ac:dyDescent="0.3">
      <c r="A31" s="77"/>
      <c r="B31" s="40" t="s">
        <v>152</v>
      </c>
      <c r="C31" s="79"/>
      <c r="D31" s="79"/>
      <c r="E31" s="79"/>
      <c r="F31" s="80"/>
      <c r="G31" s="80"/>
      <c r="H31" s="80"/>
      <c r="I31" s="80"/>
      <c r="J31" s="80"/>
      <c r="K31" s="80"/>
      <c r="L31" s="81"/>
      <c r="M31" s="80"/>
      <c r="N31" s="85"/>
      <c r="O31" s="82"/>
      <c r="P31" s="85"/>
      <c r="Q31" s="92"/>
      <c r="R31" s="76"/>
    </row>
    <row r="32" spans="1:21" ht="17.25" customHeight="1" x14ac:dyDescent="0.3">
      <c r="A32" s="68">
        <v>45672</v>
      </c>
      <c r="B32" s="40" t="s">
        <v>151</v>
      </c>
      <c r="C32" s="70">
        <v>654</v>
      </c>
      <c r="D32" s="70"/>
      <c r="E32" s="70">
        <f>4893-26</f>
        <v>4867</v>
      </c>
      <c r="F32" s="71"/>
      <c r="G32" s="71"/>
      <c r="H32" s="71"/>
      <c r="I32" s="71"/>
      <c r="J32" s="71"/>
      <c r="K32" s="71"/>
      <c r="L32" s="72">
        <f>SUM(C32:K32)+SUM(C33:K33)</f>
        <v>5521</v>
      </c>
      <c r="M32" s="71">
        <f t="shared" ref="M32" si="26">L32*100/115</f>
        <v>4800.869565217391</v>
      </c>
      <c r="N32" s="73">
        <f>M32*15%</f>
        <v>720.13043478260863</v>
      </c>
      <c r="O32" s="73">
        <f t="shared" ref="O32" si="27">M32+N32</f>
        <v>5521</v>
      </c>
      <c r="P32" s="73"/>
      <c r="Q32" s="88"/>
      <c r="R32" s="76">
        <f>654-26</f>
        <v>628</v>
      </c>
    </row>
    <row r="33" spans="1:19" ht="17.25" customHeight="1" x14ac:dyDescent="0.3">
      <c r="A33" s="77"/>
      <c r="B33" s="40" t="s">
        <v>152</v>
      </c>
      <c r="C33" s="79"/>
      <c r="D33" s="79"/>
      <c r="E33" s="79"/>
      <c r="F33" s="80"/>
      <c r="G33" s="80"/>
      <c r="H33" s="80"/>
      <c r="I33" s="80"/>
      <c r="J33" s="80"/>
      <c r="K33" s="80"/>
      <c r="L33" s="81"/>
      <c r="M33" s="80"/>
      <c r="N33" s="85"/>
      <c r="O33" s="82"/>
      <c r="P33" s="85"/>
      <c r="Q33" s="89"/>
      <c r="R33" s="76"/>
    </row>
    <row r="34" spans="1:19" ht="17.25" customHeight="1" x14ac:dyDescent="0.3">
      <c r="A34" s="68">
        <v>45673</v>
      </c>
      <c r="B34" s="40" t="s">
        <v>151</v>
      </c>
      <c r="C34" s="70">
        <v>513.33000000000004</v>
      </c>
      <c r="D34" s="70"/>
      <c r="E34" s="70">
        <v>5876.67</v>
      </c>
      <c r="F34" s="71"/>
      <c r="G34" s="71"/>
      <c r="H34" s="71"/>
      <c r="I34" s="71"/>
      <c r="J34" s="71"/>
      <c r="K34" s="71"/>
      <c r="L34" s="72">
        <f>SUM(C34:K34)+SUM(C35:K35)</f>
        <v>6390</v>
      </c>
      <c r="M34" s="71">
        <f t="shared" ref="M34" si="28">L34*100/115</f>
        <v>5556.521739130435</v>
      </c>
      <c r="N34" s="73">
        <f>M34*15%</f>
        <v>833.47826086956525</v>
      </c>
      <c r="O34" s="73">
        <f t="shared" ref="O34" si="29">M34+N34</f>
        <v>6390</v>
      </c>
      <c r="P34" s="73">
        <f>514-513.33</f>
        <v>0.66999999999995907</v>
      </c>
      <c r="Q34" s="86">
        <f>5878.67-5876.67</f>
        <v>2</v>
      </c>
      <c r="R34" s="76">
        <f>457+57</f>
        <v>514</v>
      </c>
    </row>
    <row r="35" spans="1:19" ht="17.25" customHeight="1" x14ac:dyDescent="0.3">
      <c r="A35" s="77"/>
      <c r="B35" s="40" t="s">
        <v>152</v>
      </c>
      <c r="C35" s="79"/>
      <c r="D35" s="79"/>
      <c r="E35" s="79"/>
      <c r="F35" s="80"/>
      <c r="G35" s="80"/>
      <c r="H35" s="80"/>
      <c r="I35" s="80"/>
      <c r="J35" s="80"/>
      <c r="K35" s="80"/>
      <c r="L35" s="81"/>
      <c r="M35" s="80"/>
      <c r="N35" s="85"/>
      <c r="O35" s="82"/>
      <c r="P35" s="85"/>
      <c r="Q35" s="86"/>
      <c r="R35" s="76"/>
    </row>
    <row r="36" spans="1:19" ht="17.25" customHeight="1" x14ac:dyDescent="0.3">
      <c r="A36" s="68">
        <v>45674</v>
      </c>
      <c r="B36" s="40" t="s">
        <v>151</v>
      </c>
      <c r="C36" s="73">
        <v>571</v>
      </c>
      <c r="D36" s="70"/>
      <c r="E36" s="70">
        <v>5242</v>
      </c>
      <c r="F36" s="71"/>
      <c r="G36" s="71"/>
      <c r="H36" s="71"/>
      <c r="I36" s="71"/>
      <c r="J36" s="71"/>
      <c r="K36" s="71"/>
      <c r="L36" s="72">
        <f>SUM(C36:K36)+SUM(C37:K37)</f>
        <v>5813</v>
      </c>
      <c r="M36" s="71">
        <f t="shared" ref="M36" si="30">L36*100/115</f>
        <v>5054.782608695652</v>
      </c>
      <c r="N36" s="73">
        <f>M36*15%</f>
        <v>758.21739130434776</v>
      </c>
      <c r="O36" s="73">
        <f t="shared" ref="O36" si="31">M36+N36</f>
        <v>5813</v>
      </c>
      <c r="P36" s="73"/>
      <c r="Q36" s="92"/>
      <c r="R36" s="76">
        <v>571.5</v>
      </c>
    </row>
    <row r="37" spans="1:19" ht="17.25" customHeight="1" x14ac:dyDescent="0.3">
      <c r="A37" s="77"/>
      <c r="B37" s="40" t="s">
        <v>152</v>
      </c>
      <c r="C37" s="85"/>
      <c r="D37" s="79"/>
      <c r="E37" s="79"/>
      <c r="F37" s="80"/>
      <c r="G37" s="80"/>
      <c r="H37" s="80"/>
      <c r="I37" s="80"/>
      <c r="J37" s="80"/>
      <c r="K37" s="80"/>
      <c r="L37" s="81"/>
      <c r="M37" s="80"/>
      <c r="N37" s="85"/>
      <c r="O37" s="82"/>
      <c r="P37" s="85"/>
      <c r="Q37" s="92"/>
      <c r="R37" s="76"/>
    </row>
    <row r="38" spans="1:19" ht="17.25" customHeight="1" x14ac:dyDescent="0.3">
      <c r="A38" s="68">
        <v>45675</v>
      </c>
      <c r="B38" s="40" t="s">
        <v>151</v>
      </c>
      <c r="C38" s="70">
        <v>645.33000000000004</v>
      </c>
      <c r="D38" s="71">
        <f>1450-18</f>
        <v>1432</v>
      </c>
      <c r="E38" s="70">
        <v>1554.67</v>
      </c>
      <c r="F38" s="71"/>
      <c r="G38" s="71"/>
      <c r="H38" s="71"/>
      <c r="I38" s="71"/>
      <c r="J38" s="71"/>
      <c r="K38" s="102"/>
      <c r="L38" s="72">
        <f>SUM(C38:K38)+SUM(C39:K39)</f>
        <v>3632</v>
      </c>
      <c r="M38" s="71">
        <f t="shared" ref="M38" si="32">L38*100/115</f>
        <v>3158.2608695652175</v>
      </c>
      <c r="N38" s="73">
        <f>M38*15%</f>
        <v>473.73913043478262</v>
      </c>
      <c r="O38" s="73">
        <f t="shared" ref="O38" si="33">M38+N38</f>
        <v>3632</v>
      </c>
      <c r="P38" s="103">
        <v>3.17</v>
      </c>
      <c r="Q38" s="73"/>
      <c r="R38" s="76">
        <v>648.5</v>
      </c>
    </row>
    <row r="39" spans="1:19" ht="17.25" customHeight="1" x14ac:dyDescent="0.3">
      <c r="A39" s="77"/>
      <c r="B39" s="40" t="s">
        <v>152</v>
      </c>
      <c r="C39" s="79"/>
      <c r="D39" s="80"/>
      <c r="E39" s="79"/>
      <c r="F39" s="80"/>
      <c r="G39" s="80"/>
      <c r="H39" s="80"/>
      <c r="I39" s="80"/>
      <c r="J39" s="80"/>
      <c r="K39" s="104"/>
      <c r="L39" s="81"/>
      <c r="M39" s="80"/>
      <c r="N39" s="85"/>
      <c r="O39" s="82"/>
      <c r="P39" s="105"/>
      <c r="Q39" s="85"/>
      <c r="R39" s="76"/>
    </row>
    <row r="40" spans="1:19" ht="17.25" customHeight="1" x14ac:dyDescent="0.3">
      <c r="A40" s="68">
        <v>45676</v>
      </c>
      <c r="B40" s="40" t="s">
        <v>151</v>
      </c>
      <c r="C40" s="106">
        <v>425</v>
      </c>
      <c r="D40" s="107">
        <v>2936</v>
      </c>
      <c r="E40" s="108">
        <v>508</v>
      </c>
      <c r="F40" s="109"/>
      <c r="G40" s="109"/>
      <c r="H40" s="109"/>
      <c r="I40" s="109"/>
      <c r="J40" s="109"/>
      <c r="K40" s="109"/>
      <c r="L40" s="72">
        <f>SUM(C40:K40)+SUM(C41:K41)</f>
        <v>3869</v>
      </c>
      <c r="M40" s="71">
        <f t="shared" ref="M40" si="34">L40*100/115</f>
        <v>3364.3478260869565</v>
      </c>
      <c r="N40" s="73">
        <f>M40*15%</f>
        <v>504.65217391304344</v>
      </c>
      <c r="O40" s="73">
        <f t="shared" ref="O40" si="35">M40+N40</f>
        <v>3869</v>
      </c>
      <c r="Q40" s="76"/>
      <c r="R40" s="76">
        <v>417</v>
      </c>
    </row>
    <row r="41" spans="1:19" ht="17.25" customHeight="1" x14ac:dyDescent="0.3">
      <c r="A41" s="77"/>
      <c r="B41" s="40" t="s">
        <v>152</v>
      </c>
      <c r="C41" s="110"/>
      <c r="D41" s="111"/>
      <c r="E41" s="112"/>
      <c r="F41" s="109"/>
      <c r="G41" s="109"/>
      <c r="H41" s="109"/>
      <c r="I41" s="109"/>
      <c r="J41" s="109"/>
      <c r="K41" s="109"/>
      <c r="L41" s="81"/>
      <c r="M41" s="80"/>
      <c r="N41" s="85"/>
      <c r="O41" s="82"/>
      <c r="Q41" s="76"/>
      <c r="R41" s="76"/>
    </row>
    <row r="42" spans="1:19" ht="17.25" customHeight="1" x14ac:dyDescent="0.3">
      <c r="A42" s="68">
        <v>45677</v>
      </c>
      <c r="B42" s="40" t="s">
        <v>151</v>
      </c>
      <c r="C42" s="70">
        <v>414</v>
      </c>
      <c r="D42" s="71">
        <v>1862.5</v>
      </c>
      <c r="E42" s="70">
        <v>626.5</v>
      </c>
      <c r="F42" s="109"/>
      <c r="G42" s="109"/>
      <c r="H42" s="109"/>
      <c r="I42" s="109"/>
      <c r="J42" s="109"/>
      <c r="K42" s="109"/>
      <c r="L42" s="72">
        <f>SUM(C42:K42)+SUM(C43:K43)</f>
        <v>2903</v>
      </c>
      <c r="M42" s="71">
        <f t="shared" ref="M42" si="36">L42*100/115</f>
        <v>2524.3478260869565</v>
      </c>
      <c r="N42" s="73">
        <f>M42*15%</f>
        <v>378.65217391304344</v>
      </c>
      <c r="O42" s="73">
        <f t="shared" ref="O42" si="37">M42+N42</f>
        <v>2903</v>
      </c>
      <c r="P42" s="74"/>
      <c r="Q42" s="76"/>
      <c r="R42" s="76">
        <v>364</v>
      </c>
    </row>
    <row r="43" spans="1:19" ht="17.25" customHeight="1" x14ac:dyDescent="0.3">
      <c r="A43" s="77"/>
      <c r="B43" s="40" t="s">
        <v>152</v>
      </c>
      <c r="C43" s="79"/>
      <c r="D43" s="80"/>
      <c r="E43" s="79"/>
      <c r="F43" s="109"/>
      <c r="G43" s="109"/>
      <c r="H43" s="109"/>
      <c r="I43" s="109"/>
      <c r="J43" s="109"/>
      <c r="K43" s="109"/>
      <c r="L43" s="81"/>
      <c r="M43" s="80"/>
      <c r="N43" s="85"/>
      <c r="O43" s="82"/>
      <c r="P43" s="83"/>
      <c r="Q43" s="76"/>
      <c r="R43" s="76"/>
    </row>
    <row r="44" spans="1:19" ht="17.25" customHeight="1" x14ac:dyDescent="0.3">
      <c r="A44" s="68">
        <v>45678</v>
      </c>
      <c r="B44" s="40" t="s">
        <v>151</v>
      </c>
      <c r="C44" s="70">
        <v>389</v>
      </c>
      <c r="D44" s="71">
        <v>3427</v>
      </c>
      <c r="E44" s="71">
        <v>27</v>
      </c>
      <c r="F44" s="109"/>
      <c r="G44" s="109"/>
      <c r="H44" s="109"/>
      <c r="I44" s="109"/>
      <c r="J44" s="109"/>
      <c r="K44" s="109"/>
      <c r="L44" s="72">
        <f>SUM(C44:K44)+SUM(C45:K45)</f>
        <v>3843</v>
      </c>
      <c r="M44" s="71">
        <f t="shared" ref="M44" si="38">L44*100/115</f>
        <v>3341.7391304347825</v>
      </c>
      <c r="N44" s="73">
        <f>M44*15%</f>
        <v>501.26086956521738</v>
      </c>
      <c r="O44" s="73">
        <f t="shared" ref="O44" si="39">M44+N44</f>
        <v>3843</v>
      </c>
      <c r="P44" s="74"/>
      <c r="Q44" s="76"/>
      <c r="R44" s="76">
        <v>389</v>
      </c>
    </row>
    <row r="45" spans="1:19" ht="17.25" customHeight="1" x14ac:dyDescent="0.3">
      <c r="A45" s="77"/>
      <c r="B45" s="40" t="s">
        <v>152</v>
      </c>
      <c r="C45" s="79"/>
      <c r="D45" s="80"/>
      <c r="E45" s="80"/>
      <c r="F45" s="109"/>
      <c r="G45" s="109"/>
      <c r="H45" s="109"/>
      <c r="I45" s="109"/>
      <c r="J45" s="109"/>
      <c r="K45" s="109"/>
      <c r="L45" s="81"/>
      <c r="M45" s="80"/>
      <c r="N45" s="85"/>
      <c r="O45" s="82"/>
      <c r="P45" s="83"/>
      <c r="Q45" s="76"/>
      <c r="R45" s="76"/>
    </row>
    <row r="46" spans="1:19" ht="17.25" customHeight="1" x14ac:dyDescent="0.3">
      <c r="A46" s="68">
        <v>45679</v>
      </c>
      <c r="B46" s="40" t="s">
        <v>151</v>
      </c>
      <c r="C46" s="70">
        <v>409</v>
      </c>
      <c r="D46" s="71">
        <v>3621</v>
      </c>
      <c r="E46" s="71">
        <v>73</v>
      </c>
      <c r="F46" s="109"/>
      <c r="G46" s="109"/>
      <c r="H46" s="109"/>
      <c r="I46" s="109"/>
      <c r="J46" s="109"/>
      <c r="K46" s="109"/>
      <c r="L46" s="72">
        <f>SUM(C46:K46)+SUM(C47:K47)</f>
        <v>4103</v>
      </c>
      <c r="M46" s="71">
        <f t="shared" ref="M46" si="40">L46*100/115</f>
        <v>3567.8260869565215</v>
      </c>
      <c r="N46" s="73">
        <f>M46*15%</f>
        <v>535.17391304347825</v>
      </c>
      <c r="O46" s="73">
        <f t="shared" ref="O46" si="41">M46+N46</f>
        <v>4103</v>
      </c>
      <c r="P46" s="74"/>
      <c r="Q46" s="76"/>
      <c r="R46" s="76">
        <v>409</v>
      </c>
    </row>
    <row r="47" spans="1:19" ht="17.25" customHeight="1" x14ac:dyDescent="0.3">
      <c r="A47" s="77"/>
      <c r="B47" s="40" t="s">
        <v>152</v>
      </c>
      <c r="C47" s="79"/>
      <c r="D47" s="80"/>
      <c r="E47" s="80"/>
      <c r="F47" s="109"/>
      <c r="G47" s="109"/>
      <c r="H47" s="109"/>
      <c r="I47" s="109"/>
      <c r="J47" s="109"/>
      <c r="K47" s="109"/>
      <c r="L47" s="81"/>
      <c r="M47" s="80"/>
      <c r="N47" s="85"/>
      <c r="O47" s="82"/>
      <c r="P47" s="83"/>
      <c r="Q47" s="76"/>
      <c r="R47" s="76"/>
    </row>
    <row r="48" spans="1:19" ht="17.25" customHeight="1" x14ac:dyDescent="0.3">
      <c r="A48" s="68">
        <v>45680</v>
      </c>
      <c r="B48" s="40" t="s">
        <v>151</v>
      </c>
      <c r="C48" s="70">
        <v>860</v>
      </c>
      <c r="D48" s="70">
        <v>5182</v>
      </c>
      <c r="E48" s="70">
        <v>299</v>
      </c>
      <c r="F48" s="109"/>
      <c r="G48" s="109"/>
      <c r="H48" s="109"/>
      <c r="I48" s="109"/>
      <c r="J48" s="109"/>
      <c r="K48" s="109"/>
      <c r="L48" s="72">
        <f>SUM(C48:K48)+SUM(C49:K49)</f>
        <v>6341</v>
      </c>
      <c r="M48" s="71">
        <f t="shared" ref="M48" si="42">L48*100/115</f>
        <v>5513.913043478261</v>
      </c>
      <c r="N48" s="73">
        <f>M48*15%</f>
        <v>827.08695652173913</v>
      </c>
      <c r="O48" s="73">
        <f t="shared" ref="O48" si="43">M48+N48</f>
        <v>6341</v>
      </c>
      <c r="P48" s="74"/>
      <c r="Q48" s="76"/>
      <c r="R48" s="76">
        <v>860</v>
      </c>
      <c r="S48" s="21"/>
    </row>
    <row r="49" spans="1:18" ht="17.25" customHeight="1" x14ac:dyDescent="0.3">
      <c r="A49" s="77"/>
      <c r="B49" s="40" t="s">
        <v>152</v>
      </c>
      <c r="C49" s="79"/>
      <c r="D49" s="79"/>
      <c r="E49" s="79"/>
      <c r="F49" s="109"/>
      <c r="G49" s="109"/>
      <c r="H49" s="109"/>
      <c r="I49" s="109"/>
      <c r="J49" s="109"/>
      <c r="K49" s="109"/>
      <c r="L49" s="81"/>
      <c r="M49" s="80"/>
      <c r="N49" s="85"/>
      <c r="O49" s="82"/>
      <c r="P49" s="83"/>
      <c r="Q49" s="76"/>
      <c r="R49" s="76"/>
    </row>
    <row r="50" spans="1:18" ht="17.25" customHeight="1" x14ac:dyDescent="0.3">
      <c r="A50" s="68">
        <v>45681</v>
      </c>
      <c r="B50" s="40" t="s">
        <v>151</v>
      </c>
      <c r="C50" s="70">
        <v>756</v>
      </c>
      <c r="D50" s="70">
        <v>540</v>
      </c>
      <c r="E50" s="70">
        <v>4472</v>
      </c>
      <c r="F50" s="109"/>
      <c r="G50" s="109"/>
      <c r="H50" s="109"/>
      <c r="I50" s="109"/>
      <c r="J50" s="109"/>
      <c r="K50" s="109"/>
      <c r="L50" s="72">
        <f>SUM(C50:K50)+SUM(C51:K51)</f>
        <v>5768</v>
      </c>
      <c r="M50" s="71">
        <f t="shared" ref="M50:M64" si="44">L50*100/115</f>
        <v>5015.652173913043</v>
      </c>
      <c r="N50" s="73">
        <f>M50*15%</f>
        <v>752.34782608695639</v>
      </c>
      <c r="O50" s="73">
        <f>M50+N50</f>
        <v>5767.9999999999991</v>
      </c>
      <c r="P50" s="74"/>
      <c r="Q50" s="103">
        <v>1</v>
      </c>
      <c r="R50" s="76">
        <v>757</v>
      </c>
    </row>
    <row r="51" spans="1:18" ht="17.25" customHeight="1" x14ac:dyDescent="0.3">
      <c r="A51" s="77"/>
      <c r="B51" s="40" t="s">
        <v>152</v>
      </c>
      <c r="C51" s="79"/>
      <c r="D51" s="79"/>
      <c r="E51" s="79"/>
      <c r="F51" s="109"/>
      <c r="G51" s="109"/>
      <c r="H51" s="109"/>
      <c r="I51" s="109"/>
      <c r="J51" s="109"/>
      <c r="K51" s="109"/>
      <c r="L51" s="81"/>
      <c r="M51" s="80"/>
      <c r="N51" s="85"/>
      <c r="O51" s="85"/>
      <c r="P51" s="113"/>
      <c r="Q51" s="105"/>
      <c r="R51" s="76"/>
    </row>
    <row r="52" spans="1:18" ht="17.25" customHeight="1" x14ac:dyDescent="0.3">
      <c r="A52" s="68">
        <v>45682</v>
      </c>
      <c r="B52" s="40" t="s">
        <v>151</v>
      </c>
      <c r="C52" s="70">
        <f>502.5-18</f>
        <v>484.5</v>
      </c>
      <c r="D52" s="71">
        <v>137</v>
      </c>
      <c r="E52" s="70">
        <v>3609.5</v>
      </c>
      <c r="F52" s="73"/>
      <c r="G52" s="73"/>
      <c r="H52" s="73"/>
      <c r="I52" s="73"/>
      <c r="J52" s="73"/>
      <c r="K52" s="73"/>
      <c r="L52" s="72">
        <f>SUM(C52:K52)+SUM(C53:K53)</f>
        <v>4231</v>
      </c>
      <c r="M52" s="71">
        <f t="shared" si="44"/>
        <v>3679.1304347826085</v>
      </c>
      <c r="N52" s="73">
        <f>M52*15%</f>
        <v>551.86956521739125</v>
      </c>
      <c r="O52" s="73">
        <f>M52+N52</f>
        <v>4231</v>
      </c>
      <c r="P52" s="74"/>
      <c r="Q52" s="103"/>
      <c r="R52" s="73">
        <v>484</v>
      </c>
    </row>
    <row r="53" spans="1:18" ht="17.25" customHeight="1" x14ac:dyDescent="0.3">
      <c r="A53" s="77"/>
      <c r="B53" s="40" t="s">
        <v>152</v>
      </c>
      <c r="C53" s="79"/>
      <c r="D53" s="80"/>
      <c r="E53" s="79"/>
      <c r="F53" s="85"/>
      <c r="G53" s="85"/>
      <c r="H53" s="85"/>
      <c r="I53" s="85"/>
      <c r="J53" s="85"/>
      <c r="K53" s="85"/>
      <c r="L53" s="81"/>
      <c r="M53" s="80"/>
      <c r="N53" s="85"/>
      <c r="O53" s="85"/>
      <c r="P53" s="113"/>
      <c r="Q53" s="105"/>
      <c r="R53" s="85"/>
    </row>
    <row r="54" spans="1:18" ht="17.25" customHeight="1" x14ac:dyDescent="0.3">
      <c r="A54" s="68">
        <v>45683</v>
      </c>
      <c r="B54" s="69" t="s">
        <v>151</v>
      </c>
      <c r="C54" s="70">
        <v>506</v>
      </c>
      <c r="D54" s="70"/>
      <c r="E54" s="70">
        <f>3250-10</f>
        <v>3240</v>
      </c>
      <c r="F54" s="113"/>
      <c r="G54" s="113"/>
      <c r="H54" s="113"/>
      <c r="I54" s="113"/>
      <c r="J54" s="113"/>
      <c r="K54" s="113"/>
      <c r="L54" s="72">
        <f>SUM(C54:K54)+SUM(C55:K55)</f>
        <v>3746</v>
      </c>
      <c r="M54" s="71">
        <f t="shared" si="44"/>
        <v>3257.391304347826</v>
      </c>
      <c r="N54" s="73">
        <f t="shared" ref="N54" si="45">M54*15%</f>
        <v>488.60869565217388</v>
      </c>
      <c r="O54" s="73">
        <f t="shared" ref="O54" si="46">M54+N54</f>
        <v>3746</v>
      </c>
      <c r="P54" s="72"/>
      <c r="Q54" s="72"/>
      <c r="R54" s="114">
        <v>500</v>
      </c>
    </row>
    <row r="55" spans="1:18" ht="17.25" customHeight="1" x14ac:dyDescent="0.3">
      <c r="A55" s="77"/>
      <c r="B55" s="69" t="s">
        <v>152</v>
      </c>
      <c r="C55" s="79"/>
      <c r="D55" s="79"/>
      <c r="E55" s="79"/>
      <c r="F55" s="113"/>
      <c r="G55" s="113"/>
      <c r="H55" s="113"/>
      <c r="I55" s="113"/>
      <c r="J55" s="113"/>
      <c r="K55" s="113"/>
      <c r="L55" s="81"/>
      <c r="M55" s="80"/>
      <c r="N55" s="85"/>
      <c r="O55" s="85"/>
      <c r="P55" s="81"/>
      <c r="Q55" s="81"/>
      <c r="R55" s="115"/>
    </row>
    <row r="56" spans="1:18" ht="17.25" customHeight="1" x14ac:dyDescent="0.3">
      <c r="A56" s="68">
        <v>45684</v>
      </c>
      <c r="B56" s="69" t="s">
        <v>151</v>
      </c>
      <c r="C56" s="70">
        <v>359</v>
      </c>
      <c r="D56" s="70"/>
      <c r="E56" s="70">
        <v>5133</v>
      </c>
      <c r="F56" s="113"/>
      <c r="G56" s="113"/>
      <c r="H56" s="113"/>
      <c r="I56" s="113"/>
      <c r="J56" s="113"/>
      <c r="K56" s="113"/>
      <c r="L56" s="72">
        <f>SUM(C56:K56)+SUM(C57:K57)</f>
        <v>5492</v>
      </c>
      <c r="M56" s="71">
        <f t="shared" si="44"/>
        <v>4775.652173913043</v>
      </c>
      <c r="N56" s="73">
        <f t="shared" ref="N56" si="47">M56*15%</f>
        <v>716.34782608695639</v>
      </c>
      <c r="O56" s="73">
        <f t="shared" ref="O56" si="48">M56+N56</f>
        <v>5491.9999999999991</v>
      </c>
      <c r="P56" s="72"/>
      <c r="Q56" s="72"/>
      <c r="R56" s="114">
        <v>348</v>
      </c>
    </row>
    <row r="57" spans="1:18" ht="17.25" customHeight="1" x14ac:dyDescent="0.3">
      <c r="A57" s="77"/>
      <c r="B57" s="69" t="s">
        <v>152</v>
      </c>
      <c r="C57" s="79"/>
      <c r="D57" s="79"/>
      <c r="E57" s="79"/>
      <c r="F57" s="113"/>
      <c r="G57" s="113"/>
      <c r="H57" s="113"/>
      <c r="I57" s="113"/>
      <c r="J57" s="113"/>
      <c r="K57" s="113"/>
      <c r="L57" s="81"/>
      <c r="M57" s="80"/>
      <c r="N57" s="85"/>
      <c r="O57" s="85"/>
      <c r="P57" s="81"/>
      <c r="Q57" s="81"/>
      <c r="R57" s="115"/>
    </row>
    <row r="58" spans="1:18" ht="17.25" customHeight="1" x14ac:dyDescent="0.3">
      <c r="A58" s="68">
        <v>45685</v>
      </c>
      <c r="B58" s="69" t="s">
        <v>151</v>
      </c>
      <c r="C58" s="73">
        <v>304</v>
      </c>
      <c r="D58" s="71"/>
      <c r="E58" s="71">
        <v>5407</v>
      </c>
      <c r="F58" s="113"/>
      <c r="G58" s="113"/>
      <c r="H58" s="113"/>
      <c r="I58" s="113"/>
      <c r="J58" s="113"/>
      <c r="K58" s="113"/>
      <c r="L58" s="72">
        <f>SUM(C58:K58)+SUM(C59:K59)</f>
        <v>5711</v>
      </c>
      <c r="M58" s="71">
        <f t="shared" si="44"/>
        <v>4966.086956521739</v>
      </c>
      <c r="N58" s="73">
        <f t="shared" ref="N58" si="49">M58*15%</f>
        <v>744.91304347826087</v>
      </c>
      <c r="O58" s="73">
        <f>M58+N58</f>
        <v>5711</v>
      </c>
      <c r="P58" s="72"/>
      <c r="Q58" s="72"/>
      <c r="R58" s="114">
        <v>304</v>
      </c>
    </row>
    <row r="59" spans="1:18" ht="17.25" customHeight="1" x14ac:dyDescent="0.3">
      <c r="A59" s="77"/>
      <c r="B59" s="69" t="s">
        <v>152</v>
      </c>
      <c r="C59" s="85"/>
      <c r="D59" s="80"/>
      <c r="E59" s="80"/>
      <c r="F59" s="113"/>
      <c r="G59" s="113"/>
      <c r="H59" s="113"/>
      <c r="I59" s="113"/>
      <c r="J59" s="113"/>
      <c r="K59" s="113"/>
      <c r="L59" s="81"/>
      <c r="M59" s="80"/>
      <c r="N59" s="85"/>
      <c r="O59" s="85"/>
      <c r="P59" s="81"/>
      <c r="Q59" s="81"/>
      <c r="R59" s="115"/>
    </row>
    <row r="60" spans="1:18" ht="17.25" customHeight="1" x14ac:dyDescent="0.3">
      <c r="A60" s="68">
        <v>45686</v>
      </c>
      <c r="B60" s="69" t="s">
        <v>151</v>
      </c>
      <c r="C60" s="71">
        <v>493</v>
      </c>
      <c r="D60" s="71"/>
      <c r="E60" s="71">
        <f>5540-10</f>
        <v>5530</v>
      </c>
      <c r="F60" s="113"/>
      <c r="G60" s="113"/>
      <c r="H60" s="113"/>
      <c r="I60" s="113"/>
      <c r="J60" s="113"/>
      <c r="K60" s="113"/>
      <c r="L60" s="72">
        <f t="shared" ref="L60" si="50">SUM(C60:K60)+SUM(C61:K61)</f>
        <v>6023</v>
      </c>
      <c r="M60" s="71">
        <f t="shared" si="44"/>
        <v>5237.391304347826</v>
      </c>
      <c r="N60" s="73">
        <f t="shared" ref="N60" si="51">M60*15%</f>
        <v>785.60869565217388</v>
      </c>
      <c r="O60" s="73">
        <f t="shared" ref="O60" si="52">M60+N60</f>
        <v>6023</v>
      </c>
      <c r="P60" s="72"/>
      <c r="Q60" s="72"/>
      <c r="R60" s="114">
        <v>502</v>
      </c>
    </row>
    <row r="61" spans="1:18" ht="17.25" customHeight="1" x14ac:dyDescent="0.3">
      <c r="A61" s="77"/>
      <c r="B61" s="69" t="s">
        <v>152</v>
      </c>
      <c r="C61" s="80"/>
      <c r="D61" s="80"/>
      <c r="E61" s="80"/>
      <c r="F61" s="113"/>
      <c r="G61" s="113"/>
      <c r="H61" s="113"/>
      <c r="I61" s="113"/>
      <c r="J61" s="113"/>
      <c r="K61" s="113"/>
      <c r="L61" s="81"/>
      <c r="M61" s="80"/>
      <c r="N61" s="85"/>
      <c r="O61" s="85"/>
      <c r="P61" s="81"/>
      <c r="Q61" s="81"/>
      <c r="R61" s="115"/>
    </row>
    <row r="62" spans="1:18" ht="17.25" customHeight="1" x14ac:dyDescent="0.3">
      <c r="A62" s="68">
        <v>45687</v>
      </c>
      <c r="B62" s="69" t="s">
        <v>151</v>
      </c>
      <c r="C62" s="71">
        <v>560.34</v>
      </c>
      <c r="D62" s="71"/>
      <c r="E62" s="71">
        <v>5901.66</v>
      </c>
      <c r="F62" s="113"/>
      <c r="G62" s="113"/>
      <c r="H62" s="113"/>
      <c r="I62" s="113"/>
      <c r="J62" s="113"/>
      <c r="K62" s="113"/>
      <c r="L62" s="72">
        <f t="shared" ref="L62" si="53">SUM(C62:K62)+SUM(C63:K63)</f>
        <v>6462</v>
      </c>
      <c r="M62" s="71">
        <f t="shared" si="44"/>
        <v>5619.130434782609</v>
      </c>
      <c r="N62" s="73">
        <f t="shared" ref="N62" si="54">M62*15%</f>
        <v>842.86956521739137</v>
      </c>
      <c r="O62" s="73">
        <f t="shared" ref="O62" si="55">M62+N62</f>
        <v>6462</v>
      </c>
      <c r="P62" s="72"/>
      <c r="Q62" s="72"/>
      <c r="R62" s="114">
        <v>560.34</v>
      </c>
    </row>
    <row r="63" spans="1:18" ht="17.25" customHeight="1" x14ac:dyDescent="0.3">
      <c r="A63" s="77"/>
      <c r="B63" s="69" t="s">
        <v>152</v>
      </c>
      <c r="C63" s="80"/>
      <c r="D63" s="80"/>
      <c r="E63" s="80"/>
      <c r="F63" s="113"/>
      <c r="G63" s="113"/>
      <c r="H63" s="113"/>
      <c r="I63" s="113"/>
      <c r="J63" s="113"/>
      <c r="K63" s="113"/>
      <c r="L63" s="81"/>
      <c r="M63" s="80"/>
      <c r="N63" s="85"/>
      <c r="O63" s="85"/>
      <c r="P63" s="81"/>
      <c r="Q63" s="81"/>
      <c r="R63" s="115"/>
    </row>
    <row r="64" spans="1:18" ht="17.25" customHeight="1" x14ac:dyDescent="0.3">
      <c r="A64" s="68">
        <v>45688</v>
      </c>
      <c r="B64" s="69" t="s">
        <v>151</v>
      </c>
      <c r="C64" s="71">
        <v>435</v>
      </c>
      <c r="D64" s="71"/>
      <c r="E64" s="71">
        <f>5470-44</f>
        <v>5426</v>
      </c>
      <c r="F64" s="113"/>
      <c r="G64" s="113"/>
      <c r="H64" s="113"/>
      <c r="I64" s="113"/>
      <c r="J64" s="113"/>
      <c r="K64" s="113"/>
      <c r="L64" s="72">
        <f t="shared" ref="L64" si="56">SUM(C64:K64)+SUM(C65:K65)</f>
        <v>5861</v>
      </c>
      <c r="M64" s="71">
        <f t="shared" si="44"/>
        <v>5096.521739130435</v>
      </c>
      <c r="N64" s="73">
        <f t="shared" ref="N64" si="57">M64*15%</f>
        <v>764.47826086956525</v>
      </c>
      <c r="O64" s="73">
        <f t="shared" ref="O64" si="58">M64+N64</f>
        <v>5861</v>
      </c>
      <c r="P64" s="72"/>
      <c r="Q64" s="116">
        <v>82</v>
      </c>
      <c r="R64" s="114">
        <v>436</v>
      </c>
    </row>
    <row r="65" spans="1:19" ht="16.8" customHeight="1" x14ac:dyDescent="0.3">
      <c r="A65" s="77"/>
      <c r="B65" s="69" t="s">
        <v>152</v>
      </c>
      <c r="C65" s="80"/>
      <c r="D65" s="80"/>
      <c r="E65" s="80"/>
      <c r="F65" s="113"/>
      <c r="G65" s="113"/>
      <c r="H65" s="113"/>
      <c r="I65" s="113"/>
      <c r="J65" s="113"/>
      <c r="K65" s="113"/>
      <c r="L65" s="81"/>
      <c r="M65" s="80"/>
      <c r="N65" s="85"/>
      <c r="O65" s="85"/>
      <c r="P65" s="81"/>
      <c r="Q65" s="117"/>
      <c r="R65" s="115"/>
    </row>
    <row r="66" spans="1:19" ht="15" customHeight="1" x14ac:dyDescent="0.3">
      <c r="A66" s="118" t="s">
        <v>56</v>
      </c>
      <c r="B66" s="119"/>
      <c r="C66" s="120">
        <f>SUM(C4:C65)</f>
        <v>17375.66</v>
      </c>
      <c r="D66" s="120">
        <f>SUM(D4:D65)</f>
        <v>19266.5</v>
      </c>
      <c r="E66" s="120">
        <f>SUM(E4:E65)</f>
        <v>134148.84</v>
      </c>
      <c r="F66" s="120">
        <f t="shared" ref="F66:K66" si="59">SUM(F5:F51)</f>
        <v>0</v>
      </c>
      <c r="G66" s="120">
        <f t="shared" si="59"/>
        <v>0</v>
      </c>
      <c r="H66" s="120">
        <f t="shared" si="59"/>
        <v>0</v>
      </c>
      <c r="I66" s="120">
        <f t="shared" si="59"/>
        <v>0</v>
      </c>
      <c r="J66" s="120">
        <f t="shared" si="59"/>
        <v>0</v>
      </c>
      <c r="K66" s="120">
        <f t="shared" si="59"/>
        <v>0</v>
      </c>
      <c r="L66" s="120">
        <f>SUM(L4:L65)</f>
        <v>170791</v>
      </c>
      <c r="M66" s="120">
        <f>SUM(M4:M65)</f>
        <v>148513.91304347827</v>
      </c>
      <c r="N66" s="120">
        <f>SUM(N4:N65)</f>
        <v>22277.086956521736</v>
      </c>
      <c r="O66" s="120">
        <f>SUM(O4:O65)</f>
        <v>170791</v>
      </c>
      <c r="P66" s="121">
        <f>SUM(P4:P65)</f>
        <v>12.839999999999959</v>
      </c>
      <c r="Q66" s="120">
        <f>SUM(Q5:Q51)</f>
        <v>57.75</v>
      </c>
      <c r="R66" s="122">
        <f>SUM(R4:R65)</f>
        <v>17202.59</v>
      </c>
      <c r="S66" s="123">
        <f>R66-C66</f>
        <v>-173.06999999999971</v>
      </c>
    </row>
    <row r="67" spans="1:19" ht="15" customHeight="1" x14ac:dyDescent="0.3">
      <c r="A67" s="124"/>
      <c r="B67" s="118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5"/>
      <c r="Q67" s="120"/>
      <c r="R67" s="126"/>
      <c r="S67" s="127"/>
    </row>
    <row r="68" spans="1:19" x14ac:dyDescent="0.3">
      <c r="C68" s="87"/>
      <c r="E68" s="87"/>
      <c r="L68" s="87">
        <f>L66/31</f>
        <v>5509.3870967741932</v>
      </c>
      <c r="N68" s="87"/>
      <c r="O68" s="87"/>
      <c r="P68" s="87"/>
    </row>
    <row r="69" spans="1:19" x14ac:dyDescent="0.3">
      <c r="C69" s="128" t="s">
        <v>9</v>
      </c>
      <c r="D69" s="129" t="s">
        <v>150</v>
      </c>
      <c r="E69" s="129" t="s">
        <v>153</v>
      </c>
      <c r="F69" s="87"/>
      <c r="M69" s="87"/>
      <c r="N69" s="87"/>
      <c r="O69" s="129" t="s">
        <v>56</v>
      </c>
    </row>
    <row r="70" spans="1:19" x14ac:dyDescent="0.3">
      <c r="C70" s="128"/>
      <c r="D70" s="129"/>
      <c r="E70" s="129"/>
      <c r="K70" s="87"/>
      <c r="L70" s="87"/>
      <c r="N70" s="87"/>
      <c r="O70" s="129"/>
    </row>
    <row r="71" spans="1:19" ht="15" customHeight="1" x14ac:dyDescent="0.3">
      <c r="K71" s="87"/>
      <c r="L71" s="87"/>
      <c r="O71" s="87"/>
      <c r="P71" s="87"/>
    </row>
    <row r="72" spans="1:19" ht="15" customHeight="1" x14ac:dyDescent="0.3">
      <c r="L72" s="87"/>
    </row>
    <row r="73" spans="1:19" x14ac:dyDescent="0.3">
      <c r="L73" s="87"/>
    </row>
    <row r="74" spans="1:19" x14ac:dyDescent="0.3">
      <c r="L74" s="87"/>
    </row>
    <row r="75" spans="1:19" x14ac:dyDescent="0.3">
      <c r="L75" s="87"/>
    </row>
    <row r="76" spans="1:19" x14ac:dyDescent="0.3">
      <c r="R76" s="21"/>
    </row>
  </sheetData>
  <mergeCells count="475">
    <mergeCell ref="S66:S67"/>
    <mergeCell ref="C69:C70"/>
    <mergeCell ref="D69:D70"/>
    <mergeCell ref="E69:E70"/>
    <mergeCell ref="O69:O70"/>
    <mergeCell ref="M66:M67"/>
    <mergeCell ref="N66:N67"/>
    <mergeCell ref="O66:O67"/>
    <mergeCell ref="P66:P67"/>
    <mergeCell ref="Q66:Q67"/>
    <mergeCell ref="R66:R67"/>
    <mergeCell ref="G66:G67"/>
    <mergeCell ref="H66:H67"/>
    <mergeCell ref="I66:I67"/>
    <mergeCell ref="J66:J67"/>
    <mergeCell ref="K66:K67"/>
    <mergeCell ref="L66:L67"/>
    <mergeCell ref="A66:A67"/>
    <mergeCell ref="B66:B67"/>
    <mergeCell ref="C66:C67"/>
    <mergeCell ref="D66:D67"/>
    <mergeCell ref="E66:E67"/>
    <mergeCell ref="F66:F67"/>
    <mergeCell ref="M64:M65"/>
    <mergeCell ref="N64:N65"/>
    <mergeCell ref="O64:O65"/>
    <mergeCell ref="P64:P65"/>
    <mergeCell ref="Q64:Q65"/>
    <mergeCell ref="R64:R65"/>
    <mergeCell ref="N62:N63"/>
    <mergeCell ref="O62:O63"/>
    <mergeCell ref="P62:P63"/>
    <mergeCell ref="Q62:Q63"/>
    <mergeCell ref="R62:R63"/>
    <mergeCell ref="A64:A65"/>
    <mergeCell ref="C64:C65"/>
    <mergeCell ref="D64:D65"/>
    <mergeCell ref="E64:E65"/>
    <mergeCell ref="L64:L65"/>
    <mergeCell ref="A62:A63"/>
    <mergeCell ref="C62:C63"/>
    <mergeCell ref="D62:D63"/>
    <mergeCell ref="E62:E63"/>
    <mergeCell ref="L62:L63"/>
    <mergeCell ref="M62:M63"/>
    <mergeCell ref="M60:M61"/>
    <mergeCell ref="N60:N61"/>
    <mergeCell ref="O60:O61"/>
    <mergeCell ref="P60:P61"/>
    <mergeCell ref="Q60:Q61"/>
    <mergeCell ref="R60:R61"/>
    <mergeCell ref="N58:N59"/>
    <mergeCell ref="O58:O59"/>
    <mergeCell ref="P58:P59"/>
    <mergeCell ref="Q58:Q59"/>
    <mergeCell ref="R58:R59"/>
    <mergeCell ref="A60:A61"/>
    <mergeCell ref="C60:C61"/>
    <mergeCell ref="D60:D61"/>
    <mergeCell ref="E60:E61"/>
    <mergeCell ref="L60:L61"/>
    <mergeCell ref="A58:A59"/>
    <mergeCell ref="C58:C59"/>
    <mergeCell ref="D58:D59"/>
    <mergeCell ref="E58:E59"/>
    <mergeCell ref="L58:L59"/>
    <mergeCell ref="M58:M59"/>
    <mergeCell ref="M56:M57"/>
    <mergeCell ref="N56:N57"/>
    <mergeCell ref="O56:O57"/>
    <mergeCell ref="P56:P57"/>
    <mergeCell ref="Q56:Q57"/>
    <mergeCell ref="R56:R57"/>
    <mergeCell ref="N54:N55"/>
    <mergeCell ref="O54:O55"/>
    <mergeCell ref="P54:P55"/>
    <mergeCell ref="Q54:Q55"/>
    <mergeCell ref="R54:R55"/>
    <mergeCell ref="A56:A57"/>
    <mergeCell ref="C56:C57"/>
    <mergeCell ref="D56:D57"/>
    <mergeCell ref="E56:E57"/>
    <mergeCell ref="L56:L57"/>
    <mergeCell ref="N52:N53"/>
    <mergeCell ref="O52:O53"/>
    <mergeCell ref="Q52:Q53"/>
    <mergeCell ref="R52:R53"/>
    <mergeCell ref="A54:A55"/>
    <mergeCell ref="C54:C55"/>
    <mergeCell ref="D54:D55"/>
    <mergeCell ref="E54:E55"/>
    <mergeCell ref="L54:L55"/>
    <mergeCell ref="M54:M55"/>
    <mergeCell ref="H52:H53"/>
    <mergeCell ref="I52:I53"/>
    <mergeCell ref="J52:J53"/>
    <mergeCell ref="K52:K53"/>
    <mergeCell ref="L52:L53"/>
    <mergeCell ref="M52:M53"/>
    <mergeCell ref="N50:N51"/>
    <mergeCell ref="O50:O51"/>
    <mergeCell ref="Q50:Q51"/>
    <mergeCell ref="R50:R51"/>
    <mergeCell ref="A52:A53"/>
    <mergeCell ref="C52:C53"/>
    <mergeCell ref="D52:D53"/>
    <mergeCell ref="E52:E53"/>
    <mergeCell ref="F52:F53"/>
    <mergeCell ref="G52:G53"/>
    <mergeCell ref="N48:N49"/>
    <mergeCell ref="O48:O49"/>
    <mergeCell ref="Q48:Q49"/>
    <mergeCell ref="R48:R49"/>
    <mergeCell ref="A50:A51"/>
    <mergeCell ref="C50:C51"/>
    <mergeCell ref="D50:D51"/>
    <mergeCell ref="E50:E51"/>
    <mergeCell ref="L50:L51"/>
    <mergeCell ref="M50:M51"/>
    <mergeCell ref="N46:N47"/>
    <mergeCell ref="O46:O47"/>
    <mergeCell ref="Q46:Q47"/>
    <mergeCell ref="R46:R47"/>
    <mergeCell ref="A48:A49"/>
    <mergeCell ref="C48:C49"/>
    <mergeCell ref="D48:D49"/>
    <mergeCell ref="E48:E49"/>
    <mergeCell ref="L48:L49"/>
    <mergeCell ref="M48:M49"/>
    <mergeCell ref="N44:N45"/>
    <mergeCell ref="O44:O45"/>
    <mergeCell ref="Q44:Q45"/>
    <mergeCell ref="R44:R45"/>
    <mergeCell ref="A46:A47"/>
    <mergeCell ref="C46:C47"/>
    <mergeCell ref="D46:D47"/>
    <mergeCell ref="E46:E47"/>
    <mergeCell ref="L46:L47"/>
    <mergeCell ref="M46:M47"/>
    <mergeCell ref="N42:N43"/>
    <mergeCell ref="O42:O43"/>
    <mergeCell ref="Q42:Q43"/>
    <mergeCell ref="R42:R43"/>
    <mergeCell ref="A44:A45"/>
    <mergeCell ref="C44:C45"/>
    <mergeCell ref="D44:D45"/>
    <mergeCell ref="E44:E45"/>
    <mergeCell ref="L44:L45"/>
    <mergeCell ref="M44:M45"/>
    <mergeCell ref="N40:N41"/>
    <mergeCell ref="O40:O41"/>
    <mergeCell ref="Q40:Q41"/>
    <mergeCell ref="R40:R41"/>
    <mergeCell ref="A42:A43"/>
    <mergeCell ref="C42:C43"/>
    <mergeCell ref="D42:D43"/>
    <mergeCell ref="E42:E43"/>
    <mergeCell ref="L42:L43"/>
    <mergeCell ref="M42:M43"/>
    <mergeCell ref="A40:A41"/>
    <mergeCell ref="C40:C41"/>
    <mergeCell ref="D40:D41"/>
    <mergeCell ref="E40:E41"/>
    <mergeCell ref="L40:L41"/>
    <mergeCell ref="M40:M41"/>
    <mergeCell ref="M38:M39"/>
    <mergeCell ref="N38:N39"/>
    <mergeCell ref="O38:O39"/>
    <mergeCell ref="P38:P39"/>
    <mergeCell ref="Q38:Q39"/>
    <mergeCell ref="R38:R39"/>
    <mergeCell ref="G38:G39"/>
    <mergeCell ref="H38:H39"/>
    <mergeCell ref="I38:I39"/>
    <mergeCell ref="J38:J39"/>
    <mergeCell ref="K38:K39"/>
    <mergeCell ref="L38:L39"/>
    <mergeCell ref="N36:N37"/>
    <mergeCell ref="O36:O37"/>
    <mergeCell ref="P36:P37"/>
    <mergeCell ref="Q36:Q37"/>
    <mergeCell ref="R36:R37"/>
    <mergeCell ref="A38:A39"/>
    <mergeCell ref="C38:C39"/>
    <mergeCell ref="D38:D39"/>
    <mergeCell ref="E38:E39"/>
    <mergeCell ref="F38:F39"/>
    <mergeCell ref="H36:H37"/>
    <mergeCell ref="I36:I37"/>
    <mergeCell ref="J36:J37"/>
    <mergeCell ref="K36:K37"/>
    <mergeCell ref="L36:L37"/>
    <mergeCell ref="M36:M37"/>
    <mergeCell ref="A36:A37"/>
    <mergeCell ref="C36:C37"/>
    <mergeCell ref="D36:D37"/>
    <mergeCell ref="E36:E37"/>
    <mergeCell ref="F36:F37"/>
    <mergeCell ref="G36:G37"/>
    <mergeCell ref="M34:M35"/>
    <mergeCell ref="N34:N35"/>
    <mergeCell ref="O34:O35"/>
    <mergeCell ref="P34:P35"/>
    <mergeCell ref="Q34:Q35"/>
    <mergeCell ref="R34:R35"/>
    <mergeCell ref="G34:G35"/>
    <mergeCell ref="H34:H35"/>
    <mergeCell ref="I34:I35"/>
    <mergeCell ref="J34:J35"/>
    <mergeCell ref="K34:K35"/>
    <mergeCell ref="L34:L35"/>
    <mergeCell ref="N32:N33"/>
    <mergeCell ref="O32:O33"/>
    <mergeCell ref="P32:P33"/>
    <mergeCell ref="Q32:Q33"/>
    <mergeCell ref="R32:R33"/>
    <mergeCell ref="A34:A35"/>
    <mergeCell ref="C34:C35"/>
    <mergeCell ref="D34:D35"/>
    <mergeCell ref="E34:E35"/>
    <mergeCell ref="F34:F35"/>
    <mergeCell ref="H32:H33"/>
    <mergeCell ref="I32:I33"/>
    <mergeCell ref="J32:J33"/>
    <mergeCell ref="K32:K33"/>
    <mergeCell ref="L32:L33"/>
    <mergeCell ref="M32:M33"/>
    <mergeCell ref="A32:A33"/>
    <mergeCell ref="C32:C33"/>
    <mergeCell ref="D32:D33"/>
    <mergeCell ref="E32:E33"/>
    <mergeCell ref="F32:F33"/>
    <mergeCell ref="G32:G33"/>
    <mergeCell ref="M30:M31"/>
    <mergeCell ref="N30:N31"/>
    <mergeCell ref="O30:O31"/>
    <mergeCell ref="P30:P31"/>
    <mergeCell ref="Q30:Q31"/>
    <mergeCell ref="R30:R31"/>
    <mergeCell ref="G30:G31"/>
    <mergeCell ref="H30:H31"/>
    <mergeCell ref="I30:I31"/>
    <mergeCell ref="J30:J31"/>
    <mergeCell ref="K30:K31"/>
    <mergeCell ref="L30:L31"/>
    <mergeCell ref="N28:N29"/>
    <mergeCell ref="O28:O29"/>
    <mergeCell ref="P28:P29"/>
    <mergeCell ref="Q28:Q29"/>
    <mergeCell ref="R28:R29"/>
    <mergeCell ref="A30:A31"/>
    <mergeCell ref="C30:C31"/>
    <mergeCell ref="D30:D31"/>
    <mergeCell ref="E30:E31"/>
    <mergeCell ref="F30:F31"/>
    <mergeCell ref="H28:H29"/>
    <mergeCell ref="I28:I29"/>
    <mergeCell ref="J28:J29"/>
    <mergeCell ref="K28:K29"/>
    <mergeCell ref="L28:L29"/>
    <mergeCell ref="M28:M29"/>
    <mergeCell ref="A28:A29"/>
    <mergeCell ref="C28:C29"/>
    <mergeCell ref="D28:D29"/>
    <mergeCell ref="E28:E29"/>
    <mergeCell ref="F28:F29"/>
    <mergeCell ref="G28:G29"/>
    <mergeCell ref="M26:M27"/>
    <mergeCell ref="N26:N27"/>
    <mergeCell ref="O26:O27"/>
    <mergeCell ref="P26:P27"/>
    <mergeCell ref="Q26:Q27"/>
    <mergeCell ref="R26:R27"/>
    <mergeCell ref="G26:G27"/>
    <mergeCell ref="H26:H27"/>
    <mergeCell ref="I26:I27"/>
    <mergeCell ref="J26:J27"/>
    <mergeCell ref="K26:K27"/>
    <mergeCell ref="L26:L27"/>
    <mergeCell ref="N24:N25"/>
    <mergeCell ref="O24:O25"/>
    <mergeCell ref="P24:P25"/>
    <mergeCell ref="Q24:Q25"/>
    <mergeCell ref="R24:R25"/>
    <mergeCell ref="A26:A27"/>
    <mergeCell ref="C26:C27"/>
    <mergeCell ref="D26:D27"/>
    <mergeCell ref="E26:E27"/>
    <mergeCell ref="F26:F27"/>
    <mergeCell ref="H24:H25"/>
    <mergeCell ref="I24:I25"/>
    <mergeCell ref="J24:J25"/>
    <mergeCell ref="K24:K25"/>
    <mergeCell ref="L24:L25"/>
    <mergeCell ref="M24:M25"/>
    <mergeCell ref="A24:A25"/>
    <mergeCell ref="C24:C25"/>
    <mergeCell ref="D24:D25"/>
    <mergeCell ref="E24:E25"/>
    <mergeCell ref="F24:F25"/>
    <mergeCell ref="G24:G25"/>
    <mergeCell ref="M22:M23"/>
    <mergeCell ref="N22:N23"/>
    <mergeCell ref="O22:O23"/>
    <mergeCell ref="P22:P23"/>
    <mergeCell ref="Q22:Q23"/>
    <mergeCell ref="R22:R23"/>
    <mergeCell ref="G22:G23"/>
    <mergeCell ref="H22:H23"/>
    <mergeCell ref="I22:I23"/>
    <mergeCell ref="J22:J23"/>
    <mergeCell ref="K22:K23"/>
    <mergeCell ref="L22:L23"/>
    <mergeCell ref="N20:N21"/>
    <mergeCell ref="O20:O21"/>
    <mergeCell ref="P20:P21"/>
    <mergeCell ref="Q20:Q21"/>
    <mergeCell ref="R20:R21"/>
    <mergeCell ref="A22:A23"/>
    <mergeCell ref="C22:C23"/>
    <mergeCell ref="D22:D23"/>
    <mergeCell ref="E22:E23"/>
    <mergeCell ref="F22:F23"/>
    <mergeCell ref="H20:H21"/>
    <mergeCell ref="I20:I21"/>
    <mergeCell ref="J20:J21"/>
    <mergeCell ref="K20:K21"/>
    <mergeCell ref="L20:L21"/>
    <mergeCell ref="M20:M21"/>
    <mergeCell ref="N18:N19"/>
    <mergeCell ref="O18:O19"/>
    <mergeCell ref="P18:P19"/>
    <mergeCell ref="Q18:Q19"/>
    <mergeCell ref="R18:R19"/>
    <mergeCell ref="A20:A21"/>
    <mergeCell ref="C20:C21"/>
    <mergeCell ref="D20:D21"/>
    <mergeCell ref="F20:F21"/>
    <mergeCell ref="G20:G21"/>
    <mergeCell ref="A18:A19"/>
    <mergeCell ref="C18:C19"/>
    <mergeCell ref="D18:D19"/>
    <mergeCell ref="E18:E19"/>
    <mergeCell ref="L18:L19"/>
    <mergeCell ref="M18:M19"/>
    <mergeCell ref="M16:M17"/>
    <mergeCell ref="N16:N17"/>
    <mergeCell ref="O16:O17"/>
    <mergeCell ref="P16:P17"/>
    <mergeCell ref="Q16:Q17"/>
    <mergeCell ref="R16:R17"/>
    <mergeCell ref="G16:G17"/>
    <mergeCell ref="H16:H17"/>
    <mergeCell ref="I16:I17"/>
    <mergeCell ref="J16:J17"/>
    <mergeCell ref="K16:K17"/>
    <mergeCell ref="L16:L17"/>
    <mergeCell ref="N14:N15"/>
    <mergeCell ref="O14:O15"/>
    <mergeCell ref="P14:P15"/>
    <mergeCell ref="Q14:Q15"/>
    <mergeCell ref="R14:R15"/>
    <mergeCell ref="A16:A17"/>
    <mergeCell ref="C16:C17"/>
    <mergeCell ref="D16:D17"/>
    <mergeCell ref="E16:E17"/>
    <mergeCell ref="F16:F17"/>
    <mergeCell ref="H14:H15"/>
    <mergeCell ref="I14:I15"/>
    <mergeCell ref="J14:J15"/>
    <mergeCell ref="K14:K15"/>
    <mergeCell ref="L14:L15"/>
    <mergeCell ref="M14:M15"/>
    <mergeCell ref="O12:O13"/>
    <mergeCell ref="P12:P13"/>
    <mergeCell ref="Q12:Q13"/>
    <mergeCell ref="R12:R13"/>
    <mergeCell ref="A14:A15"/>
    <mergeCell ref="C14:C15"/>
    <mergeCell ref="D14:D15"/>
    <mergeCell ref="E14:E15"/>
    <mergeCell ref="F14:F15"/>
    <mergeCell ref="G14:G15"/>
    <mergeCell ref="I12:I13"/>
    <mergeCell ref="J12:J13"/>
    <mergeCell ref="K12:K13"/>
    <mergeCell ref="L12:L13"/>
    <mergeCell ref="M12:M13"/>
    <mergeCell ref="N12:N13"/>
    <mergeCell ref="O10:O11"/>
    <mergeCell ref="P10:P11"/>
    <mergeCell ref="Q10:Q11"/>
    <mergeCell ref="R10:R11"/>
    <mergeCell ref="A12:A13"/>
    <mergeCell ref="C12:C13"/>
    <mergeCell ref="E12:E13"/>
    <mergeCell ref="F12:F13"/>
    <mergeCell ref="G12:G13"/>
    <mergeCell ref="H12:H13"/>
    <mergeCell ref="I10:I11"/>
    <mergeCell ref="J10:J11"/>
    <mergeCell ref="K10:K11"/>
    <mergeCell ref="L10:L11"/>
    <mergeCell ref="M10:M11"/>
    <mergeCell ref="N10:N11"/>
    <mergeCell ref="P8:P9"/>
    <mergeCell ref="Q8:Q9"/>
    <mergeCell ref="R8:R9"/>
    <mergeCell ref="A10:A11"/>
    <mergeCell ref="C10:C11"/>
    <mergeCell ref="D10:D11"/>
    <mergeCell ref="E10:E11"/>
    <mergeCell ref="F10:F11"/>
    <mergeCell ref="G10:G11"/>
    <mergeCell ref="H10:H11"/>
    <mergeCell ref="J8:J9"/>
    <mergeCell ref="K8:K9"/>
    <mergeCell ref="L8:L9"/>
    <mergeCell ref="M8:M9"/>
    <mergeCell ref="N8:N9"/>
    <mergeCell ref="O8:O9"/>
    <mergeCell ref="Q6:Q7"/>
    <mergeCell ref="R6:R7"/>
    <mergeCell ref="A8:A9"/>
    <mergeCell ref="C8:C9"/>
    <mergeCell ref="D8:D9"/>
    <mergeCell ref="E8:E9"/>
    <mergeCell ref="F8:F9"/>
    <mergeCell ref="G8:G9"/>
    <mergeCell ref="H8:H9"/>
    <mergeCell ref="I8:I9"/>
    <mergeCell ref="K6:K7"/>
    <mergeCell ref="L6:L7"/>
    <mergeCell ref="M6:M7"/>
    <mergeCell ref="N6:N7"/>
    <mergeCell ref="O6:O7"/>
    <mergeCell ref="P6:P7"/>
    <mergeCell ref="R4:R5"/>
    <mergeCell ref="A6:A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O4:O5"/>
    <mergeCell ref="Q4:Q5"/>
    <mergeCell ref="R2:R3"/>
    <mergeCell ref="A4:A5"/>
    <mergeCell ref="C4:C5"/>
    <mergeCell ref="D4:D5"/>
    <mergeCell ref="E4:E5"/>
    <mergeCell ref="F4:F5"/>
    <mergeCell ref="G4:G5"/>
    <mergeCell ref="H4:H5"/>
    <mergeCell ref="I4:I5"/>
    <mergeCell ref="J4:J5"/>
    <mergeCell ref="K2:K3"/>
    <mergeCell ref="L2:L3"/>
    <mergeCell ref="M2:M3"/>
    <mergeCell ref="N2:N3"/>
    <mergeCell ref="O2:O3"/>
    <mergeCell ref="P2:Q2"/>
    <mergeCell ref="A2:A3"/>
    <mergeCell ref="C2:C3"/>
    <mergeCell ref="D2:D3"/>
    <mergeCell ref="E2:E3"/>
    <mergeCell ref="G2:G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VAT &amp; EXPENCES</vt:lpstr>
      <vt:lpstr>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Hermoso</dc:creator>
  <cp:lastModifiedBy>Jessie Hermoso</cp:lastModifiedBy>
  <dcterms:created xsi:type="dcterms:W3CDTF">2025-01-31T23:57:08Z</dcterms:created>
  <dcterms:modified xsi:type="dcterms:W3CDTF">2025-01-31T23:59:26Z</dcterms:modified>
</cp:coreProperties>
</file>