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819"/>
  <workbookPr autoCompressPictures="0"/>
  <bookViews>
    <workbookView xWindow="-3880" yWindow="-21040" windowWidth="26600" windowHeight="19680"/>
  </bookViews>
  <sheets>
    <sheet name="Calculations" sheetId="2" r:id="rId1"/>
    <sheet name="_lookup" sheetId="1" r:id="rId2"/>
    <sheet name="_histogram data2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2" l="1"/>
  <c r="Q8" i="2"/>
  <c r="Q7" i="2"/>
  <c r="Q6" i="2"/>
  <c r="C6" i="2"/>
  <c r="E6" i="2"/>
  <c r="F6" i="2"/>
  <c r="I6" i="2"/>
  <c r="O6" i="2"/>
  <c r="O7" i="2"/>
  <c r="N14" i="2"/>
  <c r="W14" i="2"/>
  <c r="W26" i="2"/>
  <c r="P26" i="2"/>
  <c r="X14" i="2"/>
  <c r="X26" i="2"/>
  <c r="Q26" i="2"/>
  <c r="Y14" i="2"/>
  <c r="Y26" i="2"/>
  <c r="R26" i="2"/>
  <c r="N15" i="2"/>
  <c r="W15" i="2"/>
  <c r="W27" i="2"/>
  <c r="P27" i="2"/>
  <c r="X15" i="2"/>
  <c r="X27" i="2"/>
  <c r="Q27" i="2"/>
  <c r="Y15" i="2"/>
  <c r="Y27" i="2"/>
  <c r="R27" i="2"/>
  <c r="N16" i="2"/>
  <c r="W16" i="2"/>
  <c r="W28" i="2"/>
  <c r="P28" i="2"/>
  <c r="X16" i="2"/>
  <c r="X28" i="2"/>
  <c r="Q28" i="2"/>
  <c r="Y16" i="2"/>
  <c r="Y28" i="2"/>
  <c r="R28" i="2"/>
  <c r="N17" i="2"/>
  <c r="W17" i="2"/>
  <c r="W29" i="2"/>
  <c r="P29" i="2"/>
  <c r="X17" i="2"/>
  <c r="X29" i="2"/>
  <c r="Q29" i="2"/>
  <c r="Y17" i="2"/>
  <c r="Y29" i="2"/>
  <c r="R29" i="2"/>
  <c r="N18" i="2"/>
  <c r="W18" i="2"/>
  <c r="W30" i="2"/>
  <c r="P30" i="2"/>
  <c r="X18" i="2"/>
  <c r="X30" i="2"/>
  <c r="Q30" i="2"/>
  <c r="Y18" i="2"/>
  <c r="Y30" i="2"/>
  <c r="R30" i="2"/>
  <c r="N19" i="2"/>
  <c r="W19" i="2"/>
  <c r="W31" i="2"/>
  <c r="P31" i="2"/>
  <c r="X19" i="2"/>
  <c r="X31" i="2"/>
  <c r="Q31" i="2"/>
  <c r="Y19" i="2"/>
  <c r="Y31" i="2"/>
  <c r="R31" i="2"/>
  <c r="N20" i="2"/>
  <c r="W20" i="2"/>
  <c r="W32" i="2"/>
  <c r="P32" i="2"/>
  <c r="X20" i="2"/>
  <c r="X32" i="2"/>
  <c r="Q32" i="2"/>
  <c r="Y20" i="2"/>
  <c r="Y32" i="2"/>
  <c r="R32" i="2"/>
  <c r="N21" i="2"/>
  <c r="W21" i="2"/>
  <c r="W33" i="2"/>
  <c r="P33" i="2"/>
  <c r="X21" i="2"/>
  <c r="X33" i="2"/>
  <c r="Q33" i="2"/>
  <c r="Y21" i="2"/>
  <c r="Y33" i="2"/>
  <c r="R33" i="2"/>
  <c r="N22" i="2"/>
  <c r="W22" i="2"/>
  <c r="W34" i="2"/>
  <c r="P34" i="2"/>
  <c r="X22" i="2"/>
  <c r="X34" i="2"/>
  <c r="Q34" i="2"/>
  <c r="Y22" i="2"/>
  <c r="Y34" i="2"/>
  <c r="R34" i="2"/>
  <c r="V15" i="2"/>
  <c r="V27" i="2"/>
  <c r="O27" i="2"/>
  <c r="V16" i="2"/>
  <c r="V28" i="2"/>
  <c r="O28" i="2"/>
  <c r="V17" i="2"/>
  <c r="V29" i="2"/>
  <c r="O29" i="2"/>
  <c r="V18" i="2"/>
  <c r="V30" i="2"/>
  <c r="O30" i="2"/>
  <c r="V19" i="2"/>
  <c r="V31" i="2"/>
  <c r="O31" i="2"/>
  <c r="V20" i="2"/>
  <c r="V32" i="2"/>
  <c r="O32" i="2"/>
  <c r="V21" i="2"/>
  <c r="V33" i="2"/>
  <c r="O33" i="2"/>
  <c r="V22" i="2"/>
  <c r="V34" i="2"/>
  <c r="O34" i="2"/>
  <c r="V14" i="2"/>
  <c r="V26" i="2"/>
  <c r="O26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O15" i="2"/>
  <c r="O16" i="2"/>
  <c r="O17" i="2"/>
  <c r="O18" i="2"/>
  <c r="O19" i="2"/>
  <c r="O20" i="2"/>
  <c r="O21" i="2"/>
  <c r="O22" i="2"/>
  <c r="O14" i="2"/>
  <c r="B8" i="2"/>
  <c r="S15" i="2"/>
  <c r="S27" i="2"/>
  <c r="T15" i="2"/>
  <c r="T27" i="2"/>
  <c r="S16" i="2"/>
  <c r="S28" i="2"/>
  <c r="T16" i="2"/>
  <c r="T28" i="2"/>
  <c r="S17" i="2"/>
  <c r="S29" i="2"/>
  <c r="T17" i="2"/>
  <c r="T29" i="2"/>
  <c r="S18" i="2"/>
  <c r="S30" i="2"/>
  <c r="T30" i="2"/>
  <c r="S19" i="2"/>
  <c r="S31" i="2"/>
  <c r="T19" i="2"/>
  <c r="T31" i="2"/>
  <c r="S20" i="2"/>
  <c r="S32" i="2"/>
  <c r="T20" i="2"/>
  <c r="T32" i="2"/>
  <c r="S21" i="2"/>
  <c r="S33" i="2"/>
  <c r="T21" i="2"/>
  <c r="T33" i="2"/>
  <c r="S22" i="2"/>
  <c r="S34" i="2"/>
  <c r="T22" i="2"/>
  <c r="T34" i="2"/>
  <c r="S14" i="2"/>
  <c r="T14" i="2"/>
  <c r="T26" i="2"/>
  <c r="S26" i="2"/>
  <c r="L34" i="2"/>
  <c r="M22" i="2"/>
  <c r="M34" i="2"/>
  <c r="N34" i="2"/>
  <c r="L27" i="2"/>
  <c r="M15" i="2"/>
  <c r="M27" i="2"/>
  <c r="N27" i="2"/>
  <c r="L28" i="2"/>
  <c r="M16" i="2"/>
  <c r="M28" i="2"/>
  <c r="N28" i="2"/>
  <c r="L29" i="2"/>
  <c r="M17" i="2"/>
  <c r="M29" i="2"/>
  <c r="N29" i="2"/>
  <c r="L30" i="2"/>
  <c r="M18" i="2"/>
  <c r="M30" i="2"/>
  <c r="N30" i="2"/>
  <c r="L31" i="2"/>
  <c r="M19" i="2"/>
  <c r="M31" i="2"/>
  <c r="N31" i="2"/>
  <c r="L32" i="2"/>
  <c r="M20" i="2"/>
  <c r="M32" i="2"/>
  <c r="N32" i="2"/>
  <c r="L33" i="2"/>
  <c r="M21" i="2"/>
  <c r="M33" i="2"/>
  <c r="N33" i="2"/>
  <c r="N26" i="2"/>
  <c r="L26" i="2"/>
  <c r="M14" i="2"/>
  <c r="M26" i="2"/>
  <c r="P9" i="2"/>
  <c r="O9" i="2"/>
  <c r="P7" i="2"/>
  <c r="P8" i="2"/>
  <c r="O8" i="2"/>
  <c r="P6" i="2"/>
  <c r="J6" i="2"/>
  <c r="B3" i="5"/>
  <c r="B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4" i="5"/>
  <c r="I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4" i="5"/>
  <c r="F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4" i="5"/>
  <c r="D6" i="2"/>
  <c r="F61" i="1"/>
  <c r="H62" i="1"/>
  <c r="H55" i="1"/>
  <c r="G55" i="1"/>
  <c r="H15" i="1"/>
  <c r="H14" i="1"/>
  <c r="G15" i="1"/>
  <c r="G14" i="1"/>
  <c r="E14" i="1"/>
  <c r="G13" i="1"/>
  <c r="H13" i="1"/>
  <c r="G12" i="1"/>
  <c r="H12" i="1"/>
  <c r="G11" i="1"/>
  <c r="H11" i="1"/>
  <c r="E13" i="1"/>
  <c r="E12" i="1"/>
  <c r="E11" i="1"/>
  <c r="H64" i="1"/>
  <c r="G64" i="1"/>
  <c r="E64" i="1"/>
  <c r="H63" i="1"/>
  <c r="G63" i="1"/>
  <c r="E63" i="1"/>
  <c r="H58" i="1"/>
  <c r="F58" i="1"/>
  <c r="E58" i="1"/>
  <c r="H57" i="1"/>
  <c r="G57" i="1"/>
  <c r="H56" i="1"/>
  <c r="G56" i="1"/>
  <c r="G52" i="1"/>
  <c r="H52" i="1"/>
  <c r="H51" i="1"/>
  <c r="G51" i="1"/>
  <c r="H50" i="1"/>
  <c r="G50" i="1"/>
  <c r="H48" i="1"/>
  <c r="G48" i="1"/>
  <c r="H46" i="1"/>
  <c r="G46" i="1"/>
  <c r="H34" i="1"/>
  <c r="G34" i="1"/>
  <c r="E34" i="1"/>
  <c r="H45" i="1"/>
  <c r="G45" i="1"/>
  <c r="H43" i="1"/>
  <c r="G43" i="1"/>
  <c r="H42" i="1"/>
  <c r="G42" i="1"/>
  <c r="E21" i="1"/>
  <c r="E32" i="1"/>
  <c r="H32" i="1"/>
  <c r="G32" i="1"/>
  <c r="H20" i="1"/>
  <c r="G20" i="1"/>
  <c r="E20" i="1"/>
  <c r="G21" i="1"/>
  <c r="H21" i="1"/>
  <c r="H16" i="1"/>
  <c r="G16" i="1"/>
  <c r="E16" i="1"/>
  <c r="G41" i="1"/>
  <c r="H41" i="1"/>
  <c r="G40" i="1"/>
  <c r="H40" i="1"/>
  <c r="E35" i="1"/>
  <c r="H26" i="1"/>
  <c r="G26" i="1"/>
  <c r="H7" i="1"/>
  <c r="G7" i="1"/>
  <c r="H54" i="1"/>
  <c r="G54" i="1"/>
  <c r="H53" i="1"/>
  <c r="G53" i="1"/>
  <c r="H27" i="1"/>
  <c r="G27" i="1"/>
  <c r="E7" i="1"/>
  <c r="H61" i="1"/>
  <c r="F62" i="1"/>
  <c r="E62" i="1"/>
  <c r="E61" i="1"/>
  <c r="H60" i="1"/>
  <c r="F60" i="1"/>
  <c r="E60" i="1"/>
  <c r="H59" i="1"/>
  <c r="F59" i="1"/>
  <c r="E59" i="1"/>
  <c r="E24" i="1"/>
  <c r="E44" i="1"/>
  <c r="E2" i="1"/>
  <c r="E37" i="1"/>
  <c r="H49" i="1"/>
  <c r="G49" i="1"/>
  <c r="H25" i="1"/>
  <c r="G25" i="1"/>
  <c r="H37" i="1"/>
  <c r="G37" i="1"/>
  <c r="H47" i="1"/>
  <c r="G47" i="1"/>
  <c r="H22" i="1"/>
  <c r="G22" i="1"/>
  <c r="H39" i="1"/>
  <c r="G39" i="1"/>
  <c r="H38" i="1"/>
  <c r="G38" i="1"/>
  <c r="H24" i="1"/>
  <c r="G24" i="1"/>
  <c r="H19" i="1"/>
  <c r="G19" i="1"/>
  <c r="E19" i="1"/>
  <c r="H44" i="1"/>
  <c r="G44" i="1"/>
  <c r="E18" i="1"/>
  <c r="H18" i="1"/>
  <c r="G18" i="1"/>
  <c r="H36" i="1"/>
  <c r="G36" i="1"/>
  <c r="E36" i="1"/>
  <c r="H33" i="1"/>
  <c r="G33" i="1"/>
  <c r="E33" i="1"/>
  <c r="H35" i="1"/>
  <c r="G35" i="1"/>
  <c r="H23" i="1"/>
  <c r="G23" i="1"/>
  <c r="H10" i="1"/>
  <c r="G10" i="1"/>
  <c r="H17" i="1"/>
  <c r="G17" i="1"/>
  <c r="E23" i="1"/>
  <c r="E10" i="1"/>
  <c r="E17" i="1"/>
  <c r="E9" i="1"/>
  <c r="E8" i="1"/>
  <c r="E6" i="1"/>
  <c r="E5" i="1"/>
  <c r="E4" i="1"/>
  <c r="E3" i="1"/>
  <c r="H9" i="1"/>
  <c r="G9" i="1"/>
  <c r="H8" i="1"/>
  <c r="G8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<sst xmlns="http://schemas.openxmlformats.org/spreadsheetml/2006/main" count="223" uniqueCount="194">
  <si>
    <t>Symbol</t>
  </si>
  <si>
    <t>Austratial Dollar Futures</t>
  </si>
  <si>
    <t>British Pound futures</t>
  </si>
  <si>
    <t>Canadian Dollar Futures</t>
  </si>
  <si>
    <t>Gold Futures</t>
  </si>
  <si>
    <t xml:space="preserve">Euro FX Futures </t>
  </si>
  <si>
    <t>Japenese Yen Futures</t>
  </si>
  <si>
    <t>New Zealand Dollar Futures</t>
  </si>
  <si>
    <t>Swiss Franc Futures</t>
  </si>
  <si>
    <t>Light Sweat Crude Oil</t>
  </si>
  <si>
    <t>US Dollar Index Futures</t>
  </si>
  <si>
    <t>E-mini S&amp;P 500 Index</t>
  </si>
  <si>
    <t>Lean Hog Futures</t>
  </si>
  <si>
    <t>Copper Futures</t>
  </si>
  <si>
    <t>Heating Oil Futures</t>
  </si>
  <si>
    <t>Coffee "C" Futres</t>
  </si>
  <si>
    <t>Natural Gas Futures</t>
  </si>
  <si>
    <t>E-mini Nasdaq Futures</t>
  </si>
  <si>
    <t>Palladium Futures</t>
  </si>
  <si>
    <t>Platinum Futures</t>
  </si>
  <si>
    <t>RBOB Gasoline Futures</t>
  </si>
  <si>
    <t>Sugar No. 11  Futures</t>
  </si>
  <si>
    <t>Silver  Futures</t>
  </si>
  <si>
    <t>Russel 2000 Index Mini  Futures</t>
  </si>
  <si>
    <t>Mini Dow Jones  Futures</t>
  </si>
  <si>
    <t>Corn  Futures</t>
  </si>
  <si>
    <t>5-Year US Treasury Note  Futures</t>
  </si>
  <si>
    <t>10-Year US Treasury Note  Futures</t>
  </si>
  <si>
    <t>2-Year US Treasury Note  Futures</t>
  </si>
  <si>
    <t>Soybean Futures</t>
  </si>
  <si>
    <t>Wheat Futures</t>
  </si>
  <si>
    <t>/ZQ</t>
  </si>
  <si>
    <t>/QM</t>
  </si>
  <si>
    <t>/6A</t>
  </si>
  <si>
    <t>/6B</t>
  </si>
  <si>
    <t>/6C</t>
  </si>
  <si>
    <t>/6E</t>
  </si>
  <si>
    <t>/6J</t>
  </si>
  <si>
    <t>/6N</t>
  </si>
  <si>
    <t>/6S</t>
  </si>
  <si>
    <t>/CL</t>
  </si>
  <si>
    <t>/DX</t>
  </si>
  <si>
    <t>/ES</t>
  </si>
  <si>
    <t>/GC</t>
  </si>
  <si>
    <t>/HE</t>
  </si>
  <si>
    <t>/HG</t>
  </si>
  <si>
    <t>/HO</t>
  </si>
  <si>
    <t>/KC</t>
  </si>
  <si>
    <t>/NG</t>
  </si>
  <si>
    <t>/NQ</t>
  </si>
  <si>
    <t>/PA</t>
  </si>
  <si>
    <t>/PL</t>
  </si>
  <si>
    <t>/RB</t>
  </si>
  <si>
    <t>/SB</t>
  </si>
  <si>
    <t>/SI</t>
  </si>
  <si>
    <t>/TF</t>
  </si>
  <si>
    <t>/VX</t>
  </si>
  <si>
    <t>/YM</t>
  </si>
  <si>
    <t>/ZB</t>
  </si>
  <si>
    <t>/ZC</t>
  </si>
  <si>
    <t>/ZF</t>
  </si>
  <si>
    <t>/ZN</t>
  </si>
  <si>
    <t>/ZS</t>
  </si>
  <si>
    <t>/ZT</t>
  </si>
  <si>
    <t>/ZW</t>
  </si>
  <si>
    <t>n/a</t>
  </si>
  <si>
    <t>/6M</t>
  </si>
  <si>
    <t>Mexican Peso Futures</t>
  </si>
  <si>
    <t>/XK</t>
  </si>
  <si>
    <t>/LE</t>
  </si>
  <si>
    <t>/GF</t>
  </si>
  <si>
    <t>/QG</t>
  </si>
  <si>
    <t>miNY Natural Gas Futures</t>
  </si>
  <si>
    <t>CBOE Volatility Index (VIX) Futuers</t>
  </si>
  <si>
    <t>/YG</t>
  </si>
  <si>
    <t>Mini Gold Futures</t>
  </si>
  <si>
    <t>/YI</t>
  </si>
  <si>
    <t>Mini Silver Futures</t>
  </si>
  <si>
    <t>/BZ</t>
  </si>
  <si>
    <t>Brent Crude Oil</t>
  </si>
  <si>
    <t>miNY Crude Oil Futures</t>
  </si>
  <si>
    <t>/CT</t>
  </si>
  <si>
    <t>/CC</t>
  </si>
  <si>
    <t>Cocoa  Futures NYCC</t>
  </si>
  <si>
    <t>COTTON No2 Futures NYCC</t>
  </si>
  <si>
    <t>/LBS</t>
  </si>
  <si>
    <t>Random Length Lumber Futures</t>
  </si>
  <si>
    <t xml:space="preserve">Thirty-Day Fed Funds Futures </t>
  </si>
  <si>
    <t>/GE</t>
  </si>
  <si>
    <t>Eurodollar Futures</t>
  </si>
  <si>
    <t>Ultra T-Bond  Futures</t>
  </si>
  <si>
    <t>/UB</t>
  </si>
  <si>
    <t>Feeder Cattle</t>
  </si>
  <si>
    <t>Live Cattle Futures</t>
  </si>
  <si>
    <t>/OJ</t>
  </si>
  <si>
    <t>/ZO</t>
  </si>
  <si>
    <t>Oats Futures</t>
  </si>
  <si>
    <t>/ZM</t>
  </si>
  <si>
    <t>Soybean Meal Futures</t>
  </si>
  <si>
    <t>30-Year US Treasury Bond Futures</t>
  </si>
  <si>
    <t>E-Mini Soybean Futures</t>
  </si>
  <si>
    <t>/XW</t>
  </si>
  <si>
    <t>E-Mini Wheat Futures</t>
  </si>
  <si>
    <t>/ZL</t>
  </si>
  <si>
    <t>/KE</t>
  </si>
  <si>
    <t>Orange Juice Futures  FCOJ-A</t>
  </si>
  <si>
    <t xml:space="preserve">KC Hard Red Wheat Futures </t>
  </si>
  <si>
    <t>Soybean Oil  Futures</t>
  </si>
  <si>
    <t>VIX</t>
  </si>
  <si>
    <t xml:space="preserve">CBOE Volatility Index </t>
  </si>
  <si>
    <t>/M6A</t>
  </si>
  <si>
    <t>/M6B</t>
  </si>
  <si>
    <t>/M6E</t>
  </si>
  <si>
    <t>E-Micro AUD/USD Future</t>
  </si>
  <si>
    <t>E-Micro GBP/USD Future</t>
  </si>
  <si>
    <t>E-Micro EUR/USD Future</t>
  </si>
  <si>
    <t>/E7</t>
  </si>
  <si>
    <t>E-mini Euro FX futures</t>
  </si>
  <si>
    <t>E-mini Japenese Yen FX futures</t>
  </si>
  <si>
    <t>/J7</t>
  </si>
  <si>
    <t>/XC</t>
  </si>
  <si>
    <t>E-Mini Corn Futures</t>
  </si>
  <si>
    <t>Tick in dollars</t>
  </si>
  <si>
    <t>Tick in cents</t>
  </si>
  <si>
    <t>move per tick</t>
  </si>
  <si>
    <t>move per penny</t>
  </si>
  <si>
    <t>move per dollar</t>
  </si>
  <si>
    <t>Description</t>
  </si>
  <si>
    <t>Price</t>
  </si>
  <si>
    <t>Notional Amount</t>
  </si>
  <si>
    <t>IV</t>
  </si>
  <si>
    <t>Stock</t>
  </si>
  <si>
    <t>Thank you to tastytrader Calvin Gunn for</t>
  </si>
  <si>
    <t xml:space="preserve"> typing in the information on this page</t>
  </si>
  <si>
    <t>Contracts</t>
  </si>
  <si>
    <t>(or shares)</t>
  </si>
  <si>
    <t>Please Change the Numbers in Yellow Only</t>
  </si>
  <si>
    <t>$ per tick</t>
  </si>
  <si>
    <t>(with a 68% prob., we would expect P/L to be between)</t>
  </si>
  <si>
    <t>% Move</t>
  </si>
  <si>
    <t>Price Move</t>
  </si>
  <si>
    <t>P/L on Long</t>
  </si>
  <si>
    <t>P/L on Short</t>
  </si>
  <si>
    <t>I am not responsible for the accuracy of the information on this page</t>
  </si>
  <si>
    <t>Note</t>
  </si>
  <si>
    <t>- Mike Rechenthin</t>
  </si>
  <si>
    <t>Misc. Stock</t>
  </si>
  <si>
    <t>Avg.</t>
  </si>
  <si>
    <t>Z-score</t>
  </si>
  <si>
    <t>Prob</t>
  </si>
  <si>
    <t>7-days out</t>
  </si>
  <si>
    <t>45-days out</t>
  </si>
  <si>
    <t>/NKD</t>
  </si>
  <si>
    <t>Nikkei 225 Futures</t>
  </si>
  <si>
    <t>1 Day</t>
  </si>
  <si>
    <t>2 Day</t>
  </si>
  <si>
    <t>3 Day</t>
  </si>
  <si>
    <t>1 Day Range</t>
  </si>
  <si>
    <t>2 Day Range</t>
  </si>
  <si>
    <t>3 Day Range</t>
  </si>
  <si>
    <t>7 Day Range</t>
  </si>
  <si>
    <t>7 Day</t>
  </si>
  <si>
    <t>Implied Prob. Of Closing Above</t>
  </si>
  <si>
    <t>Implied Prob. Of Closing Below</t>
  </si>
  <si>
    <t>Alternatives</t>
  </si>
  <si>
    <t>SPY or SPX</t>
  </si>
  <si>
    <t>SPX</t>
  </si>
  <si>
    <t>S&amp;P 500 cash</t>
  </si>
  <si>
    <t>SPY or /ES</t>
  </si>
  <si>
    <t>/YG or GLD</t>
  </si>
  <si>
    <t>/YI or SLV</t>
  </si>
  <si>
    <t>IWM</t>
  </si>
  <si>
    <t>DIA</t>
  </si>
  <si>
    <t>USO</t>
  </si>
  <si>
    <t>/GC or GLD</t>
  </si>
  <si>
    <t>/SI or SLV</t>
  </si>
  <si>
    <t>SPY</t>
  </si>
  <si>
    <t>/ES or SPX</t>
  </si>
  <si>
    <t>S&amp;P 500 ETF</t>
  </si>
  <si>
    <t>Russell 2000 ETF</t>
  </si>
  <si>
    <t>Dow Jones ETF</t>
  </si>
  <si>
    <t>QQQ</t>
  </si>
  <si>
    <t>Nasdaq 100 ETF</t>
  </si>
  <si>
    <t>RUT</t>
  </si>
  <si>
    <t>Russell 2000 cash</t>
  </si>
  <si>
    <t>/TF or RUT</t>
  </si>
  <si>
    <t>IWM or RUT</t>
  </si>
  <si>
    <t>IWM or /TF</t>
  </si>
  <si>
    <t>Michael Rechenthin, PhD via tastytrade.com, © 2016</t>
  </si>
  <si>
    <t>The numbers may be diff. from misc. platforms due to how IV is calculated</t>
  </si>
  <si>
    <t xml:space="preserve">Follow me on twitter at @mrechenthin </t>
  </si>
  <si>
    <t>Or watch "The Skinny on Options Data Science" on tastytrade.com</t>
  </si>
  <si>
    <t>ver. 1.7</t>
  </si>
  <si>
    <t>Expected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</si>
</sst>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\ ???/???"/>
    <numFmt numFmtId="165" formatCode="0.00000"/>
    <numFmt numFmtId="166" formatCode="0.000"/>
    <numFmt numFmtId="167" formatCode="0.000000"/>
    <numFmt numFmtId="168" formatCode="0.0000"/>
    <numFmt numFmtId="169" formatCode="_-&quot;$&quot;* #,##0_-;\-&quot;$&quot;* #,##0_-;_-&quot;$&quot;* &quot;-&quot;??_-;_-@_-"/>
    <numFmt numFmtId="170" formatCode="_-* #,##0_-;\-* #,##0_-;_-* &quot;-&quot;??_-;_-@_-"/>
  </numFmts>
  <fonts count="33" x14ac:knownFonts="1">
    <font>
      <sz val="8"/>
      <color theme="1"/>
      <name val="Calibri"/>
      <family val="2"/>
    </font>
    <font>
      <sz val="8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8"/>
      <color rgb="FF006100"/>
      <name val="Calibri"/>
      <family val="2"/>
    </font>
    <font>
      <sz val="8"/>
      <color rgb="FF9C0006"/>
      <name val="Calibri"/>
      <family val="2"/>
    </font>
    <font>
      <sz val="8"/>
      <color rgb="FF9C6500"/>
      <name val="Calibri"/>
      <family val="2"/>
    </font>
    <font>
      <sz val="8"/>
      <color rgb="FF3F3F76"/>
      <name val="Calibri"/>
      <family val="2"/>
    </font>
    <font>
      <b/>
      <sz val="8"/>
      <color rgb="FF3F3F3F"/>
      <name val="Calibri"/>
      <family val="2"/>
    </font>
    <font>
      <b/>
      <sz val="8"/>
      <color rgb="FFFA7D00"/>
      <name val="Calibri"/>
      <family val="2"/>
    </font>
    <font>
      <sz val="8"/>
      <color rgb="FFFA7D00"/>
      <name val="Calibri"/>
      <family val="2"/>
    </font>
    <font>
      <b/>
      <sz val="8"/>
      <color theme="0"/>
      <name val="Calibri"/>
      <family val="2"/>
    </font>
    <font>
      <sz val="8"/>
      <color rgb="FFFF0000"/>
      <name val="Calibri"/>
      <family val="2"/>
    </font>
    <font>
      <i/>
      <sz val="8"/>
      <color rgb="FF7F7F7F"/>
      <name val="Calibri"/>
      <family val="2"/>
    </font>
    <font>
      <b/>
      <sz val="8"/>
      <color theme="1"/>
      <name val="Calibri"/>
      <family val="2"/>
    </font>
    <font>
      <sz val="8"/>
      <color theme="0"/>
      <name val="Calibri"/>
      <family val="2"/>
    </font>
    <font>
      <sz val="12"/>
      <color theme="1"/>
      <name val="Calibri"/>
    </font>
    <font>
      <b/>
      <sz val="12"/>
      <color theme="1"/>
      <name val="Calibri"/>
    </font>
    <font>
      <u/>
      <sz val="8"/>
      <color theme="10"/>
      <name val="Calibri"/>
      <family val="2"/>
    </font>
    <font>
      <u/>
      <sz val="8"/>
      <color theme="11"/>
      <name val="Calibri"/>
      <family val="2"/>
    </font>
    <font>
      <sz val="12"/>
      <color rgb="FF000000"/>
      <name val="Calibri"/>
      <family val="2"/>
    </font>
    <font>
      <sz val="14"/>
      <color theme="1"/>
      <name val="Calibri"/>
    </font>
    <font>
      <sz val="14"/>
      <color rgb="FF000000"/>
      <name val="Calibri"/>
    </font>
    <font>
      <sz val="16"/>
      <color theme="1"/>
      <name val="Calibri"/>
    </font>
    <font>
      <b/>
      <sz val="14"/>
      <color theme="1"/>
      <name val="Calibri"/>
    </font>
    <font>
      <sz val="14"/>
      <name val="Calibri"/>
    </font>
    <font>
      <sz val="16"/>
      <color rgb="FF000000"/>
      <name val="Calibri"/>
    </font>
    <font>
      <sz val="14"/>
      <color rgb="FFFF0000"/>
      <name val="Calibri"/>
    </font>
    <font>
      <sz val="14"/>
      <color rgb="FF008000"/>
      <name val="Calibri"/>
    </font>
    <font>
      <b/>
      <sz val="18"/>
      <color rgb="FF000000"/>
      <name val="Calibri"/>
    </font>
    <font>
      <u/>
      <sz val="16"/>
      <color theme="10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84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1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39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33" borderId="0" xfId="0" applyFont="1" applyFill="1"/>
    <xf numFmtId="0" fontId="19" fillId="0" borderId="0" xfId="0" applyFont="1"/>
    <xf numFmtId="0" fontId="19" fillId="0" borderId="10" xfId="0" applyFont="1" applyBorder="1"/>
    <xf numFmtId="0" fontId="19" fillId="0" borderId="10" xfId="0" applyFont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8" fillId="34" borderId="10" xfId="0" applyFont="1" applyFill="1" applyBorder="1"/>
    <xf numFmtId="0" fontId="18" fillId="34" borderId="10" xfId="0" applyFont="1" applyFill="1" applyBorder="1" applyAlignment="1">
      <alignment horizontal="left"/>
    </xf>
    <xf numFmtId="0" fontId="18" fillId="34" borderId="10" xfId="0" applyFont="1" applyFill="1" applyBorder="1" applyAlignment="1">
      <alignment horizontal="center"/>
    </xf>
    <xf numFmtId="2" fontId="18" fillId="34" borderId="10" xfId="0" applyNumberFormat="1" applyFont="1" applyFill="1" applyBorder="1" applyAlignment="1">
      <alignment horizontal="center"/>
    </xf>
    <xf numFmtId="164" fontId="18" fillId="34" borderId="10" xfId="0" applyNumberFormat="1" applyFont="1" applyFill="1" applyBorder="1" applyAlignment="1">
      <alignment horizontal="left"/>
    </xf>
    <xf numFmtId="2" fontId="19" fillId="34" borderId="10" xfId="0" applyNumberFormat="1" applyFont="1" applyFill="1" applyBorder="1" applyAlignment="1">
      <alignment horizontal="center"/>
    </xf>
    <xf numFmtId="12" fontId="18" fillId="34" borderId="10" xfId="0" applyNumberFormat="1" applyFont="1" applyFill="1" applyBorder="1" applyAlignment="1">
      <alignment horizontal="center"/>
    </xf>
    <xf numFmtId="0" fontId="18" fillId="35" borderId="10" xfId="0" applyFont="1" applyFill="1" applyBorder="1"/>
    <xf numFmtId="0" fontId="18" fillId="35" borderId="10" xfId="0" applyFont="1" applyFill="1" applyBorder="1" applyAlignment="1">
      <alignment horizontal="left"/>
    </xf>
    <xf numFmtId="0" fontId="18" fillId="35" borderId="10" xfId="0" applyFont="1" applyFill="1" applyBorder="1" applyAlignment="1">
      <alignment horizontal="center"/>
    </xf>
    <xf numFmtId="12" fontId="18" fillId="35" borderId="10" xfId="0" applyNumberFormat="1" applyFont="1" applyFill="1" applyBorder="1" applyAlignment="1">
      <alignment horizontal="center"/>
    </xf>
    <xf numFmtId="2" fontId="18" fillId="35" borderId="10" xfId="0" applyNumberFormat="1" applyFont="1" applyFill="1" applyBorder="1" applyAlignment="1">
      <alignment horizontal="center"/>
    </xf>
    <xf numFmtId="0" fontId="18" fillId="36" borderId="10" xfId="0" applyFont="1" applyFill="1" applyBorder="1"/>
    <xf numFmtId="0" fontId="18" fillId="36" borderId="10" xfId="0" applyFont="1" applyFill="1" applyBorder="1" applyAlignment="1">
      <alignment horizontal="left"/>
    </xf>
    <xf numFmtId="0" fontId="18" fillId="36" borderId="10" xfId="0" applyFont="1" applyFill="1" applyBorder="1" applyAlignment="1">
      <alignment horizontal="center"/>
    </xf>
    <xf numFmtId="2" fontId="18" fillId="36" borderId="10" xfId="0" applyNumberFormat="1" applyFont="1" applyFill="1" applyBorder="1" applyAlignment="1">
      <alignment horizontal="center"/>
    </xf>
    <xf numFmtId="12" fontId="18" fillId="36" borderId="10" xfId="0" applyNumberFormat="1" applyFont="1" applyFill="1" applyBorder="1" applyAlignment="1"/>
    <xf numFmtId="13" fontId="18" fillId="36" borderId="10" xfId="0" applyNumberFormat="1" applyFont="1" applyFill="1" applyBorder="1" applyAlignment="1">
      <alignment horizontal="center"/>
    </xf>
    <xf numFmtId="12" fontId="18" fillId="36" borderId="10" xfId="0" applyNumberFormat="1" applyFont="1" applyFill="1" applyBorder="1" applyAlignment="1">
      <alignment horizontal="center"/>
    </xf>
    <xf numFmtId="164" fontId="18" fillId="36" borderId="10" xfId="0" applyNumberFormat="1" applyFont="1" applyFill="1" applyBorder="1" applyAlignment="1">
      <alignment horizontal="left"/>
    </xf>
    <xf numFmtId="0" fontId="18" fillId="37" borderId="10" xfId="0" applyFont="1" applyFill="1" applyBorder="1"/>
    <xf numFmtId="0" fontId="18" fillId="37" borderId="10" xfId="0" applyFont="1" applyFill="1" applyBorder="1" applyAlignment="1">
      <alignment horizontal="left"/>
    </xf>
    <xf numFmtId="0" fontId="18" fillId="37" borderId="10" xfId="0" applyFont="1" applyFill="1" applyBorder="1" applyAlignment="1">
      <alignment horizontal="center"/>
    </xf>
    <xf numFmtId="2" fontId="18" fillId="37" borderId="10" xfId="0" applyNumberFormat="1" applyFont="1" applyFill="1" applyBorder="1" applyAlignment="1">
      <alignment horizontal="center"/>
    </xf>
    <xf numFmtId="0" fontId="18" fillId="37" borderId="10" xfId="0" applyNumberFormat="1" applyFont="1" applyFill="1" applyBorder="1" applyAlignment="1">
      <alignment horizontal="center"/>
    </xf>
    <xf numFmtId="0" fontId="18" fillId="38" borderId="10" xfId="0" applyFont="1" applyFill="1" applyBorder="1"/>
    <xf numFmtId="0" fontId="18" fillId="38" borderId="10" xfId="0" applyFont="1" applyFill="1" applyBorder="1" applyAlignment="1">
      <alignment horizontal="left"/>
    </xf>
    <xf numFmtId="0" fontId="18" fillId="38" borderId="10" xfId="0" applyFont="1" applyFill="1" applyBorder="1" applyAlignment="1">
      <alignment horizontal="center"/>
    </xf>
    <xf numFmtId="12" fontId="18" fillId="38" borderId="10" xfId="0" applyNumberFormat="1" applyFont="1" applyFill="1" applyBorder="1" applyAlignment="1">
      <alignment horizontal="center"/>
    </xf>
    <xf numFmtId="2" fontId="18" fillId="38" borderId="10" xfId="0" applyNumberFormat="1" applyFont="1" applyFill="1" applyBorder="1" applyAlignment="1">
      <alignment horizontal="center"/>
    </xf>
    <xf numFmtId="0" fontId="18" fillId="39" borderId="10" xfId="0" applyFont="1" applyFill="1" applyBorder="1"/>
    <xf numFmtId="0" fontId="18" fillId="39" borderId="10" xfId="0" applyFont="1" applyFill="1" applyBorder="1" applyAlignment="1">
      <alignment horizontal="left"/>
    </xf>
    <xf numFmtId="0" fontId="18" fillId="39" borderId="10" xfId="0" applyFont="1" applyFill="1" applyBorder="1" applyAlignment="1">
      <alignment horizontal="center"/>
    </xf>
    <xf numFmtId="164" fontId="18" fillId="39" borderId="10" xfId="0" applyNumberFormat="1" applyFont="1" applyFill="1" applyBorder="1" applyAlignment="1">
      <alignment horizontal="left"/>
    </xf>
    <xf numFmtId="2" fontId="18" fillId="39" borderId="10" xfId="0" applyNumberFormat="1" applyFont="1" applyFill="1" applyBorder="1" applyAlignment="1">
      <alignment horizontal="center"/>
    </xf>
    <xf numFmtId="165" fontId="18" fillId="39" borderId="10" xfId="0" applyNumberFormat="1" applyFont="1" applyFill="1" applyBorder="1" applyAlignment="1">
      <alignment horizontal="center"/>
    </xf>
    <xf numFmtId="12" fontId="18" fillId="39" borderId="10" xfId="0" applyNumberFormat="1" applyFont="1" applyFill="1" applyBorder="1" applyAlignment="1">
      <alignment horizontal="center"/>
    </xf>
    <xf numFmtId="168" fontId="18" fillId="39" borderId="10" xfId="0" applyNumberFormat="1" applyFont="1" applyFill="1" applyBorder="1" applyAlignment="1">
      <alignment horizontal="center"/>
    </xf>
    <xf numFmtId="0" fontId="18" fillId="40" borderId="10" xfId="0" applyFont="1" applyFill="1" applyBorder="1"/>
    <xf numFmtId="0" fontId="18" fillId="40" borderId="10" xfId="0" applyFont="1" applyFill="1" applyBorder="1" applyAlignment="1">
      <alignment horizontal="left"/>
    </xf>
    <xf numFmtId="0" fontId="18" fillId="40" borderId="10" xfId="0" applyFont="1" applyFill="1" applyBorder="1" applyAlignment="1">
      <alignment horizontal="center"/>
    </xf>
    <xf numFmtId="12" fontId="18" fillId="40" borderId="10" xfId="0" applyNumberFormat="1" applyFont="1" applyFill="1" applyBorder="1" applyAlignment="1"/>
    <xf numFmtId="2" fontId="18" fillId="40" borderId="10" xfId="0" applyNumberFormat="1" applyFont="1" applyFill="1" applyBorder="1" applyAlignment="1">
      <alignment horizontal="center"/>
    </xf>
    <xf numFmtId="0" fontId="18" fillId="40" borderId="10" xfId="0" applyNumberFormat="1" applyFont="1" applyFill="1" applyBorder="1" applyAlignment="1">
      <alignment horizontal="center"/>
    </xf>
    <xf numFmtId="0" fontId="18" fillId="40" borderId="0" xfId="0" applyFont="1" applyFill="1"/>
    <xf numFmtId="0" fontId="18" fillId="40" borderId="0" xfId="0" applyFont="1" applyFill="1" applyAlignment="1">
      <alignment horizontal="left"/>
    </xf>
    <xf numFmtId="0" fontId="18" fillId="40" borderId="0" xfId="0" applyFont="1" applyFill="1" applyAlignment="1">
      <alignment horizontal="center"/>
    </xf>
    <xf numFmtId="2" fontId="18" fillId="40" borderId="0" xfId="0" applyNumberFormat="1" applyFont="1" applyFill="1" applyAlignment="1">
      <alignment horizontal="center"/>
    </xf>
    <xf numFmtId="165" fontId="18" fillId="34" borderId="10" xfId="0" quotePrefix="1" applyNumberFormat="1" applyFont="1" applyFill="1" applyBorder="1" applyAlignment="1">
      <alignment horizontal="center"/>
    </xf>
    <xf numFmtId="0" fontId="18" fillId="34" borderId="10" xfId="0" applyNumberFormat="1" applyFont="1" applyFill="1" applyBorder="1" applyAlignment="1">
      <alignment horizontal="center"/>
    </xf>
    <xf numFmtId="167" fontId="18" fillId="34" borderId="10" xfId="0" quotePrefix="1" applyNumberFormat="1" applyFont="1" applyFill="1" applyBorder="1" applyAlignment="1">
      <alignment horizontal="center"/>
    </xf>
    <xf numFmtId="166" fontId="18" fillId="34" borderId="10" xfId="0" applyNumberFormat="1" applyFont="1" applyFill="1" applyBorder="1" applyAlignment="1">
      <alignment horizontal="center"/>
    </xf>
    <xf numFmtId="0" fontId="22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41" borderId="0" xfId="0" applyFont="1" applyFill="1" applyAlignment="1">
      <alignment horizontal="center" vertical="center"/>
    </xf>
    <xf numFmtId="0" fontId="19" fillId="33" borderId="0" xfId="0" quotePrefix="1" applyFont="1" applyFill="1"/>
    <xf numFmtId="0" fontId="18" fillId="0" borderId="0" xfId="0" applyFont="1" applyFill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3" fillId="42" borderId="10" xfId="0" applyFont="1" applyFill="1" applyBorder="1" applyAlignment="1">
      <alignment horizontal="center" vertical="center"/>
    </xf>
    <xf numFmtId="0" fontId="23" fillId="41" borderId="10" xfId="0" applyFont="1" applyFill="1" applyBorder="1" applyAlignment="1">
      <alignment horizontal="center" vertical="center" wrapText="1"/>
    </xf>
    <xf numFmtId="44" fontId="23" fillId="0" borderId="10" xfId="51" applyFont="1" applyBorder="1" applyAlignment="1">
      <alignment horizontal="center" vertical="center"/>
    </xf>
    <xf numFmtId="170" fontId="23" fillId="42" borderId="10" xfId="50" applyNumberFormat="1" applyFont="1" applyFill="1" applyBorder="1" applyAlignment="1">
      <alignment horizontal="center" vertical="center"/>
    </xf>
    <xf numFmtId="2" fontId="23" fillId="42" borderId="10" xfId="0" applyNumberFormat="1" applyFont="1" applyFill="1" applyBorder="1" applyAlignment="1">
      <alignment horizontal="center" vertical="center"/>
    </xf>
    <xf numFmtId="169" fontId="23" fillId="0" borderId="10" xfId="51" applyNumberFormat="1" applyFont="1" applyBorder="1" applyAlignment="1">
      <alignment horizontal="center" vertical="center"/>
    </xf>
    <xf numFmtId="169" fontId="23" fillId="0" borderId="11" xfId="0" applyNumberFormat="1" applyFont="1" applyBorder="1" applyAlignment="1">
      <alignment horizontal="center" vertical="center"/>
    </xf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41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41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9" fontId="23" fillId="0" borderId="10" xfId="0" applyNumberFormat="1" applyFont="1" applyBorder="1" applyAlignment="1">
      <alignment horizontal="center" vertical="center"/>
    </xf>
    <xf numFmtId="43" fontId="23" fillId="0" borderId="10" xfId="50" applyNumberFormat="1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 vertical="center"/>
    </xf>
    <xf numFmtId="169" fontId="27" fillId="0" borderId="10" xfId="51" applyNumberFormat="1" applyFont="1" applyBorder="1" applyAlignment="1">
      <alignment horizontal="center" vertical="center"/>
    </xf>
    <xf numFmtId="0" fontId="26" fillId="43" borderId="13" xfId="0" applyFont="1" applyFill="1" applyBorder="1" applyAlignment="1">
      <alignment horizontal="center" vertical="center"/>
    </xf>
    <xf numFmtId="0" fontId="26" fillId="43" borderId="0" xfId="0" applyFont="1" applyFill="1" applyAlignment="1">
      <alignment horizontal="center" vertical="center"/>
    </xf>
    <xf numFmtId="0" fontId="26" fillId="43" borderId="13" xfId="0" applyFont="1" applyFill="1" applyBorder="1" applyAlignment="1">
      <alignment horizontal="center" vertical="center" wrapText="1"/>
    </xf>
    <xf numFmtId="0" fontId="26" fillId="41" borderId="0" xfId="0" applyFont="1" applyFill="1" applyAlignment="1">
      <alignment horizontal="center" vertical="center"/>
    </xf>
    <xf numFmtId="0" fontId="23" fillId="43" borderId="15" xfId="0" applyFont="1" applyFill="1" applyBorder="1" applyAlignment="1">
      <alignment horizontal="center" vertical="center"/>
    </xf>
    <xf numFmtId="0" fontId="23" fillId="43" borderId="0" xfId="0" applyFont="1" applyFill="1" applyAlignment="1">
      <alignment horizontal="center" vertical="center"/>
    </xf>
    <xf numFmtId="0" fontId="23" fillId="43" borderId="15" xfId="0" applyFont="1" applyFill="1" applyBorder="1" applyAlignment="1">
      <alignment horizontal="center" vertical="center" wrapText="1"/>
    </xf>
    <xf numFmtId="0" fontId="23" fillId="43" borderId="14" xfId="0" applyFont="1" applyFill="1" applyBorder="1" applyAlignment="1">
      <alignment horizontal="center" vertical="center"/>
    </xf>
    <xf numFmtId="0" fontId="26" fillId="43" borderId="10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5" fillId="0" borderId="0" xfId="0" applyFont="1" applyFill="1" applyBorder="1" applyAlignment="1">
      <alignment vertical="center"/>
    </xf>
    <xf numFmtId="2" fontId="18" fillId="0" borderId="0" xfId="0" applyNumberFormat="1" applyFont="1"/>
    <xf numFmtId="9" fontId="18" fillId="0" borderId="0" xfId="98" applyFont="1"/>
    <xf numFmtId="43" fontId="18" fillId="0" borderId="0" xfId="0" applyNumberFormat="1" applyFont="1"/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left" vertical="center"/>
    </xf>
    <xf numFmtId="12" fontId="18" fillId="40" borderId="10" xfId="0" applyNumberFormat="1" applyFont="1" applyFill="1" applyBorder="1" applyAlignment="1">
      <alignment horizontal="center"/>
    </xf>
    <xf numFmtId="0" fontId="18" fillId="0" borderId="0" xfId="0" applyFont="1" applyFill="1" applyAlignment="1">
      <alignment horizontal="right" vertical="center"/>
    </xf>
    <xf numFmtId="169" fontId="29" fillId="0" borderId="10" xfId="0" applyNumberFormat="1" applyFont="1" applyFill="1" applyBorder="1" applyAlignment="1">
      <alignment horizontal="center" vertical="center"/>
    </xf>
    <xf numFmtId="169" fontId="30" fillId="0" borderId="10" xfId="0" applyNumberFormat="1" applyFont="1" applyFill="1" applyBorder="1" applyAlignment="1">
      <alignment horizontal="center" vertical="center"/>
    </xf>
    <xf numFmtId="169" fontId="30" fillId="0" borderId="10" xfId="0" applyNumberFormat="1" applyFont="1" applyBorder="1" applyAlignment="1">
      <alignment horizontal="center" vertical="center"/>
    </xf>
    <xf numFmtId="9" fontId="23" fillId="0" borderId="10" xfId="98" applyFont="1" applyFill="1" applyBorder="1" applyAlignment="1">
      <alignment horizontal="center" vertical="center"/>
    </xf>
    <xf numFmtId="0" fontId="26" fillId="43" borderId="10" xfId="0" applyFont="1" applyFill="1" applyBorder="1" applyAlignment="1">
      <alignment horizontal="center" vertical="center" wrapText="1"/>
    </xf>
    <xf numFmtId="43" fontId="23" fillId="0" borderId="10" xfId="0" applyNumberFormat="1" applyFont="1" applyFill="1" applyBorder="1" applyAlignment="1">
      <alignment horizontal="center" vertical="center"/>
    </xf>
    <xf numFmtId="2" fontId="23" fillId="0" borderId="10" xfId="0" applyNumberFormat="1" applyFont="1" applyFill="1" applyBorder="1" applyAlignment="1">
      <alignment horizontal="center" vertical="center"/>
    </xf>
    <xf numFmtId="9" fontId="23" fillId="0" borderId="10" xfId="0" applyNumberFormat="1" applyFont="1" applyFill="1" applyBorder="1" applyAlignment="1">
      <alignment horizontal="center" vertical="center"/>
    </xf>
    <xf numFmtId="169" fontId="23" fillId="0" borderId="10" xfId="0" applyNumberFormat="1" applyFont="1" applyBorder="1" applyAlignment="1">
      <alignment vertical="center"/>
    </xf>
    <xf numFmtId="0" fontId="18" fillId="0" borderId="10" xfId="0" applyFont="1" applyBorder="1"/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center"/>
    </xf>
    <xf numFmtId="0" fontId="18" fillId="44" borderId="10" xfId="0" applyFont="1" applyFill="1" applyBorder="1"/>
    <xf numFmtId="0" fontId="18" fillId="44" borderId="10" xfId="0" applyFont="1" applyFill="1" applyBorder="1" applyAlignment="1">
      <alignment horizontal="left"/>
    </xf>
    <xf numFmtId="0" fontId="18" fillId="44" borderId="10" xfId="0" applyFont="1" applyFill="1" applyBorder="1" applyAlignment="1">
      <alignment horizontal="center"/>
    </xf>
    <xf numFmtId="12" fontId="18" fillId="44" borderId="10" xfId="0" applyNumberFormat="1" applyFont="1" applyFill="1" applyBorder="1" applyAlignment="1">
      <alignment horizontal="center"/>
    </xf>
    <xf numFmtId="2" fontId="18" fillId="44" borderId="10" xfId="0" applyNumberFormat="1" applyFont="1" applyFill="1" applyBorder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23" fillId="43" borderId="10" xfId="0" applyFont="1" applyFill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5" fillId="33" borderId="0" xfId="0" applyFont="1" applyFill="1" applyBorder="1" applyAlignment="1">
      <alignment horizontal="center" vertical="center"/>
    </xf>
    <xf numFmtId="0" fontId="26" fillId="43" borderId="10" xfId="0" applyFont="1" applyFill="1" applyBorder="1" applyAlignment="1">
      <alignment horizontal="center" vertical="center"/>
    </xf>
    <xf numFmtId="0" fontId="26" fillId="43" borderId="10" xfId="0" applyFont="1" applyFill="1" applyBorder="1" applyAlignment="1">
      <alignment horizontal="center" vertical="center" wrapText="1"/>
    </xf>
    <xf numFmtId="0" fontId="23" fillId="43" borderId="10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left" vertical="center"/>
    </xf>
    <xf numFmtId="0" fontId="32" fillId="0" borderId="0" xfId="313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43" borderId="16" xfId="0" applyFont="1" applyFill="1" applyBorder="1" applyAlignment="1">
      <alignment horizontal="center" vertical="center"/>
    </xf>
    <xf numFmtId="0" fontId="26" fillId="43" borderId="17" xfId="0" applyFont="1" applyFill="1" applyBorder="1" applyAlignment="1">
      <alignment horizontal="center" vertical="center"/>
    </xf>
    <xf numFmtId="0" fontId="26" fillId="43" borderId="12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</cellXfs>
  <cellStyles count="31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50" builtinId="3"/>
    <cellStyle name="Currency" xfId="51" builtinId="4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98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auto="1"/>
      </font>
      <fill>
        <patternFill patternType="solid">
          <fgColor indexed="64"/>
          <bgColor rgb="FFB64A4A"/>
        </patternFill>
      </fill>
    </dxf>
    <dxf>
      <font>
        <color auto="1"/>
      </font>
      <fill>
        <patternFill patternType="solid">
          <fgColor auto="1"/>
          <bgColor rgb="FF54B46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21616461269"/>
          <c:y val="0.0248275862068965"/>
          <c:w val="0.830896107622175"/>
          <c:h val="0.819519685039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'_histogram data2'!$G$3</c:f>
              <c:strCache>
                <c:ptCount val="1"/>
                <c:pt idx="0">
                  <c:v>7-days out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'_histogram data2'!$D$4:$D$22</c:f>
              <c:numCache>
                <c:formatCode>0%</c:formatCode>
                <c:ptCount val="19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</c:v>
                </c:pt>
                <c:pt idx="9">
                  <c:v>0.5</c:v>
                </c:pt>
                <c:pt idx="10">
                  <c:v>0.45</c:v>
                </c:pt>
                <c:pt idx="11">
                  <c:v>0.399999999999999</c:v>
                </c:pt>
                <c:pt idx="12">
                  <c:v>0.349999999999999</c:v>
                </c:pt>
                <c:pt idx="13">
                  <c:v>0.299999999999999</c:v>
                </c:pt>
                <c:pt idx="14">
                  <c:v>0.249999999999999</c:v>
                </c:pt>
                <c:pt idx="15">
                  <c:v>0.199999999999999</c:v>
                </c:pt>
                <c:pt idx="16">
                  <c:v>0.149999999999999</c:v>
                </c:pt>
                <c:pt idx="17">
                  <c:v>0.099999999999999</c:v>
                </c:pt>
                <c:pt idx="18">
                  <c:v>0.049999999999999</c:v>
                </c:pt>
              </c:numCache>
            </c:numRef>
          </c:xVal>
          <c:yVal>
            <c:numRef>
              <c:f>'_histogram data2'!$G$4:$G$22</c:f>
              <c:numCache>
                <c:formatCode>General</c:formatCode>
                <c:ptCount val="19"/>
                <c:pt idx="0">
                  <c:v>2121.944030182923</c:v>
                </c:pt>
                <c:pt idx="1">
                  <c:v>2104.931162815565</c:v>
                </c:pt>
                <c:pt idx="2">
                  <c:v>2093.529790130945</c:v>
                </c:pt>
                <c:pt idx="3">
                  <c:v>2084.512401767858</c:v>
                </c:pt>
                <c:pt idx="4">
                  <c:v>2076.807245993784</c:v>
                </c:pt>
                <c:pt idx="5">
                  <c:v>2069.91205399421</c:v>
                </c:pt>
                <c:pt idx="6">
                  <c:v>2063.54306813828</c:v>
                </c:pt>
                <c:pt idx="7">
                  <c:v>2057.517644836278</c:v>
                </c:pt>
                <c:pt idx="8">
                  <c:v>2051.704724357327</c:v>
                </c:pt>
                <c:pt idx="9">
                  <c:v>2045.999999999999</c:v>
                </c:pt>
                <c:pt idx="10">
                  <c:v>2040.31113751578</c:v>
                </c:pt>
                <c:pt idx="11">
                  <c:v>2034.546829042187</c:v>
                </c:pt>
                <c:pt idx="12">
                  <c:v>2028.60607303762</c:v>
                </c:pt>
                <c:pt idx="13">
                  <c:v>2022.364183020361</c:v>
                </c:pt>
                <c:pt idx="14">
                  <c:v>2015.6497470216</c:v>
                </c:pt>
                <c:pt idx="15">
                  <c:v>2008.199133979624</c:v>
                </c:pt>
                <c:pt idx="16">
                  <c:v>1999.549287396653</c:v>
                </c:pt>
                <c:pt idx="17">
                  <c:v>1988.71871629314</c:v>
                </c:pt>
                <c:pt idx="18">
                  <c:v>1972.773994250513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46136"/>
        <c:axId val="2101553336"/>
      </c:scatterChart>
      <c:valAx>
        <c:axId val="2101546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Prob. of Being Below Price, 7-Days</a:t>
                </a:r>
                <a:r>
                  <a:rPr lang="en-US" sz="1800" baseline="0"/>
                  <a:t> Out</a:t>
                </a:r>
                <a:endParaRPr lang="en-US" sz="1800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1553336"/>
        <c:crosses val="autoZero"/>
        <c:crossBetween val="midCat"/>
      </c:valAx>
      <c:valAx>
        <c:axId val="2101553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Price</a:t>
                </a:r>
              </a:p>
            </c:rich>
          </c:tx>
          <c:layout>
            <c:manualLayout>
              <c:xMode val="edge"/>
              <c:yMode val="edge"/>
              <c:x val="0.00175682999139278"/>
              <c:y val="0.3747429660464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1546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932733408324"/>
          <c:y val="0.0277777777777778"/>
          <c:w val="0.818604454443195"/>
          <c:h val="0.84878528341852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'_histogram data2'!$D$4:$D$22</c:f>
              <c:numCache>
                <c:formatCode>0%</c:formatCode>
                <c:ptCount val="19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</c:v>
                </c:pt>
                <c:pt idx="9">
                  <c:v>0.5</c:v>
                </c:pt>
                <c:pt idx="10">
                  <c:v>0.45</c:v>
                </c:pt>
                <c:pt idx="11">
                  <c:v>0.399999999999999</c:v>
                </c:pt>
                <c:pt idx="12">
                  <c:v>0.349999999999999</c:v>
                </c:pt>
                <c:pt idx="13">
                  <c:v>0.299999999999999</c:v>
                </c:pt>
                <c:pt idx="14">
                  <c:v>0.249999999999999</c:v>
                </c:pt>
                <c:pt idx="15">
                  <c:v>0.199999999999999</c:v>
                </c:pt>
                <c:pt idx="16">
                  <c:v>0.149999999999999</c:v>
                </c:pt>
                <c:pt idx="17">
                  <c:v>0.099999999999999</c:v>
                </c:pt>
                <c:pt idx="18">
                  <c:v>0.049999999999999</c:v>
                </c:pt>
              </c:numCache>
            </c:numRef>
          </c:xVal>
          <c:yVal>
            <c:numRef>
              <c:f>'_histogram data2'!$G$4:$G$22</c:f>
              <c:numCache>
                <c:formatCode>General</c:formatCode>
                <c:ptCount val="19"/>
                <c:pt idx="0">
                  <c:v>2121.944030182923</c:v>
                </c:pt>
                <c:pt idx="1">
                  <c:v>2104.931162815565</c:v>
                </c:pt>
                <c:pt idx="2">
                  <c:v>2093.529790130945</c:v>
                </c:pt>
                <c:pt idx="3">
                  <c:v>2084.512401767858</c:v>
                </c:pt>
                <c:pt idx="4">
                  <c:v>2076.807245993784</c:v>
                </c:pt>
                <c:pt idx="5">
                  <c:v>2069.91205399421</c:v>
                </c:pt>
                <c:pt idx="6">
                  <c:v>2063.54306813828</c:v>
                </c:pt>
                <c:pt idx="7">
                  <c:v>2057.517644836278</c:v>
                </c:pt>
                <c:pt idx="8">
                  <c:v>2051.704724357327</c:v>
                </c:pt>
                <c:pt idx="9">
                  <c:v>2045.999999999999</c:v>
                </c:pt>
                <c:pt idx="10">
                  <c:v>2040.31113751578</c:v>
                </c:pt>
                <c:pt idx="11">
                  <c:v>2034.546829042187</c:v>
                </c:pt>
                <c:pt idx="12">
                  <c:v>2028.60607303762</c:v>
                </c:pt>
                <c:pt idx="13">
                  <c:v>2022.364183020361</c:v>
                </c:pt>
                <c:pt idx="14">
                  <c:v>2015.6497470216</c:v>
                </c:pt>
                <c:pt idx="15">
                  <c:v>2008.199133979624</c:v>
                </c:pt>
                <c:pt idx="16">
                  <c:v>1999.549287396653</c:v>
                </c:pt>
                <c:pt idx="17">
                  <c:v>1988.71871629314</c:v>
                </c:pt>
                <c:pt idx="18">
                  <c:v>1972.773994250513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515144"/>
        <c:axId val="2144521000"/>
      </c:scatterChart>
      <c:valAx>
        <c:axId val="2144515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Prob. of</a:t>
                </a:r>
                <a:r>
                  <a:rPr lang="en-US" sz="1800" baseline="0"/>
                  <a:t> Being Below Price, 7-days Out</a:t>
                </a:r>
                <a:endParaRPr lang="en-US" sz="1800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4521000"/>
        <c:crosses val="autoZero"/>
        <c:crossBetween val="midCat"/>
      </c:valAx>
      <c:valAx>
        <c:axId val="2144521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45151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21616461269"/>
          <c:y val="0.0418006430868167"/>
          <c:w val="0.82050873400344"/>
          <c:h val="0.8091748740410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'_histogram data2'!$G$3</c:f>
              <c:strCache>
                <c:ptCount val="1"/>
                <c:pt idx="0">
                  <c:v>7-days out</c:v>
                </c:pt>
              </c:strCache>
            </c:strRef>
          </c:tx>
          <c:marker>
            <c:symbol val="none"/>
          </c:marker>
          <c:xVal>
            <c:numRef>
              <c:f>'_histogram data2'!$D$4:$D$22</c:f>
              <c:numCache>
                <c:formatCode>0%</c:formatCode>
                <c:ptCount val="19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</c:v>
                </c:pt>
                <c:pt idx="9">
                  <c:v>0.5</c:v>
                </c:pt>
                <c:pt idx="10">
                  <c:v>0.45</c:v>
                </c:pt>
                <c:pt idx="11">
                  <c:v>0.399999999999999</c:v>
                </c:pt>
                <c:pt idx="12">
                  <c:v>0.349999999999999</c:v>
                </c:pt>
                <c:pt idx="13">
                  <c:v>0.299999999999999</c:v>
                </c:pt>
                <c:pt idx="14">
                  <c:v>0.249999999999999</c:v>
                </c:pt>
                <c:pt idx="15">
                  <c:v>0.199999999999999</c:v>
                </c:pt>
                <c:pt idx="16">
                  <c:v>0.149999999999999</c:v>
                </c:pt>
                <c:pt idx="17">
                  <c:v>0.099999999999999</c:v>
                </c:pt>
                <c:pt idx="18">
                  <c:v>0.049999999999999</c:v>
                </c:pt>
              </c:numCache>
            </c:numRef>
          </c:xVal>
          <c:yVal>
            <c:numRef>
              <c:f>'_histogram data2'!$G$4:$G$22</c:f>
              <c:numCache>
                <c:formatCode>General</c:formatCode>
                <c:ptCount val="19"/>
                <c:pt idx="0">
                  <c:v>2121.944030182923</c:v>
                </c:pt>
                <c:pt idx="1">
                  <c:v>2104.931162815565</c:v>
                </c:pt>
                <c:pt idx="2">
                  <c:v>2093.529790130945</c:v>
                </c:pt>
                <c:pt idx="3">
                  <c:v>2084.512401767858</c:v>
                </c:pt>
                <c:pt idx="4">
                  <c:v>2076.807245993784</c:v>
                </c:pt>
                <c:pt idx="5">
                  <c:v>2069.91205399421</c:v>
                </c:pt>
                <c:pt idx="6">
                  <c:v>2063.54306813828</c:v>
                </c:pt>
                <c:pt idx="7">
                  <c:v>2057.517644836278</c:v>
                </c:pt>
                <c:pt idx="8">
                  <c:v>2051.704724357327</c:v>
                </c:pt>
                <c:pt idx="9">
                  <c:v>2045.999999999999</c:v>
                </c:pt>
                <c:pt idx="10">
                  <c:v>2040.31113751578</c:v>
                </c:pt>
                <c:pt idx="11">
                  <c:v>2034.546829042187</c:v>
                </c:pt>
                <c:pt idx="12">
                  <c:v>2028.60607303762</c:v>
                </c:pt>
                <c:pt idx="13">
                  <c:v>2022.364183020361</c:v>
                </c:pt>
                <c:pt idx="14">
                  <c:v>2015.6497470216</c:v>
                </c:pt>
                <c:pt idx="15">
                  <c:v>2008.199133979624</c:v>
                </c:pt>
                <c:pt idx="16">
                  <c:v>1999.549287396653</c:v>
                </c:pt>
                <c:pt idx="17">
                  <c:v>1988.71871629314</c:v>
                </c:pt>
                <c:pt idx="18">
                  <c:v>1972.773994250513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'_histogram data2'!$I$3</c:f>
              <c:strCache>
                <c:ptCount val="1"/>
                <c:pt idx="0">
                  <c:v>45-days out</c:v>
                </c:pt>
              </c:strCache>
            </c:strRef>
          </c:tx>
          <c:marker>
            <c:symbol val="none"/>
          </c:marker>
          <c:xVal>
            <c:numRef>
              <c:f>'_histogram data2'!$D$4:$D$22</c:f>
              <c:numCache>
                <c:formatCode>0%</c:formatCode>
                <c:ptCount val="19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</c:v>
                </c:pt>
                <c:pt idx="9">
                  <c:v>0.5</c:v>
                </c:pt>
                <c:pt idx="10">
                  <c:v>0.45</c:v>
                </c:pt>
                <c:pt idx="11">
                  <c:v>0.399999999999999</c:v>
                </c:pt>
                <c:pt idx="12">
                  <c:v>0.349999999999999</c:v>
                </c:pt>
                <c:pt idx="13">
                  <c:v>0.299999999999999</c:v>
                </c:pt>
                <c:pt idx="14">
                  <c:v>0.249999999999999</c:v>
                </c:pt>
                <c:pt idx="15">
                  <c:v>0.199999999999999</c:v>
                </c:pt>
                <c:pt idx="16">
                  <c:v>0.149999999999999</c:v>
                </c:pt>
                <c:pt idx="17">
                  <c:v>0.099999999999999</c:v>
                </c:pt>
                <c:pt idx="18">
                  <c:v>0.049999999999999</c:v>
                </c:pt>
              </c:numCache>
            </c:numRef>
          </c:xVal>
          <c:yVal>
            <c:numRef>
              <c:f>'_histogram data2'!$I$4:$I$22</c:f>
              <c:numCache>
                <c:formatCode>General</c:formatCode>
                <c:ptCount val="19"/>
                <c:pt idx="0">
                  <c:v>2244.076626040067</c:v>
                </c:pt>
                <c:pt idx="1">
                  <c:v>2198.738781703847</c:v>
                </c:pt>
                <c:pt idx="2">
                  <c:v>2168.668179394113</c:v>
                </c:pt>
                <c:pt idx="3">
                  <c:v>2145.062605305764</c:v>
                </c:pt>
                <c:pt idx="4">
                  <c:v>2125.016003728184</c:v>
                </c:pt>
                <c:pt idx="5">
                  <c:v>2107.173250465619</c:v>
                </c:pt>
                <c:pt idx="6">
                  <c:v>2090.7730443205</c:v>
                </c:pt>
                <c:pt idx="7">
                  <c:v>2075.328894742252</c:v>
                </c:pt>
                <c:pt idx="8">
                  <c:v>2060.495093678988</c:v>
                </c:pt>
                <c:pt idx="9">
                  <c:v>2045.999999999999</c:v>
                </c:pt>
                <c:pt idx="10">
                  <c:v>2031.606875862897</c:v>
                </c:pt>
                <c:pt idx="11">
                  <c:v>2017.085586099303</c:v>
                </c:pt>
                <c:pt idx="12">
                  <c:v>2002.185751998005</c:v>
                </c:pt>
                <c:pt idx="13">
                  <c:v>1986.60266737678</c:v>
                </c:pt>
                <c:pt idx="14">
                  <c:v>1969.922105365684</c:v>
                </c:pt>
                <c:pt idx="15">
                  <c:v>1951.512272716766</c:v>
                </c:pt>
                <c:pt idx="16">
                  <c:v>1930.270402717636</c:v>
                </c:pt>
                <c:pt idx="17">
                  <c:v>1903.871453413894</c:v>
                </c:pt>
                <c:pt idx="18">
                  <c:v>1865.40689004318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565016"/>
        <c:axId val="2144570792"/>
      </c:scatterChart>
      <c:valAx>
        <c:axId val="2144565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Prob. of Being Below Price, n-Days</a:t>
                </a:r>
                <a:r>
                  <a:rPr lang="en-US" sz="1800" baseline="0"/>
                  <a:t> Out</a:t>
                </a:r>
                <a:endParaRPr lang="en-US" sz="1800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4570792"/>
        <c:crosses val="autoZero"/>
        <c:crossBetween val="midCat"/>
      </c:valAx>
      <c:valAx>
        <c:axId val="2144570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4565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7760876082874"/>
          <c:y val="0.567257513228853"/>
          <c:w val="0.219651407440467"/>
          <c:h val="0.16076331635016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11</xdr:row>
      <xdr:rowOff>38100</xdr:rowOff>
    </xdr:from>
    <xdr:to>
      <xdr:col>8</xdr:col>
      <xdr:colOff>1358900</xdr:colOff>
      <xdr:row>28</xdr:row>
      <xdr:rowOff>203200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38100</xdr:colOff>
      <xdr:row>3</xdr:row>
      <xdr:rowOff>12700</xdr:rowOff>
    </xdr:from>
    <xdr:to>
      <xdr:col>20</xdr:col>
      <xdr:colOff>265289</xdr:colOff>
      <xdr:row>9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99900" y="368300"/>
          <a:ext cx="3160889" cy="177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101599</xdr:colOff>
      <xdr:row>1</xdr:row>
      <xdr:rowOff>101600</xdr:rowOff>
    </xdr:from>
    <xdr:to>
      <xdr:col>3</xdr:col>
      <xdr:colOff>936770</xdr:colOff>
      <xdr:row>2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599" y="101600"/>
          <a:ext cx="1724171" cy="63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628650</xdr:colOff>
      <xdr:row>2</xdr:row>
      <xdr:rowOff>88900</xdr:rowOff>
    </xdr:from>
    <xdr:to>
      <xdr:col>27</xdr:col>
      <xdr:colOff>596900</xdr:colOff>
      <xdr:row>21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2</xdr:row>
      <xdr:rowOff>76200</xdr:rowOff>
    </xdr:from>
    <xdr:to>
      <xdr:col>19</xdr:col>
      <xdr:colOff>38100</xdr:colOff>
      <xdr:row>21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astytrade.com/tt/shows/the-skinny-on-options-data-science" TargetMode="External"/><Relationship Id="rId2" Type="http://schemas.openxmlformats.org/officeDocument/2006/relationships/hyperlink" Target="https://twitter.com/mrechenthin" TargetMode="External"/><Relationship Id="rId3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6"/>
  <sheetViews>
    <sheetView showGridLines="0" showRowColHeaders="0" tabSelected="1" workbookViewId="0">
      <selection activeCell="B8" sqref="B8:I8"/>
    </sheetView>
  </sheetViews>
  <sheetFormatPr baseColWidth="10" defaultRowHeight="21" customHeight="1" x14ac:dyDescent="0"/>
  <cols>
    <col min="1" max="1" width="2" style="62" customWidth="1"/>
    <col min="2" max="2" width="14" style="63" customWidth="1"/>
    <col min="3" max="3" width="14.3984375" style="65" hidden="1" customWidth="1"/>
    <col min="4" max="4" width="16.3984375" style="64" customWidth="1"/>
    <col min="5" max="5" width="19.3984375" style="65" hidden="1" customWidth="1"/>
    <col min="6" max="6" width="15.19921875" style="63" customWidth="1"/>
    <col min="7" max="7" width="12.796875" style="63" customWidth="1"/>
    <col min="8" max="8" width="12" style="63" bestFit="1" customWidth="1"/>
    <col min="9" max="9" width="21.59765625" style="63" bestFit="1" customWidth="1"/>
    <col min="10" max="10" width="19.19921875" style="63" hidden="1" customWidth="1"/>
    <col min="11" max="11" width="3.59765625" style="68" customWidth="1"/>
    <col min="12" max="12" width="9.59765625" style="63" customWidth="1"/>
    <col min="13" max="13" width="13" style="67" customWidth="1"/>
    <col min="14" max="14" width="15.59765625" style="67" customWidth="1"/>
    <col min="15" max="15" width="17" style="67" customWidth="1"/>
    <col min="16" max="17" width="17" style="63" customWidth="1"/>
    <col min="18" max="18" width="17" style="62" customWidth="1"/>
    <col min="19" max="20" width="14.59765625" style="62" customWidth="1"/>
    <col min="21" max="21" width="13.796875" style="62" bestFit="1" customWidth="1"/>
    <col min="22" max="22" width="13.796875" style="62" hidden="1" customWidth="1"/>
    <col min="23" max="25" width="11" style="62" hidden="1" customWidth="1"/>
    <col min="26" max="16384" width="11" style="62"/>
  </cols>
  <sheetData>
    <row r="1" spans="2:25" ht="6" customHeight="1"/>
    <row r="2" spans="2:25" ht="56" customHeight="1">
      <c r="B2" s="128" t="s">
        <v>136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99"/>
      <c r="V2" s="99"/>
    </row>
    <row r="3" spans="2:25" ht="7" customHeight="1">
      <c r="B3" s="79"/>
      <c r="C3" s="80"/>
      <c r="D3" s="81"/>
      <c r="E3" s="80"/>
      <c r="F3" s="79"/>
      <c r="G3" s="79"/>
      <c r="H3" s="79"/>
      <c r="I3" s="79"/>
      <c r="J3" s="79"/>
      <c r="K3" s="82"/>
      <c r="L3" s="79"/>
      <c r="M3" s="83"/>
      <c r="N3" s="83"/>
      <c r="O3" s="83"/>
    </row>
    <row r="4" spans="2:25" ht="21" customHeight="1">
      <c r="B4" s="88" t="s">
        <v>0</v>
      </c>
      <c r="C4" s="89"/>
      <c r="D4" s="90" t="s">
        <v>127</v>
      </c>
      <c r="E4" s="91"/>
      <c r="F4" s="88" t="s">
        <v>137</v>
      </c>
      <c r="G4" s="88" t="s">
        <v>134</v>
      </c>
      <c r="H4" s="88" t="s">
        <v>128</v>
      </c>
      <c r="I4" s="88" t="s">
        <v>129</v>
      </c>
      <c r="J4" s="79"/>
      <c r="K4" s="82"/>
      <c r="L4" s="88" t="s">
        <v>130</v>
      </c>
      <c r="N4" s="106"/>
      <c r="O4" s="135" t="s">
        <v>193</v>
      </c>
      <c r="P4" s="136"/>
      <c r="Q4" s="137"/>
    </row>
    <row r="5" spans="2:25" ht="32" customHeight="1">
      <c r="B5" s="92"/>
      <c r="C5" s="93"/>
      <c r="D5" s="94"/>
      <c r="E5" s="80"/>
      <c r="F5" s="95"/>
      <c r="G5" s="95" t="s">
        <v>135</v>
      </c>
      <c r="H5" s="95"/>
      <c r="I5" s="95"/>
      <c r="J5" s="79"/>
      <c r="K5" s="82"/>
      <c r="L5" s="95"/>
      <c r="N5" s="106"/>
      <c r="O5" s="131" t="s">
        <v>138</v>
      </c>
      <c r="P5" s="131"/>
      <c r="Q5" s="125" t="s">
        <v>140</v>
      </c>
    </row>
    <row r="6" spans="2:25" ht="29" customHeight="1">
      <c r="B6" s="69" t="s">
        <v>42</v>
      </c>
      <c r="C6" s="70" t="str">
        <f>IF(ISNA(VLOOKUP(B6,_lookup!A:H,1,FALSE)),"Stock",B6)</f>
        <v>/ES</v>
      </c>
      <c r="D6" s="138" t="str">
        <f>VLOOKUP(C6,_lookup!A:H,2,FALSE)</f>
        <v>E-mini S&amp;P 500 Index</v>
      </c>
      <c r="E6" s="78">
        <f>VLOOKUP(C6,_lookup!A:H,4,FALSE)</f>
        <v>0.25</v>
      </c>
      <c r="F6" s="71">
        <f>VLOOKUP(C6,_lookup!A:H,6,FALSE)</f>
        <v>12.5</v>
      </c>
      <c r="G6" s="72">
        <v>1</v>
      </c>
      <c r="H6" s="73">
        <v>2046</v>
      </c>
      <c r="I6" s="74">
        <f>G6*H6/E6*F6</f>
        <v>102300</v>
      </c>
      <c r="J6" s="75">
        <f>L6/100*I6</f>
        <v>16368</v>
      </c>
      <c r="K6" s="76"/>
      <c r="L6" s="69">
        <v>16</v>
      </c>
      <c r="N6" s="83" t="s">
        <v>157</v>
      </c>
      <c r="O6" s="107">
        <f>I6*L6/100*SQRT(1/365)*-1</f>
        <v>-856.74027649566176</v>
      </c>
      <c r="P6" s="108">
        <f>I6*L6/100*SQRT(1/365)</f>
        <v>856.74027649566176</v>
      </c>
      <c r="Q6" s="85" t="str">
        <f>CONCATENATE(CHAR(177),ROUND(H6*L6/100*SQRT(1/365),2))</f>
        <v>±17.13</v>
      </c>
    </row>
    <row r="7" spans="2:25" ht="19" customHeight="1">
      <c r="B7" s="79"/>
      <c r="C7" s="80"/>
      <c r="D7" s="81"/>
      <c r="E7" s="80"/>
      <c r="F7" s="79"/>
      <c r="G7" s="79"/>
      <c r="H7" s="79"/>
      <c r="I7" s="79"/>
      <c r="J7" s="79"/>
      <c r="K7" s="82"/>
      <c r="L7" s="79"/>
      <c r="M7" s="83"/>
      <c r="N7" s="83" t="s">
        <v>158</v>
      </c>
      <c r="O7" s="107">
        <f>I6*L6/100*SQRT(2/365)*-1</f>
        <v>-1211.6137184514403</v>
      </c>
      <c r="P7" s="109">
        <f>I6*L6/100*SQRT(2/365)</f>
        <v>1211.6137184514403</v>
      </c>
      <c r="Q7" s="124" t="str">
        <f>CONCATENATE(CHAR(177),ROUND(H6*L6/100*SQRT(2/365),2))</f>
        <v>±24.23</v>
      </c>
    </row>
    <row r="8" spans="2:25" ht="18">
      <c r="B8" s="132" t="str">
        <f>IF(ISTEXT(VLOOKUP(B6,_lookup!A:I,9,FALSE)),CONCATENATE("You might also be interested in trading ",VLOOKUP(B6,_lookup!A:I,9,FALSE)),"")</f>
        <v>You might also be interested in trading SPY or SPX</v>
      </c>
      <c r="C8" s="132"/>
      <c r="D8" s="132"/>
      <c r="E8" s="132"/>
      <c r="F8" s="132"/>
      <c r="G8" s="132"/>
      <c r="H8" s="132"/>
      <c r="I8" s="132"/>
      <c r="J8" s="79"/>
      <c r="K8" s="82"/>
      <c r="N8" s="83" t="s">
        <v>159</v>
      </c>
      <c r="O8" s="107">
        <f>I6*L6/100*SQRT(3/365)*-1</f>
        <v>-1483.9176877810942</v>
      </c>
      <c r="P8" s="109">
        <f>I6*L6/100*SQRT(3/365)</f>
        <v>1483.9176877810942</v>
      </c>
      <c r="Q8" s="124" t="str">
        <f>CONCATENATE(CHAR(177),ROUND(H6*L6/100*SQRT(3/365),2))</f>
        <v>±29.68</v>
      </c>
    </row>
    <row r="9" spans="2:25" ht="21" customHeight="1">
      <c r="B9" s="104"/>
      <c r="C9" s="67"/>
      <c r="D9" s="103"/>
      <c r="E9" s="67"/>
      <c r="F9" s="67"/>
      <c r="G9" s="67"/>
      <c r="H9" s="67"/>
      <c r="I9" s="67"/>
      <c r="J9" s="79"/>
      <c r="K9" s="82"/>
      <c r="N9" s="83" t="s">
        <v>160</v>
      </c>
      <c r="O9" s="107">
        <f>I6*L6/100*SQRT(7/365)*-1</f>
        <v>-2266.7217097802368</v>
      </c>
      <c r="P9" s="109">
        <f>I6*L6/100*SQRT(7/365)</f>
        <v>2266.7217097802368</v>
      </c>
      <c r="Q9" s="124" t="str">
        <f>CONCATENATE(CHAR(177),ROUND(H6*L6/100*SQRT(7/365),2))</f>
        <v>±45.33</v>
      </c>
    </row>
    <row r="10" spans="2:25" ht="12" customHeight="1">
      <c r="B10" s="67"/>
      <c r="C10" s="67"/>
      <c r="D10" s="103"/>
      <c r="E10" s="67"/>
      <c r="F10" s="67"/>
      <c r="G10" s="67"/>
      <c r="H10" s="67"/>
      <c r="I10" s="67"/>
      <c r="J10" s="79"/>
      <c r="K10" s="82"/>
      <c r="U10" s="77"/>
      <c r="V10" s="77"/>
    </row>
    <row r="11" spans="2:25" ht="18" hidden="1">
      <c r="B11" s="67"/>
      <c r="C11" s="67"/>
      <c r="D11" s="103"/>
      <c r="E11" s="67"/>
      <c r="F11" s="67"/>
      <c r="G11" s="67"/>
      <c r="H11" s="67"/>
      <c r="I11" s="67"/>
      <c r="J11" s="79"/>
      <c r="K11" s="82"/>
      <c r="U11" s="77"/>
      <c r="V11" s="77"/>
    </row>
    <row r="12" spans="2:25" ht="18">
      <c r="B12" s="67"/>
      <c r="C12" s="67"/>
      <c r="D12" s="103"/>
      <c r="E12" s="67"/>
      <c r="F12" s="67"/>
      <c r="G12" s="67"/>
      <c r="H12" s="67"/>
      <c r="I12" s="67"/>
      <c r="J12" s="79"/>
      <c r="K12" s="82"/>
      <c r="L12" s="130" t="s">
        <v>139</v>
      </c>
      <c r="M12" s="130" t="s">
        <v>140</v>
      </c>
      <c r="N12" s="130" t="s">
        <v>128</v>
      </c>
      <c r="O12" s="129" t="s">
        <v>162</v>
      </c>
      <c r="P12" s="129"/>
      <c r="Q12" s="129"/>
      <c r="R12" s="129"/>
      <c r="S12" s="130" t="s">
        <v>141</v>
      </c>
      <c r="T12" s="130" t="s">
        <v>142</v>
      </c>
      <c r="U12" s="77"/>
      <c r="V12" s="77"/>
    </row>
    <row r="13" spans="2:25" ht="21" customHeight="1">
      <c r="B13" s="67"/>
      <c r="C13" s="67"/>
      <c r="D13" s="103"/>
      <c r="E13" s="67"/>
      <c r="F13" s="67"/>
      <c r="G13" s="67"/>
      <c r="H13" s="67"/>
      <c r="I13" s="67"/>
      <c r="J13" s="79"/>
      <c r="K13" s="82"/>
      <c r="L13" s="130"/>
      <c r="M13" s="130"/>
      <c r="N13" s="130"/>
      <c r="O13" s="96" t="s">
        <v>154</v>
      </c>
      <c r="P13" s="96" t="s">
        <v>155</v>
      </c>
      <c r="Q13" s="96" t="s">
        <v>156</v>
      </c>
      <c r="R13" s="96" t="s">
        <v>161</v>
      </c>
      <c r="S13" s="130"/>
      <c r="T13" s="130"/>
      <c r="U13" s="77"/>
      <c r="V13" s="77"/>
    </row>
    <row r="14" spans="2:25" ht="21" customHeight="1">
      <c r="B14" s="67"/>
      <c r="C14" s="67"/>
      <c r="D14" s="103"/>
      <c r="E14" s="67"/>
      <c r="F14" s="67"/>
      <c r="G14" s="67"/>
      <c r="H14" s="67"/>
      <c r="I14" s="67"/>
      <c r="L14" s="84">
        <v>0.05</v>
      </c>
      <c r="M14" s="85">
        <f t="shared" ref="M14:M22" si="0">H$6*L14</f>
        <v>102.30000000000001</v>
      </c>
      <c r="N14" s="86">
        <f>$H$6*(L14+100%)</f>
        <v>2148.3000000000002</v>
      </c>
      <c r="O14" s="110" t="str">
        <f>IF(ROUND(V14,2)=0%,CONCATENATE("Near ",ROUND(V14,2),"%"),IF(ROUND(V14,2)=100%,CONCATENATE("Near ",ROUND(V14,1),"00%"),ROUND(V14,2)))</f>
        <v>Near 0%</v>
      </c>
      <c r="P14" s="110" t="str">
        <f t="shared" ref="P14:R22" si="1">IF(ROUND(W14,2)=0%,CONCATENATE("Near ",ROUND(W14,2),"%"),IF(ROUND(W14,2)=100%,CONCATENATE("Near ",ROUND(W14,1),"00%"),ROUND(W14,2)))</f>
        <v>Near 0%</v>
      </c>
      <c r="Q14" s="110" t="str">
        <f t="shared" si="1"/>
        <v>Near 0%</v>
      </c>
      <c r="R14" s="110">
        <f t="shared" si="1"/>
        <v>0.01</v>
      </c>
      <c r="S14" s="87">
        <f>(N14-$H$6)/$E$6*$F$6*$G$6</f>
        <v>5115.0000000000091</v>
      </c>
      <c r="T14" s="87">
        <f>S14*-1</f>
        <v>-5115.0000000000091</v>
      </c>
      <c r="V14" s="110">
        <f t="shared" ref="V14:V22" si="2">1-NORMSDIST(LN($N14/$H$6)/($L$6/100*SQRT(1/365)))</f>
        <v>2.8412617814055352E-9</v>
      </c>
      <c r="W14" s="110">
        <f t="shared" ref="W14:W22" si="3">1-NORMSDIST(LN($N14/$H$6)/($L$6/100*SQRT(2/365)))</f>
        <v>1.8985377686742133E-5</v>
      </c>
      <c r="X14" s="110">
        <f t="shared" ref="X14:X22" si="4">1-NORMSDIST(LN($N14/$H$6)/($L$6/100*SQRT(3/365)))</f>
        <v>3.8473217539225502E-4</v>
      </c>
      <c r="Y14" s="110">
        <f t="shared" ref="Y14:Y22" si="5">1-NORMSDIST(LN($N14/$H$6)/($L$6/100*SQRT(7/365)))</f>
        <v>1.3834016271819682E-2</v>
      </c>
    </row>
    <row r="15" spans="2:25" ht="21" customHeight="1">
      <c r="B15" s="67"/>
      <c r="C15" s="67"/>
      <c r="D15" s="103"/>
      <c r="E15" s="67"/>
      <c r="F15" s="67"/>
      <c r="G15" s="67"/>
      <c r="H15" s="67"/>
      <c r="I15" s="67"/>
      <c r="L15" s="84">
        <v>0.03</v>
      </c>
      <c r="M15" s="85">
        <f t="shared" si="0"/>
        <v>61.379999999999995</v>
      </c>
      <c r="N15" s="86">
        <f t="shared" ref="N15:N22" si="6">$H$6*(L15+100%)</f>
        <v>2107.38</v>
      </c>
      <c r="O15" s="110" t="str">
        <f t="shared" ref="O15:O22" si="7">IF(ROUND(V15,2)=0%,CONCATENATE("Near ",ROUND(V15,2),"%"),IF(ROUND(V15,2)=100%,CONCATENATE("Near ",ROUND(V15,1),"00%"),ROUND(V15,2)))</f>
        <v>Near 0%</v>
      </c>
      <c r="P15" s="110">
        <f t="shared" si="1"/>
        <v>0.01</v>
      </c>
      <c r="Q15" s="110">
        <f t="shared" si="1"/>
        <v>0.02</v>
      </c>
      <c r="R15" s="110">
        <f t="shared" si="1"/>
        <v>0.09</v>
      </c>
      <c r="S15" s="87">
        <f t="shared" ref="S15:S22" si="8">(N15-$H$6)/$E$6*$F$6*$G$6</f>
        <v>3069.0000000000055</v>
      </c>
      <c r="T15" s="87">
        <f>S15*-1</f>
        <v>-3069.0000000000055</v>
      </c>
      <c r="V15" s="110">
        <f t="shared" si="2"/>
        <v>2.0817224306823867E-4</v>
      </c>
      <c r="W15" s="110">
        <f t="shared" si="3"/>
        <v>6.2848421991169579E-3</v>
      </c>
      <c r="X15" s="110">
        <f t="shared" si="4"/>
        <v>2.0787059173288047E-2</v>
      </c>
      <c r="Y15" s="110">
        <f t="shared" si="5"/>
        <v>9.1097684226075004E-2</v>
      </c>
    </row>
    <row r="16" spans="2:25" ht="21" customHeight="1">
      <c r="B16" s="67"/>
      <c r="C16" s="67"/>
      <c r="D16" s="103"/>
      <c r="E16" s="67"/>
      <c r="F16" s="67"/>
      <c r="G16" s="67"/>
      <c r="H16" s="67"/>
      <c r="I16" s="67"/>
      <c r="L16" s="84">
        <v>0.02</v>
      </c>
      <c r="M16" s="85">
        <f t="shared" si="0"/>
        <v>40.92</v>
      </c>
      <c r="N16" s="86">
        <f t="shared" si="6"/>
        <v>2086.92</v>
      </c>
      <c r="O16" s="110">
        <f t="shared" si="7"/>
        <v>0.01</v>
      </c>
      <c r="P16" s="110">
        <f t="shared" si="1"/>
        <v>0.05</v>
      </c>
      <c r="Q16" s="110">
        <f t="shared" si="1"/>
        <v>0.09</v>
      </c>
      <c r="R16" s="110">
        <f t="shared" si="1"/>
        <v>0.19</v>
      </c>
      <c r="S16" s="87">
        <f t="shared" si="8"/>
        <v>2046.0000000000036</v>
      </c>
      <c r="T16" s="87">
        <f>S16*-1</f>
        <v>-2046.0000000000036</v>
      </c>
      <c r="V16" s="110">
        <f t="shared" si="2"/>
        <v>9.0258941902445766E-3</v>
      </c>
      <c r="W16" s="110">
        <f t="shared" si="3"/>
        <v>4.7262923108976174E-2</v>
      </c>
      <c r="X16" s="110">
        <f t="shared" si="4"/>
        <v>8.609887416963935E-2</v>
      </c>
      <c r="Y16" s="110">
        <f t="shared" si="5"/>
        <v>0.18573654015703778</v>
      </c>
    </row>
    <row r="17" spans="2:25" ht="18">
      <c r="B17" s="67"/>
      <c r="C17" s="67"/>
      <c r="D17" s="103"/>
      <c r="E17" s="67"/>
      <c r="F17" s="67"/>
      <c r="G17" s="67"/>
      <c r="H17" s="67"/>
      <c r="I17" s="67"/>
      <c r="L17" s="84">
        <v>0.01</v>
      </c>
      <c r="M17" s="85">
        <f t="shared" si="0"/>
        <v>20.46</v>
      </c>
      <c r="N17" s="86">
        <f t="shared" si="6"/>
        <v>2066.46</v>
      </c>
      <c r="O17" s="110">
        <f t="shared" si="7"/>
        <v>0.12</v>
      </c>
      <c r="P17" s="110">
        <f t="shared" si="1"/>
        <v>0.2</v>
      </c>
      <c r="Q17" s="110">
        <f t="shared" si="1"/>
        <v>0.25</v>
      </c>
      <c r="R17" s="110">
        <f t="shared" si="1"/>
        <v>0.33</v>
      </c>
      <c r="S17" s="87">
        <f t="shared" si="8"/>
        <v>1023.0000000000018</v>
      </c>
      <c r="T17" s="87">
        <f>S17*-1</f>
        <v>-1023.0000000000018</v>
      </c>
      <c r="V17" s="110">
        <f t="shared" si="2"/>
        <v>0.11739109337844311</v>
      </c>
      <c r="W17" s="110">
        <f t="shared" si="3"/>
        <v>0.20041640569039698</v>
      </c>
      <c r="X17" s="110">
        <f t="shared" si="4"/>
        <v>0.24636689929377087</v>
      </c>
      <c r="Y17" s="110">
        <f t="shared" si="5"/>
        <v>0.32669024186863016</v>
      </c>
    </row>
    <row r="18" spans="2:25" ht="21" customHeight="1">
      <c r="L18" s="84">
        <v>0</v>
      </c>
      <c r="M18" s="85">
        <f t="shared" si="0"/>
        <v>0</v>
      </c>
      <c r="N18" s="86">
        <f t="shared" si="6"/>
        <v>2046</v>
      </c>
      <c r="O18" s="110">
        <f t="shared" si="7"/>
        <v>0.5</v>
      </c>
      <c r="P18" s="110">
        <f t="shared" si="1"/>
        <v>0.5</v>
      </c>
      <c r="Q18" s="110">
        <f t="shared" si="1"/>
        <v>0.5</v>
      </c>
      <c r="R18" s="110">
        <f t="shared" si="1"/>
        <v>0.5</v>
      </c>
      <c r="S18" s="87">
        <f t="shared" si="8"/>
        <v>0</v>
      </c>
      <c r="T18" s="87">
        <v>0</v>
      </c>
      <c r="V18" s="110">
        <f t="shared" si="2"/>
        <v>0.5</v>
      </c>
      <c r="W18" s="110">
        <f t="shared" si="3"/>
        <v>0.5</v>
      </c>
      <c r="X18" s="110">
        <f t="shared" si="4"/>
        <v>0.5</v>
      </c>
      <c r="Y18" s="110">
        <f t="shared" si="5"/>
        <v>0.5</v>
      </c>
    </row>
    <row r="19" spans="2:25" ht="21" customHeight="1">
      <c r="L19" s="84">
        <v>-0.01</v>
      </c>
      <c r="M19" s="85">
        <f t="shared" si="0"/>
        <v>-20.46</v>
      </c>
      <c r="N19" s="86">
        <f t="shared" si="6"/>
        <v>2025.54</v>
      </c>
      <c r="O19" s="110">
        <f t="shared" si="7"/>
        <v>0.88</v>
      </c>
      <c r="P19" s="110">
        <f t="shared" si="1"/>
        <v>0.8</v>
      </c>
      <c r="Q19" s="110">
        <f t="shared" si="1"/>
        <v>0.76</v>
      </c>
      <c r="R19" s="110">
        <f t="shared" si="1"/>
        <v>0.67</v>
      </c>
      <c r="S19" s="87">
        <f t="shared" si="8"/>
        <v>-1023.0000000000018</v>
      </c>
      <c r="T19" s="87">
        <f>S19*-1</f>
        <v>1023.0000000000018</v>
      </c>
      <c r="V19" s="110">
        <f t="shared" si="2"/>
        <v>0.88494416115243035</v>
      </c>
      <c r="W19" s="110">
        <f t="shared" si="3"/>
        <v>0.80194206405564206</v>
      </c>
      <c r="X19" s="110">
        <f t="shared" si="4"/>
        <v>0.7558017472954458</v>
      </c>
      <c r="Y19" s="110">
        <f t="shared" si="5"/>
        <v>0.67493596862595384</v>
      </c>
    </row>
    <row r="20" spans="2:25" ht="21" customHeight="1">
      <c r="I20" s="79"/>
      <c r="L20" s="84">
        <v>-0.02</v>
      </c>
      <c r="M20" s="85">
        <f t="shared" si="0"/>
        <v>-40.92</v>
      </c>
      <c r="N20" s="86">
        <f t="shared" si="6"/>
        <v>2005.08</v>
      </c>
      <c r="O20" s="110">
        <f t="shared" si="7"/>
        <v>0.99</v>
      </c>
      <c r="P20" s="110">
        <f t="shared" si="1"/>
        <v>0.96</v>
      </c>
      <c r="Q20" s="110">
        <f t="shared" si="1"/>
        <v>0.92</v>
      </c>
      <c r="R20" s="110">
        <f t="shared" si="1"/>
        <v>0.82</v>
      </c>
      <c r="S20" s="87">
        <f t="shared" si="8"/>
        <v>-2046.0000000000036</v>
      </c>
      <c r="T20" s="87">
        <f>S20*-1</f>
        <v>2046.0000000000036</v>
      </c>
      <c r="V20" s="110">
        <f t="shared" si="2"/>
        <v>0.99207445219703605</v>
      </c>
      <c r="W20" s="110">
        <f t="shared" si="3"/>
        <v>0.95597474646732838</v>
      </c>
      <c r="X20" s="110">
        <f t="shared" si="4"/>
        <v>0.91815337881040948</v>
      </c>
      <c r="Y20" s="110">
        <f t="shared" si="5"/>
        <v>0.81905603838682439</v>
      </c>
    </row>
    <row r="21" spans="2:25" ht="21" customHeight="1">
      <c r="I21" s="79"/>
      <c r="L21" s="84">
        <v>-0.03</v>
      </c>
      <c r="M21" s="85">
        <f t="shared" si="0"/>
        <v>-61.379999999999995</v>
      </c>
      <c r="N21" s="86">
        <f t="shared" si="6"/>
        <v>1984.62</v>
      </c>
      <c r="O21" s="110" t="str">
        <f t="shared" si="7"/>
        <v>Near 100%</v>
      </c>
      <c r="P21" s="110">
        <f t="shared" si="1"/>
        <v>0.99</v>
      </c>
      <c r="Q21" s="110">
        <f t="shared" si="1"/>
        <v>0.98</v>
      </c>
      <c r="R21" s="110">
        <f t="shared" si="1"/>
        <v>0.92</v>
      </c>
      <c r="S21" s="87">
        <f t="shared" si="8"/>
        <v>-3069.0000000000055</v>
      </c>
      <c r="T21" s="87">
        <f>S21*-1</f>
        <v>3069.0000000000055</v>
      </c>
      <c r="V21" s="110">
        <f t="shared" si="2"/>
        <v>0.99986209186830199</v>
      </c>
      <c r="W21" s="110">
        <f t="shared" si="3"/>
        <v>0.99494081620188601</v>
      </c>
      <c r="X21" s="110">
        <f t="shared" si="4"/>
        <v>0.98212816159654392</v>
      </c>
      <c r="Y21" s="110">
        <f t="shared" si="5"/>
        <v>0.91538192104457272</v>
      </c>
    </row>
    <row r="22" spans="2:25" ht="21" customHeight="1">
      <c r="L22" s="84">
        <v>-0.05</v>
      </c>
      <c r="M22" s="85">
        <f t="shared" si="0"/>
        <v>-102.30000000000001</v>
      </c>
      <c r="N22" s="86">
        <f t="shared" si="6"/>
        <v>1943.6999999999998</v>
      </c>
      <c r="O22" s="110" t="str">
        <f t="shared" si="7"/>
        <v>Near 100%</v>
      </c>
      <c r="P22" s="110" t="str">
        <f t="shared" si="1"/>
        <v>Near 100%</v>
      </c>
      <c r="Q22" s="110" t="str">
        <f t="shared" si="1"/>
        <v>Near 100%</v>
      </c>
      <c r="R22" s="110">
        <f t="shared" si="1"/>
        <v>0.99</v>
      </c>
      <c r="S22" s="87">
        <f t="shared" si="8"/>
        <v>-5115.0000000000091</v>
      </c>
      <c r="T22" s="87">
        <f>S22*-1</f>
        <v>5115.0000000000091</v>
      </c>
      <c r="V22" s="110">
        <f t="shared" si="2"/>
        <v>0.9999999995458162</v>
      </c>
      <c r="W22" s="110">
        <f t="shared" si="3"/>
        <v>0.99999257288869758</v>
      </c>
      <c r="X22" s="110">
        <f t="shared" si="4"/>
        <v>0.99979697127371925</v>
      </c>
      <c r="Y22" s="110">
        <f t="shared" si="5"/>
        <v>0.98969164165694368</v>
      </c>
    </row>
    <row r="24" spans="2:25" ht="21" customHeight="1">
      <c r="L24" s="130" t="s">
        <v>139</v>
      </c>
      <c r="M24" s="130" t="s">
        <v>140</v>
      </c>
      <c r="N24" s="130" t="s">
        <v>128</v>
      </c>
      <c r="O24" s="129" t="s">
        <v>163</v>
      </c>
      <c r="P24" s="129"/>
      <c r="Q24" s="129"/>
      <c r="R24" s="129"/>
      <c r="S24" s="130" t="s">
        <v>141</v>
      </c>
      <c r="T24" s="130" t="s">
        <v>142</v>
      </c>
    </row>
    <row r="25" spans="2:25" ht="21" customHeight="1">
      <c r="L25" s="130"/>
      <c r="M25" s="130"/>
      <c r="N25" s="130"/>
      <c r="O25" s="111" t="s">
        <v>154</v>
      </c>
      <c r="P25" s="111" t="s">
        <v>155</v>
      </c>
      <c r="Q25" s="111" t="s">
        <v>156</v>
      </c>
      <c r="R25" s="111" t="s">
        <v>161</v>
      </c>
      <c r="S25" s="130"/>
      <c r="T25" s="130"/>
    </row>
    <row r="26" spans="2:25" ht="21" customHeight="1">
      <c r="L26" s="84">
        <f>L14</f>
        <v>0.05</v>
      </c>
      <c r="M26" s="112">
        <f>M14</f>
        <v>102.30000000000001</v>
      </c>
      <c r="N26" s="113">
        <f>N14</f>
        <v>2148.3000000000002</v>
      </c>
      <c r="O26" s="110" t="str">
        <f>IF(ROUND(V26,2)=0%,CONCATENATE("Near ",ROUND(V26,2),"%"),IF(ROUND(V26,2)=100%,CONCATENATE("Near ",ROUND(V26,2),"00%"),ROUND(V26,2)))</f>
        <v>Near 100%</v>
      </c>
      <c r="P26" s="110" t="str">
        <f t="shared" ref="P26:R34" si="9">IF(ROUND(W26,2)=0%,CONCATENATE("Near ",ROUND(W26,2),"%"),IF(ROUND(W26,2)=100%,CONCATENATE("Near ",ROUND(W26,2),"00%"),ROUND(W26,2)))</f>
        <v>Near 100%</v>
      </c>
      <c r="Q26" s="110" t="str">
        <f t="shared" si="9"/>
        <v>Near 100%</v>
      </c>
      <c r="R26" s="110">
        <f t="shared" si="9"/>
        <v>0.99</v>
      </c>
      <c r="S26" s="115">
        <f>S14</f>
        <v>5115.0000000000091</v>
      </c>
      <c r="T26" s="115">
        <f>T14</f>
        <v>-5115.0000000000091</v>
      </c>
      <c r="V26" s="114">
        <f t="shared" ref="V26:Y34" si="10">1-V14</f>
        <v>0.99999999715873822</v>
      </c>
      <c r="W26" s="114">
        <f t="shared" si="10"/>
        <v>0.99998101462231326</v>
      </c>
      <c r="X26" s="114">
        <f t="shared" si="10"/>
        <v>0.99961526782460774</v>
      </c>
      <c r="Y26" s="114">
        <f t="shared" si="10"/>
        <v>0.98616598372818032</v>
      </c>
    </row>
    <row r="27" spans="2:25" ht="21" customHeight="1">
      <c r="L27" s="84">
        <f t="shared" ref="L27:N27" si="11">L15</f>
        <v>0.03</v>
      </c>
      <c r="M27" s="112">
        <f t="shared" si="11"/>
        <v>61.379999999999995</v>
      </c>
      <c r="N27" s="113">
        <f t="shared" si="11"/>
        <v>2107.38</v>
      </c>
      <c r="O27" s="110" t="str">
        <f t="shared" ref="O27:O34" si="12">IF(ROUND(V27,2)=0%,CONCATENATE("Near ",ROUND(V27,2),"%"),IF(ROUND(V27,2)=100%,CONCATENATE("Near ",ROUND(V27,2),"00%"),ROUND(V27,2)))</f>
        <v>Near 100%</v>
      </c>
      <c r="P27" s="110">
        <f t="shared" si="9"/>
        <v>0.99</v>
      </c>
      <c r="Q27" s="110">
        <f t="shared" si="9"/>
        <v>0.98</v>
      </c>
      <c r="R27" s="110">
        <f t="shared" si="9"/>
        <v>0.91</v>
      </c>
      <c r="S27" s="115">
        <f t="shared" ref="S27:T27" si="13">S15</f>
        <v>3069.0000000000055</v>
      </c>
      <c r="T27" s="115">
        <f t="shared" si="13"/>
        <v>-3069.0000000000055</v>
      </c>
      <c r="V27" s="114">
        <f t="shared" si="10"/>
        <v>0.99979182775693176</v>
      </c>
      <c r="W27" s="114">
        <f t="shared" si="10"/>
        <v>0.99371515780088304</v>
      </c>
      <c r="X27" s="114">
        <f t="shared" si="10"/>
        <v>0.97921294082671195</v>
      </c>
      <c r="Y27" s="114">
        <f t="shared" si="10"/>
        <v>0.908902315773925</v>
      </c>
    </row>
    <row r="28" spans="2:25" ht="21" customHeight="1">
      <c r="L28" s="84">
        <f t="shared" ref="L28:N28" si="14">L16</f>
        <v>0.02</v>
      </c>
      <c r="M28" s="112">
        <f t="shared" si="14"/>
        <v>40.92</v>
      </c>
      <c r="N28" s="113">
        <f t="shared" si="14"/>
        <v>2086.92</v>
      </c>
      <c r="O28" s="110">
        <f t="shared" si="12"/>
        <v>0.99</v>
      </c>
      <c r="P28" s="110">
        <f t="shared" si="9"/>
        <v>0.95</v>
      </c>
      <c r="Q28" s="110">
        <f t="shared" si="9"/>
        <v>0.91</v>
      </c>
      <c r="R28" s="110">
        <f t="shared" si="9"/>
        <v>0.81</v>
      </c>
      <c r="S28" s="115">
        <f t="shared" ref="S28:T28" si="15">S16</f>
        <v>2046.0000000000036</v>
      </c>
      <c r="T28" s="115">
        <f t="shared" si="15"/>
        <v>-2046.0000000000036</v>
      </c>
      <c r="V28" s="114">
        <f t="shared" si="10"/>
        <v>0.99097410580975542</v>
      </c>
      <c r="W28" s="114">
        <f t="shared" si="10"/>
        <v>0.95273707689102383</v>
      </c>
      <c r="X28" s="114">
        <f t="shared" si="10"/>
        <v>0.91390112583036065</v>
      </c>
      <c r="Y28" s="114">
        <f t="shared" si="10"/>
        <v>0.81426345984296222</v>
      </c>
    </row>
    <row r="29" spans="2:25" ht="21" customHeight="1">
      <c r="L29" s="84">
        <f t="shared" ref="L29:N29" si="16">L17</f>
        <v>0.01</v>
      </c>
      <c r="M29" s="112">
        <f t="shared" si="16"/>
        <v>20.46</v>
      </c>
      <c r="N29" s="113">
        <f t="shared" si="16"/>
        <v>2066.46</v>
      </c>
      <c r="O29" s="110">
        <f t="shared" si="12"/>
        <v>0.88</v>
      </c>
      <c r="P29" s="110">
        <f t="shared" si="9"/>
        <v>0.8</v>
      </c>
      <c r="Q29" s="110">
        <f t="shared" si="9"/>
        <v>0.75</v>
      </c>
      <c r="R29" s="110">
        <f t="shared" si="9"/>
        <v>0.67</v>
      </c>
      <c r="S29" s="115">
        <f t="shared" ref="S29:T29" si="17">S17</f>
        <v>1023.0000000000018</v>
      </c>
      <c r="T29" s="115">
        <f t="shared" si="17"/>
        <v>-1023.0000000000018</v>
      </c>
      <c r="V29" s="114">
        <f t="shared" si="10"/>
        <v>0.88260890662155689</v>
      </c>
      <c r="W29" s="114">
        <f t="shared" si="10"/>
        <v>0.79958359430960302</v>
      </c>
      <c r="X29" s="114">
        <f t="shared" si="10"/>
        <v>0.75363310070622913</v>
      </c>
      <c r="Y29" s="114">
        <f t="shared" si="10"/>
        <v>0.67330975813136984</v>
      </c>
    </row>
    <row r="30" spans="2:25" ht="21" customHeight="1">
      <c r="B30" s="126" t="s">
        <v>144</v>
      </c>
      <c r="C30" s="98"/>
      <c r="D30" s="97"/>
      <c r="E30" s="97"/>
      <c r="F30" s="97"/>
      <c r="G30" s="97"/>
      <c r="H30"/>
      <c r="I30" s="79"/>
      <c r="L30" s="84">
        <f t="shared" ref="L30:N30" si="18">L18</f>
        <v>0</v>
      </c>
      <c r="M30" s="112">
        <f t="shared" si="18"/>
        <v>0</v>
      </c>
      <c r="N30" s="113">
        <f t="shared" si="18"/>
        <v>2046</v>
      </c>
      <c r="O30" s="110">
        <f t="shared" si="12"/>
        <v>0.5</v>
      </c>
      <c r="P30" s="110">
        <f t="shared" si="9"/>
        <v>0.5</v>
      </c>
      <c r="Q30" s="110">
        <f t="shared" si="9"/>
        <v>0.5</v>
      </c>
      <c r="R30" s="110">
        <f t="shared" si="9"/>
        <v>0.5</v>
      </c>
      <c r="S30" s="115">
        <f t="shared" ref="S30:T30" si="19">S18</f>
        <v>0</v>
      </c>
      <c r="T30" s="115">
        <f t="shared" si="19"/>
        <v>0</v>
      </c>
      <c r="V30" s="114">
        <f t="shared" si="10"/>
        <v>0.5</v>
      </c>
      <c r="W30" s="114">
        <f t="shared" si="10"/>
        <v>0.5</v>
      </c>
      <c r="X30" s="114">
        <f t="shared" si="10"/>
        <v>0.5</v>
      </c>
      <c r="Y30" s="114">
        <f t="shared" si="10"/>
        <v>0.5</v>
      </c>
    </row>
    <row r="31" spans="2:25" ht="21" customHeight="1">
      <c r="B31" s="134" t="s">
        <v>188</v>
      </c>
      <c r="C31" s="134"/>
      <c r="D31" s="134"/>
      <c r="E31" s="134"/>
      <c r="F31" s="134"/>
      <c r="G31" s="134"/>
      <c r="H31" s="134"/>
      <c r="I31" s="134"/>
      <c r="L31" s="84">
        <f t="shared" ref="L31:N31" si="20">L19</f>
        <v>-0.01</v>
      </c>
      <c r="M31" s="112">
        <f t="shared" si="20"/>
        <v>-20.46</v>
      </c>
      <c r="N31" s="113">
        <f t="shared" si="20"/>
        <v>2025.54</v>
      </c>
      <c r="O31" s="110">
        <f t="shared" si="12"/>
        <v>0.12</v>
      </c>
      <c r="P31" s="110">
        <f t="shared" si="9"/>
        <v>0.2</v>
      </c>
      <c r="Q31" s="110">
        <f t="shared" si="9"/>
        <v>0.24</v>
      </c>
      <c r="R31" s="110">
        <f t="shared" si="9"/>
        <v>0.33</v>
      </c>
      <c r="S31" s="115">
        <f t="shared" ref="S31:T31" si="21">S19</f>
        <v>-1023.0000000000018</v>
      </c>
      <c r="T31" s="115">
        <f t="shared" si="21"/>
        <v>1023.0000000000018</v>
      </c>
      <c r="V31" s="114">
        <f t="shared" si="10"/>
        <v>0.11505583884756965</v>
      </c>
      <c r="W31" s="114">
        <f t="shared" si="10"/>
        <v>0.19805793594435794</v>
      </c>
      <c r="X31" s="114">
        <f t="shared" si="10"/>
        <v>0.2441982527045542</v>
      </c>
      <c r="Y31" s="114">
        <f t="shared" si="10"/>
        <v>0.32506403137404616</v>
      </c>
    </row>
    <row r="32" spans="2:25" ht="21" customHeight="1">
      <c r="B32" s="133" t="s">
        <v>190</v>
      </c>
      <c r="C32" s="133"/>
      <c r="D32" s="133"/>
      <c r="E32" s="133"/>
      <c r="F32" s="133"/>
      <c r="G32" s="133"/>
      <c r="H32" s="133"/>
      <c r="I32" s="133"/>
      <c r="L32" s="84">
        <f t="shared" ref="L32:N32" si="22">L20</f>
        <v>-0.02</v>
      </c>
      <c r="M32" s="112">
        <f t="shared" si="22"/>
        <v>-40.92</v>
      </c>
      <c r="N32" s="113">
        <f t="shared" si="22"/>
        <v>2005.08</v>
      </c>
      <c r="O32" s="110">
        <f t="shared" si="12"/>
        <v>0.01</v>
      </c>
      <c r="P32" s="110">
        <f t="shared" si="9"/>
        <v>0.04</v>
      </c>
      <c r="Q32" s="110">
        <f t="shared" si="9"/>
        <v>0.08</v>
      </c>
      <c r="R32" s="110">
        <f t="shared" si="9"/>
        <v>0.18</v>
      </c>
      <c r="S32" s="115">
        <f t="shared" ref="S32:T32" si="23">S20</f>
        <v>-2046.0000000000036</v>
      </c>
      <c r="T32" s="115">
        <f t="shared" si="23"/>
        <v>2046.0000000000036</v>
      </c>
      <c r="V32" s="114">
        <f t="shared" si="10"/>
        <v>7.9255478029639503E-3</v>
      </c>
      <c r="W32" s="114">
        <f t="shared" si="10"/>
        <v>4.4025253532671615E-2</v>
      </c>
      <c r="X32" s="114">
        <f t="shared" si="10"/>
        <v>8.1846621189590518E-2</v>
      </c>
      <c r="Y32" s="114">
        <f t="shared" si="10"/>
        <v>0.18094396161317561</v>
      </c>
    </row>
    <row r="33" spans="2:25" ht="21" customHeight="1">
      <c r="B33" s="133" t="s">
        <v>191</v>
      </c>
      <c r="C33" s="133"/>
      <c r="D33" s="133"/>
      <c r="E33" s="133"/>
      <c r="F33" s="133"/>
      <c r="G33" s="133"/>
      <c r="H33" s="133"/>
      <c r="I33" s="133"/>
      <c r="L33" s="84">
        <f t="shared" ref="L33:N33" si="24">L21</f>
        <v>-0.03</v>
      </c>
      <c r="M33" s="112">
        <f t="shared" si="24"/>
        <v>-61.379999999999995</v>
      </c>
      <c r="N33" s="113">
        <f t="shared" si="24"/>
        <v>1984.62</v>
      </c>
      <c r="O33" s="110" t="str">
        <f t="shared" si="12"/>
        <v>Near 0%</v>
      </c>
      <c r="P33" s="110">
        <f t="shared" si="9"/>
        <v>0.01</v>
      </c>
      <c r="Q33" s="110">
        <f t="shared" si="9"/>
        <v>0.02</v>
      </c>
      <c r="R33" s="110">
        <f t="shared" si="9"/>
        <v>0.08</v>
      </c>
      <c r="S33" s="115">
        <f t="shared" ref="S33:T33" si="25">S21</f>
        <v>-3069.0000000000055</v>
      </c>
      <c r="T33" s="115">
        <f t="shared" si="25"/>
        <v>3069.0000000000055</v>
      </c>
      <c r="V33" s="114">
        <f t="shared" si="10"/>
        <v>1.3790813169800575E-4</v>
      </c>
      <c r="W33" s="114">
        <f t="shared" si="10"/>
        <v>5.0591837981139864E-3</v>
      </c>
      <c r="X33" s="114">
        <f t="shared" si="10"/>
        <v>1.7871838403456075E-2</v>
      </c>
      <c r="Y33" s="114">
        <f t="shared" si="10"/>
        <v>8.4618078955427278E-2</v>
      </c>
    </row>
    <row r="34" spans="2:25" ht="21" customHeight="1">
      <c r="B34" s="127" t="s">
        <v>143</v>
      </c>
      <c r="C34" s="98"/>
      <c r="D34" s="97"/>
      <c r="E34" s="97"/>
      <c r="F34" s="97"/>
      <c r="G34" s="97"/>
      <c r="H34"/>
      <c r="L34" s="84">
        <f>L22</f>
        <v>-0.05</v>
      </c>
      <c r="M34" s="112">
        <f>M22</f>
        <v>-102.30000000000001</v>
      </c>
      <c r="N34" s="113">
        <f>N22</f>
        <v>1943.6999999999998</v>
      </c>
      <c r="O34" s="110" t="str">
        <f t="shared" si="12"/>
        <v>Near 0%</v>
      </c>
      <c r="P34" s="110" t="str">
        <f t="shared" si="9"/>
        <v>Near 0%</v>
      </c>
      <c r="Q34" s="110" t="str">
        <f t="shared" si="9"/>
        <v>Near 0%</v>
      </c>
      <c r="R34" s="110">
        <f t="shared" si="9"/>
        <v>0.01</v>
      </c>
      <c r="S34" s="115">
        <f t="shared" ref="S34:T34" si="26">S22</f>
        <v>-5115.0000000000091</v>
      </c>
      <c r="T34" s="115">
        <f t="shared" si="26"/>
        <v>5115.0000000000091</v>
      </c>
      <c r="V34" s="114">
        <f t="shared" si="10"/>
        <v>4.5418380167916439E-10</v>
      </c>
      <c r="W34" s="114">
        <f t="shared" si="10"/>
        <v>7.4271113024160229E-6</v>
      </c>
      <c r="X34" s="114">
        <f t="shared" si="10"/>
        <v>2.0302872628075175E-4</v>
      </c>
      <c r="Y34" s="114">
        <f t="shared" si="10"/>
        <v>1.0308358343056323E-2</v>
      </c>
    </row>
    <row r="35" spans="2:25" ht="21" customHeight="1">
      <c r="B35" s="127" t="s">
        <v>189</v>
      </c>
      <c r="C35" s="98"/>
      <c r="D35" s="97"/>
      <c r="E35" s="97"/>
      <c r="F35" s="97"/>
      <c r="G35" s="97"/>
      <c r="H35"/>
    </row>
    <row r="36" spans="2:25" ht="21" customHeight="1">
      <c r="B36" s="127" t="s">
        <v>192</v>
      </c>
    </row>
  </sheetData>
  <mergeCells count="19">
    <mergeCell ref="B33:I33"/>
    <mergeCell ref="B32:I32"/>
    <mergeCell ref="B31:I31"/>
    <mergeCell ref="O4:Q4"/>
    <mergeCell ref="T24:T25"/>
    <mergeCell ref="B2:T2"/>
    <mergeCell ref="O24:R24"/>
    <mergeCell ref="L24:L25"/>
    <mergeCell ref="M24:M25"/>
    <mergeCell ref="N24:N25"/>
    <mergeCell ref="S24:S25"/>
    <mergeCell ref="S12:S13"/>
    <mergeCell ref="T12:T13"/>
    <mergeCell ref="O5:P5"/>
    <mergeCell ref="O12:R12"/>
    <mergeCell ref="N12:N13"/>
    <mergeCell ref="M12:M13"/>
    <mergeCell ref="L12:L13"/>
    <mergeCell ref="B8:I8"/>
  </mergeCells>
  <conditionalFormatting sqref="V14:Y22">
    <cfRule type="colorScale" priority="9">
      <colorScale>
        <cfvo type="min"/>
        <cfvo type="percent" val="50"/>
        <cfvo type="max"/>
        <color theme="5"/>
        <color theme="0"/>
        <color rgb="FF63BE7B"/>
      </colorScale>
    </cfRule>
  </conditionalFormatting>
  <conditionalFormatting sqref="S14:T22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{3DD9CB6E-A1FD-884F-B669-F0C24C84E46F}</x14:id>
        </ext>
      </extLst>
    </cfRule>
  </conditionalFormatting>
  <conditionalFormatting sqref="V26:Y34">
    <cfRule type="colorScale" priority="7">
      <colorScale>
        <cfvo type="min"/>
        <cfvo type="percent" val="50"/>
        <cfvo type="max"/>
        <color theme="5"/>
        <color theme="0"/>
        <color rgb="FF63BE7B"/>
      </colorScale>
    </cfRule>
  </conditionalFormatting>
  <conditionalFormatting sqref="O6:P9">
    <cfRule type="dataBar" priority="5">
      <dataBar>
        <cfvo type="min"/>
        <cfvo type="max"/>
        <color theme="6" tint="0.59999389629810485"/>
      </dataBar>
      <extLst>
        <ext xmlns:x14="http://schemas.microsoft.com/office/spreadsheetml/2009/9/main" uri="{B025F937-C7B1-47D3-B67F-A62EFF666E3E}">
          <x14:id>{C7CF6D36-4D9A-DD43-9D50-25A5B558E356}</x14:id>
        </ext>
      </extLst>
    </cfRule>
  </conditionalFormatting>
  <conditionalFormatting sqref="O14:R22 O26:R34">
    <cfRule type="containsText" dxfId="1" priority="2" operator="containsText" text="Near 100%">
      <formula>NOT(ISERROR(SEARCH("Near 100%",O14)))</formula>
    </cfRule>
    <cfRule type="containsText" dxfId="0" priority="3" operator="containsText" text="Near 0%">
      <formula>NOT(ISERROR(SEARCH("Near 0%",O14)))</formula>
    </cfRule>
    <cfRule type="colorScale" priority="4">
      <colorScale>
        <cfvo type="percent" val="0"/>
        <cfvo type="percent" val="50"/>
        <cfvo type="percent" val="100"/>
        <color rgb="FFB64A4A"/>
        <color theme="0"/>
        <color rgb="FF54B468"/>
      </colorScale>
    </cfRule>
  </conditionalFormatting>
  <conditionalFormatting sqref="S26:T34">
    <cfRule type="dataBar" priority="1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{1137CC01-9707-7E45-8B58-D313FEC7DA86}</x14:id>
        </ext>
      </extLst>
    </cfRule>
  </conditionalFormatting>
  <hyperlinks>
    <hyperlink ref="B33" r:id="rId1" display="&quot;The Skinny on Options Data Science&quot; on tastytrade.com"/>
    <hyperlink ref="B32" r:id="rId2"/>
  </hyperlinks>
  <pageMargins left="0.75" right="0.75" top="1" bottom="1" header="0.5" footer="0.5"/>
  <pageSetup orientation="portrait" horizontalDpi="4294967292" verticalDpi="429496729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D9CB6E-A1FD-884F-B669-F0C24C84E46F}">
            <x14:dataBar minLength="0" maxLength="100" gradient="0">
              <x14:cfvo type="autoMin"/>
              <x14:cfvo type="autoMax"/>
              <x14:negativeFillColor theme="5" tint="0.79998168889431442"/>
              <x14:axisColor theme="0" tint="-0.14999847407452621"/>
            </x14:dataBar>
          </x14:cfRule>
          <xm:sqref>S14:T22</xm:sqref>
        </x14:conditionalFormatting>
        <x14:conditionalFormatting xmlns:xm="http://schemas.microsoft.com/office/excel/2006/main">
          <x14:cfRule type="dataBar" id="{C7CF6D36-4D9A-DD43-9D50-25A5B558E356}">
            <x14:dataBar minLength="0" maxLength="100">
              <x14:cfvo type="autoMin"/>
              <x14:cfvo type="autoMax"/>
              <x14:negativeFillColor theme="5" tint="0.59999389629810485"/>
              <x14:axisColor theme="0" tint="-0.14999847407452621"/>
            </x14:dataBar>
          </x14:cfRule>
          <xm:sqref>O6:P9</xm:sqref>
        </x14:conditionalFormatting>
        <x14:conditionalFormatting xmlns:xm="http://schemas.microsoft.com/office/excel/2006/main">
          <x14:cfRule type="dataBar" id="{1137CC01-9707-7E45-8B58-D313FEC7DA86}">
            <x14:dataBar minLength="0" maxLength="100" gradient="0">
              <x14:cfvo type="autoMin"/>
              <x14:cfvo type="autoMax"/>
              <x14:negativeFillColor theme="5" tint="0.79998168889431442"/>
              <x14:axisColor theme="0" tint="-0.14999847407452621"/>
            </x14:dataBar>
          </x14:cfRule>
          <xm:sqref>S26:T34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workbookViewId="0">
      <pane ySplit="1" topLeftCell="A2" activePane="bottomLeft" state="frozen"/>
      <selection pane="bottomLeft" activeCell="G20" sqref="G20"/>
    </sheetView>
  </sheetViews>
  <sheetFormatPr baseColWidth="10" defaultColWidth="9" defaultRowHeight="15" x14ac:dyDescent="0"/>
  <cols>
    <col min="1" max="1" width="8.796875" style="1" bestFit="1" customWidth="1"/>
    <col min="2" max="2" width="35.19921875" style="2" bestFit="1" customWidth="1"/>
    <col min="3" max="3" width="11" style="3" bestFit="1" customWidth="1"/>
    <col min="4" max="4" width="15.19921875" style="3" bestFit="1" customWidth="1"/>
    <col min="5" max="5" width="13.59765625" style="3" bestFit="1" customWidth="1"/>
    <col min="6" max="6" width="15" style="3" bestFit="1" customWidth="1"/>
    <col min="7" max="7" width="17.796875" style="3" bestFit="1" customWidth="1"/>
    <col min="8" max="8" width="17.3984375" style="3" bestFit="1" customWidth="1"/>
    <col min="9" max="9" width="13.59765625" style="1" bestFit="1" customWidth="1"/>
    <col min="10" max="10" width="10" style="1" bestFit="1" customWidth="1"/>
    <col min="11" max="11" width="10" style="1" hidden="1" customWidth="1"/>
    <col min="12" max="12" width="0" style="1" hidden="1" customWidth="1"/>
    <col min="13" max="16384" width="9" style="1"/>
  </cols>
  <sheetData>
    <row r="1" spans="1:18" s="5" customFormat="1">
      <c r="A1" s="6" t="s">
        <v>0</v>
      </c>
      <c r="B1" s="7" t="s">
        <v>127</v>
      </c>
      <c r="C1" s="8"/>
      <c r="D1" s="8" t="s">
        <v>122</v>
      </c>
      <c r="E1" s="8" t="s">
        <v>123</v>
      </c>
      <c r="F1" s="8" t="s">
        <v>124</v>
      </c>
      <c r="G1" s="8" t="s">
        <v>125</v>
      </c>
      <c r="H1" s="8" t="s">
        <v>126</v>
      </c>
      <c r="I1" s="5" t="s">
        <v>164</v>
      </c>
    </row>
    <row r="2" spans="1:18">
      <c r="A2" s="39" t="s">
        <v>33</v>
      </c>
      <c r="B2" s="40" t="s">
        <v>1</v>
      </c>
      <c r="C2" s="41">
        <v>100000</v>
      </c>
      <c r="D2" s="41">
        <v>1E-4</v>
      </c>
      <c r="E2" s="42">
        <f t="shared" ref="E2:E44" si="0">100*D2</f>
        <v>0.01</v>
      </c>
      <c r="F2" s="43">
        <v>10</v>
      </c>
      <c r="G2" s="43">
        <f>0.01*F2/D2</f>
        <v>1000</v>
      </c>
      <c r="H2" s="41">
        <f>F2/D2</f>
        <v>100000</v>
      </c>
    </row>
    <row r="3" spans="1:18">
      <c r="A3" s="39" t="s">
        <v>34</v>
      </c>
      <c r="B3" s="40" t="s">
        <v>2</v>
      </c>
      <c r="C3" s="41">
        <v>62500</v>
      </c>
      <c r="D3" s="41">
        <v>1E-4</v>
      </c>
      <c r="E3" s="42">
        <f t="shared" si="0"/>
        <v>0.01</v>
      </c>
      <c r="F3" s="43">
        <v>6.25</v>
      </c>
      <c r="G3" s="43">
        <f>0.01*F3/D3</f>
        <v>625</v>
      </c>
      <c r="H3" s="41">
        <f>F3/D3</f>
        <v>62500</v>
      </c>
    </row>
    <row r="4" spans="1:18">
      <c r="A4" s="39" t="s">
        <v>35</v>
      </c>
      <c r="B4" s="40" t="s">
        <v>3</v>
      </c>
      <c r="C4" s="41">
        <v>100000</v>
      </c>
      <c r="D4" s="41">
        <v>1E-4</v>
      </c>
      <c r="E4" s="42">
        <f t="shared" si="0"/>
        <v>0.01</v>
      </c>
      <c r="F4" s="43">
        <v>10</v>
      </c>
      <c r="G4" s="43">
        <f t="shared" ref="G4:G9" si="1">0.01*F4/D4</f>
        <v>1000</v>
      </c>
      <c r="H4" s="41">
        <f t="shared" ref="H4:H9" si="2">F4/D4</f>
        <v>100000</v>
      </c>
    </row>
    <row r="5" spans="1:18">
      <c r="A5" s="39" t="s">
        <v>36</v>
      </c>
      <c r="B5" s="40" t="s">
        <v>5</v>
      </c>
      <c r="C5" s="41">
        <v>125000</v>
      </c>
      <c r="D5" s="41">
        <v>5.0000000000000002E-5</v>
      </c>
      <c r="E5" s="42">
        <f t="shared" si="0"/>
        <v>5.0000000000000001E-3</v>
      </c>
      <c r="F5" s="43">
        <v>6.25</v>
      </c>
      <c r="G5" s="43">
        <f t="shared" si="1"/>
        <v>1250</v>
      </c>
      <c r="H5" s="41">
        <f t="shared" si="2"/>
        <v>125000</v>
      </c>
      <c r="I5" s="1" t="s">
        <v>116</v>
      </c>
      <c r="M5" s="4"/>
      <c r="N5" s="4"/>
      <c r="O5" s="4"/>
      <c r="P5" s="4"/>
      <c r="Q5" s="4"/>
    </row>
    <row r="6" spans="1:18">
      <c r="A6" s="39" t="s">
        <v>37</v>
      </c>
      <c r="B6" s="40" t="s">
        <v>6</v>
      </c>
      <c r="C6" s="41">
        <v>12500000</v>
      </c>
      <c r="D6" s="41">
        <v>4.9999999999999998E-7</v>
      </c>
      <c r="E6" s="44">
        <f t="shared" si="0"/>
        <v>4.9999999999999996E-5</v>
      </c>
      <c r="F6" s="43">
        <v>6.25</v>
      </c>
      <c r="G6" s="43">
        <f t="shared" si="1"/>
        <v>125000</v>
      </c>
      <c r="H6" s="41">
        <f t="shared" si="2"/>
        <v>12500000</v>
      </c>
      <c r="I6" s="1" t="s">
        <v>119</v>
      </c>
      <c r="M6" s="4" t="s">
        <v>132</v>
      </c>
      <c r="N6" s="4"/>
      <c r="O6" s="4"/>
      <c r="P6" s="4"/>
      <c r="Q6" s="4"/>
    </row>
    <row r="7" spans="1:18">
      <c r="A7" s="39" t="s">
        <v>66</v>
      </c>
      <c r="B7" s="40" t="s">
        <v>67</v>
      </c>
      <c r="C7" s="41">
        <v>50000</v>
      </c>
      <c r="D7" s="41">
        <v>1.0000000000000001E-5</v>
      </c>
      <c r="E7" s="44">
        <f t="shared" si="0"/>
        <v>1E-3</v>
      </c>
      <c r="F7" s="43">
        <v>5</v>
      </c>
      <c r="G7" s="43">
        <f t="shared" si="1"/>
        <v>5000</v>
      </c>
      <c r="H7" s="41">
        <f t="shared" si="2"/>
        <v>499999.99999999994</v>
      </c>
      <c r="M7" s="4" t="s">
        <v>133</v>
      </c>
      <c r="N7" s="4"/>
      <c r="O7" s="4"/>
      <c r="P7" s="4"/>
      <c r="Q7" s="4"/>
    </row>
    <row r="8" spans="1:18">
      <c r="A8" s="39" t="s">
        <v>38</v>
      </c>
      <c r="B8" s="40" t="s">
        <v>7</v>
      </c>
      <c r="C8" s="41">
        <v>100000</v>
      </c>
      <c r="D8" s="41">
        <v>1E-4</v>
      </c>
      <c r="E8" s="42">
        <f t="shared" si="0"/>
        <v>0.01</v>
      </c>
      <c r="F8" s="43">
        <v>10</v>
      </c>
      <c r="G8" s="43">
        <f t="shared" si="1"/>
        <v>1000</v>
      </c>
      <c r="H8" s="41">
        <f t="shared" si="2"/>
        <v>100000</v>
      </c>
      <c r="M8" s="4"/>
      <c r="N8" s="4"/>
      <c r="O8" s="4"/>
      <c r="P8" s="4"/>
      <c r="Q8" s="4"/>
      <c r="R8" s="61"/>
    </row>
    <row r="9" spans="1:18">
      <c r="A9" s="39" t="s">
        <v>39</v>
      </c>
      <c r="B9" s="40" t="s">
        <v>8</v>
      </c>
      <c r="C9" s="41">
        <v>125000</v>
      </c>
      <c r="D9" s="41">
        <v>1E-4</v>
      </c>
      <c r="E9" s="42">
        <f t="shared" si="0"/>
        <v>0.01</v>
      </c>
      <c r="F9" s="43">
        <v>12.5</v>
      </c>
      <c r="G9" s="43">
        <f t="shared" si="1"/>
        <v>1250</v>
      </c>
      <c r="H9" s="41">
        <f t="shared" si="2"/>
        <v>125000</v>
      </c>
      <c r="M9" s="66"/>
      <c r="N9" s="4"/>
      <c r="O9" s="66" t="s">
        <v>145</v>
      </c>
      <c r="P9" s="4"/>
      <c r="Q9" s="4"/>
      <c r="R9" s="61"/>
    </row>
    <row r="10" spans="1:18">
      <c r="A10" s="39" t="s">
        <v>41</v>
      </c>
      <c r="B10" s="40" t="s">
        <v>10</v>
      </c>
      <c r="C10" s="41">
        <v>1000</v>
      </c>
      <c r="D10" s="41">
        <v>5.0000000000000001E-3</v>
      </c>
      <c r="E10" s="45">
        <f>100*D10</f>
        <v>0.5</v>
      </c>
      <c r="F10" s="43">
        <v>5</v>
      </c>
      <c r="G10" s="43">
        <f t="shared" ref="G10:G15" si="3">0.01*F10/D10</f>
        <v>10</v>
      </c>
      <c r="H10" s="41">
        <f>F10/D10</f>
        <v>1000</v>
      </c>
      <c r="O10" s="61"/>
    </row>
    <row r="11" spans="1:18">
      <c r="A11" s="39" t="s">
        <v>110</v>
      </c>
      <c r="B11" s="40" t="s">
        <v>113</v>
      </c>
      <c r="C11" s="41">
        <v>10000</v>
      </c>
      <c r="D11" s="41">
        <v>1E-4</v>
      </c>
      <c r="E11" s="42">
        <f t="shared" si="0"/>
        <v>0.01</v>
      </c>
      <c r="F11" s="43">
        <v>1</v>
      </c>
      <c r="G11" s="41">
        <f t="shared" si="3"/>
        <v>100</v>
      </c>
      <c r="H11" s="41">
        <f>F11/D11</f>
        <v>10000</v>
      </c>
    </row>
    <row r="12" spans="1:18">
      <c r="A12" s="39" t="s">
        <v>111</v>
      </c>
      <c r="B12" s="40" t="s">
        <v>114</v>
      </c>
      <c r="C12" s="41">
        <v>6300</v>
      </c>
      <c r="D12" s="41">
        <v>1E-4</v>
      </c>
      <c r="E12" s="42">
        <f t="shared" si="0"/>
        <v>0.01</v>
      </c>
      <c r="F12" s="43">
        <v>0.63</v>
      </c>
      <c r="G12" s="41">
        <f t="shared" si="3"/>
        <v>63</v>
      </c>
      <c r="H12" s="41">
        <f>F12/D12</f>
        <v>6300</v>
      </c>
    </row>
    <row r="13" spans="1:18">
      <c r="A13" s="39" t="s">
        <v>112</v>
      </c>
      <c r="B13" s="40" t="s">
        <v>115</v>
      </c>
      <c r="C13" s="41">
        <v>12500</v>
      </c>
      <c r="D13" s="41">
        <v>1E-4</v>
      </c>
      <c r="E13" s="42">
        <f t="shared" si="0"/>
        <v>0.01</v>
      </c>
      <c r="F13" s="43">
        <v>1.25</v>
      </c>
      <c r="G13" s="41">
        <f t="shared" si="3"/>
        <v>125</v>
      </c>
      <c r="H13" s="41">
        <f>F13/D13</f>
        <v>12500</v>
      </c>
    </row>
    <row r="14" spans="1:18">
      <c r="A14" s="39" t="s">
        <v>116</v>
      </c>
      <c r="B14" s="40" t="s">
        <v>117</v>
      </c>
      <c r="C14" s="41">
        <v>62500</v>
      </c>
      <c r="D14" s="41">
        <v>1E-4</v>
      </c>
      <c r="E14" s="42">
        <f t="shared" si="0"/>
        <v>0.01</v>
      </c>
      <c r="F14" s="43">
        <v>6.25</v>
      </c>
      <c r="G14" s="41">
        <f t="shared" si="3"/>
        <v>625</v>
      </c>
      <c r="H14" s="41">
        <f t="shared" ref="H14:H15" si="4">F14/D14</f>
        <v>62500</v>
      </c>
      <c r="I14" s="1" t="s">
        <v>36</v>
      </c>
    </row>
    <row r="15" spans="1:18">
      <c r="A15" s="39" t="s">
        <v>119</v>
      </c>
      <c r="B15" s="40" t="s">
        <v>118</v>
      </c>
      <c r="C15" s="41">
        <v>6250000</v>
      </c>
      <c r="D15" s="41">
        <v>9.9999999999999995E-7</v>
      </c>
      <c r="E15" s="46">
        <v>1E-4</v>
      </c>
      <c r="F15" s="43">
        <v>6.25</v>
      </c>
      <c r="G15" s="41">
        <f t="shared" si="3"/>
        <v>62500</v>
      </c>
      <c r="H15" s="41">
        <f t="shared" si="4"/>
        <v>6250000</v>
      </c>
      <c r="I15" s="1" t="s">
        <v>37</v>
      </c>
    </row>
    <row r="16" spans="1:18">
      <c r="A16" s="9" t="s">
        <v>78</v>
      </c>
      <c r="B16" s="10" t="s">
        <v>79</v>
      </c>
      <c r="C16" s="11">
        <v>1000</v>
      </c>
      <c r="D16" s="11">
        <v>0.01</v>
      </c>
      <c r="E16" s="11">
        <f t="shared" ref="E16" si="5">100*D16</f>
        <v>1</v>
      </c>
      <c r="F16" s="12">
        <v>10</v>
      </c>
      <c r="G16" s="12">
        <f t="shared" ref="G16" si="6">0.01*F16/D16</f>
        <v>10</v>
      </c>
      <c r="H16" s="11">
        <f t="shared" ref="H16" si="7">F16/D16</f>
        <v>1000</v>
      </c>
    </row>
    <row r="17" spans="1:9">
      <c r="A17" s="9" t="s">
        <v>40</v>
      </c>
      <c r="B17" s="10" t="s">
        <v>9</v>
      </c>
      <c r="C17" s="11">
        <v>1000</v>
      </c>
      <c r="D17" s="11">
        <v>0.01</v>
      </c>
      <c r="E17" s="11">
        <f t="shared" si="0"/>
        <v>1</v>
      </c>
      <c r="F17" s="12">
        <v>10</v>
      </c>
      <c r="G17" s="12">
        <f t="shared" ref="G17:G23" si="8">0.01*F17/D17</f>
        <v>10</v>
      </c>
      <c r="H17" s="11">
        <f t="shared" ref="H17:H23" si="9">F17/D17</f>
        <v>1000</v>
      </c>
      <c r="I17" s="1" t="s">
        <v>173</v>
      </c>
    </row>
    <row r="18" spans="1:9">
      <c r="A18" s="9" t="s">
        <v>46</v>
      </c>
      <c r="B18" s="10" t="s">
        <v>14</v>
      </c>
      <c r="C18" s="11">
        <v>42000</v>
      </c>
      <c r="D18" s="11">
        <v>1E-3</v>
      </c>
      <c r="E18" s="13">
        <f>100*D18</f>
        <v>0.1</v>
      </c>
      <c r="F18" s="14">
        <v>10</v>
      </c>
      <c r="G18" s="12">
        <f>0.01*F18/D18</f>
        <v>100</v>
      </c>
      <c r="H18" s="11">
        <f>F18/D18</f>
        <v>10000</v>
      </c>
    </row>
    <row r="19" spans="1:9">
      <c r="A19" s="9" t="s">
        <v>48</v>
      </c>
      <c r="B19" s="10" t="s">
        <v>16</v>
      </c>
      <c r="C19" s="11">
        <v>10000</v>
      </c>
      <c r="D19" s="11">
        <v>1E-3</v>
      </c>
      <c r="E19" s="13">
        <f>100*D19</f>
        <v>0.1</v>
      </c>
      <c r="F19" s="14">
        <v>10</v>
      </c>
      <c r="G19" s="12">
        <f>0.01*F19/D19</f>
        <v>100</v>
      </c>
      <c r="H19" s="11">
        <f>F19/D19</f>
        <v>10000</v>
      </c>
    </row>
    <row r="20" spans="1:9">
      <c r="A20" s="9" t="s">
        <v>71</v>
      </c>
      <c r="B20" s="10" t="s">
        <v>72</v>
      </c>
      <c r="C20" s="11">
        <v>2500</v>
      </c>
      <c r="D20" s="11">
        <v>5.0000000000000001E-3</v>
      </c>
      <c r="E20" s="13">
        <f>100*D20</f>
        <v>0.5</v>
      </c>
      <c r="F20" s="14">
        <v>12.5</v>
      </c>
      <c r="G20" s="12">
        <f>0.01*F20/D20</f>
        <v>25</v>
      </c>
      <c r="H20" s="11">
        <f>F20/D20</f>
        <v>2500</v>
      </c>
    </row>
    <row r="21" spans="1:9">
      <c r="A21" s="9" t="s">
        <v>32</v>
      </c>
      <c r="B21" s="10" t="s">
        <v>80</v>
      </c>
      <c r="C21" s="11">
        <v>500</v>
      </c>
      <c r="D21" s="11">
        <v>2.5000000000000001E-2</v>
      </c>
      <c r="E21" s="15">
        <f t="shared" si="0"/>
        <v>2.5</v>
      </c>
      <c r="F21" s="14">
        <v>12.5</v>
      </c>
      <c r="G21" s="12">
        <f>0.01*F21/D21</f>
        <v>5</v>
      </c>
      <c r="H21" s="11">
        <f>F21/D21</f>
        <v>500</v>
      </c>
    </row>
    <row r="22" spans="1:9">
      <c r="A22" s="9" t="s">
        <v>52</v>
      </c>
      <c r="B22" s="10" t="s">
        <v>20</v>
      </c>
      <c r="C22" s="11">
        <v>42000</v>
      </c>
      <c r="D22" s="11">
        <v>1E-4</v>
      </c>
      <c r="E22" s="11">
        <v>10</v>
      </c>
      <c r="F22" s="12">
        <v>5</v>
      </c>
      <c r="G22" s="12">
        <f>0.01*F22/D22</f>
        <v>500</v>
      </c>
      <c r="H22" s="11">
        <f>F22/D22</f>
        <v>50000</v>
      </c>
    </row>
    <row r="23" spans="1:9">
      <c r="A23" s="47" t="s">
        <v>42</v>
      </c>
      <c r="B23" s="48" t="s">
        <v>11</v>
      </c>
      <c r="C23" s="49">
        <v>50</v>
      </c>
      <c r="D23" s="49">
        <v>0.25</v>
      </c>
      <c r="E23" s="50">
        <f t="shared" si="0"/>
        <v>25</v>
      </c>
      <c r="F23" s="51">
        <v>12.5</v>
      </c>
      <c r="G23" s="51">
        <f t="shared" si="8"/>
        <v>0.5</v>
      </c>
      <c r="H23" s="49">
        <f t="shared" si="9"/>
        <v>50</v>
      </c>
      <c r="I23" s="1" t="s">
        <v>165</v>
      </c>
    </row>
    <row r="24" spans="1:9">
      <c r="A24" s="47" t="s">
        <v>49</v>
      </c>
      <c r="B24" s="48" t="s">
        <v>17</v>
      </c>
      <c r="C24" s="49">
        <v>20</v>
      </c>
      <c r="D24" s="49">
        <v>0.25</v>
      </c>
      <c r="E24" s="52">
        <f t="shared" ref="E24" si="10">100*D24</f>
        <v>25</v>
      </c>
      <c r="F24" s="51">
        <v>5</v>
      </c>
      <c r="G24" s="51">
        <f>0.01*F24/D24</f>
        <v>0.2</v>
      </c>
      <c r="H24" s="49">
        <f>F24/D24</f>
        <v>20</v>
      </c>
    </row>
    <row r="25" spans="1:9">
      <c r="A25" s="47" t="s">
        <v>55</v>
      </c>
      <c r="B25" s="48" t="s">
        <v>23</v>
      </c>
      <c r="C25" s="49">
        <v>100</v>
      </c>
      <c r="D25" s="51">
        <v>0.1</v>
      </c>
      <c r="E25" s="49">
        <v>10</v>
      </c>
      <c r="F25" s="51">
        <v>10</v>
      </c>
      <c r="G25" s="51">
        <f>0.01*F25/D25</f>
        <v>1</v>
      </c>
      <c r="H25" s="49">
        <f>F25/D25</f>
        <v>100</v>
      </c>
      <c r="I25" s="1" t="s">
        <v>186</v>
      </c>
    </row>
    <row r="26" spans="1:9">
      <c r="A26" s="47" t="s">
        <v>57</v>
      </c>
      <c r="B26" s="48" t="s">
        <v>24</v>
      </c>
      <c r="C26" s="49">
        <v>5</v>
      </c>
      <c r="D26" s="51">
        <v>1</v>
      </c>
      <c r="E26" s="49">
        <v>100</v>
      </c>
      <c r="F26" s="51">
        <v>5</v>
      </c>
      <c r="G26" s="51">
        <f t="shared" ref="G26" si="11">0.01*F26/D26</f>
        <v>0.05</v>
      </c>
      <c r="H26" s="49">
        <f t="shared" ref="H26" si="12">F26/D26</f>
        <v>5</v>
      </c>
      <c r="I26" s="1" t="s">
        <v>172</v>
      </c>
    </row>
    <row r="27" spans="1:9">
      <c r="A27" s="47" t="s">
        <v>56</v>
      </c>
      <c r="B27" s="48" t="s">
        <v>73</v>
      </c>
      <c r="C27" s="49">
        <v>1000</v>
      </c>
      <c r="D27" s="49">
        <v>0.05</v>
      </c>
      <c r="E27" s="49">
        <v>5</v>
      </c>
      <c r="F27" s="51">
        <v>50</v>
      </c>
      <c r="G27" s="51">
        <f>0.01*F27/D27</f>
        <v>10</v>
      </c>
      <c r="H27" s="49">
        <f>F27/D27</f>
        <v>1000</v>
      </c>
    </row>
    <row r="28" spans="1:9">
      <c r="A28" s="53" t="s">
        <v>108</v>
      </c>
      <c r="B28" s="54" t="s">
        <v>109</v>
      </c>
      <c r="C28" s="55"/>
      <c r="D28" s="55"/>
      <c r="E28" s="55"/>
      <c r="F28" s="56"/>
      <c r="G28" s="56"/>
      <c r="H28" s="55"/>
    </row>
    <row r="29" spans="1:9">
      <c r="A29" s="47" t="s">
        <v>152</v>
      </c>
      <c r="B29" s="48" t="s">
        <v>153</v>
      </c>
      <c r="C29" s="49">
        <v>5</v>
      </c>
      <c r="D29" s="49">
        <v>5</v>
      </c>
      <c r="E29" s="105"/>
      <c r="F29" s="49">
        <v>25</v>
      </c>
      <c r="G29" s="51"/>
      <c r="H29" s="49"/>
    </row>
    <row r="30" spans="1:9">
      <c r="A30" s="47" t="s">
        <v>166</v>
      </c>
      <c r="B30" s="48" t="s">
        <v>167</v>
      </c>
      <c r="C30" s="49"/>
      <c r="D30" s="49">
        <v>0.25</v>
      </c>
      <c r="E30" s="105"/>
      <c r="F30" s="49">
        <v>25</v>
      </c>
      <c r="G30" s="51"/>
      <c r="H30" s="49"/>
      <c r="I30" s="1" t="s">
        <v>168</v>
      </c>
    </row>
    <row r="31" spans="1:9">
      <c r="A31" s="47" t="s">
        <v>183</v>
      </c>
      <c r="B31" s="48" t="s">
        <v>184</v>
      </c>
      <c r="C31" s="49"/>
      <c r="D31" s="49">
        <v>1</v>
      </c>
      <c r="E31" s="105"/>
      <c r="F31" s="49">
        <v>100</v>
      </c>
      <c r="G31" s="51"/>
      <c r="H31" s="49"/>
      <c r="I31" s="1" t="s">
        <v>187</v>
      </c>
    </row>
    <row r="32" spans="1:9">
      <c r="A32" s="16" t="s">
        <v>70</v>
      </c>
      <c r="B32" s="17" t="s">
        <v>92</v>
      </c>
      <c r="C32" s="18">
        <v>500</v>
      </c>
      <c r="D32" s="18">
        <v>2.5000000000000001E-2</v>
      </c>
      <c r="E32" s="19">
        <f t="shared" si="0"/>
        <v>2.5</v>
      </c>
      <c r="F32" s="20">
        <v>12.5</v>
      </c>
      <c r="G32" s="20">
        <f>0.01*F32/D32</f>
        <v>5</v>
      </c>
      <c r="H32" s="18">
        <f>F32/D32</f>
        <v>500</v>
      </c>
    </row>
    <row r="33" spans="1:9">
      <c r="A33" s="16" t="s">
        <v>44</v>
      </c>
      <c r="B33" s="17" t="s">
        <v>12</v>
      </c>
      <c r="C33" s="18">
        <v>400</v>
      </c>
      <c r="D33" s="18">
        <v>2.5000000000000001E-2</v>
      </c>
      <c r="E33" s="19">
        <f t="shared" si="0"/>
        <v>2.5</v>
      </c>
      <c r="F33" s="20">
        <v>10</v>
      </c>
      <c r="G33" s="20">
        <f t="shared" ref="G33" si="13">0.01*F33/D33</f>
        <v>4</v>
      </c>
      <c r="H33" s="18">
        <f t="shared" ref="H33" si="14">F33/D33</f>
        <v>400</v>
      </c>
    </row>
    <row r="34" spans="1:9">
      <c r="A34" s="16" t="s">
        <v>69</v>
      </c>
      <c r="B34" s="17" t="s">
        <v>93</v>
      </c>
      <c r="C34" s="18">
        <v>400</v>
      </c>
      <c r="D34" s="18">
        <v>2.5000000000000001E-2</v>
      </c>
      <c r="E34" s="19">
        <f t="shared" ref="E34" si="15">100*D34</f>
        <v>2.5</v>
      </c>
      <c r="F34" s="20">
        <v>10</v>
      </c>
      <c r="G34" s="20">
        <f t="shared" ref="G34" si="16">0.01*F34/D34</f>
        <v>4</v>
      </c>
      <c r="H34" s="18">
        <f t="shared" ref="H34" si="17">F34/D34</f>
        <v>400</v>
      </c>
    </row>
    <row r="35" spans="1:9">
      <c r="A35" s="21" t="s">
        <v>43</v>
      </c>
      <c r="B35" s="22" t="s">
        <v>4</v>
      </c>
      <c r="C35" s="23">
        <v>100</v>
      </c>
      <c r="D35" s="24">
        <v>0.1</v>
      </c>
      <c r="E35" s="25">
        <f>100*D35</f>
        <v>10</v>
      </c>
      <c r="F35" s="24">
        <v>10</v>
      </c>
      <c r="G35" s="24">
        <f t="shared" ref="G35" si="18">0.01*F35/D35</f>
        <v>1</v>
      </c>
      <c r="H35" s="23">
        <f t="shared" ref="H35" si="19">F35/D35</f>
        <v>100</v>
      </c>
      <c r="I35" s="1" t="s">
        <v>169</v>
      </c>
    </row>
    <row r="36" spans="1:9">
      <c r="A36" s="21" t="s">
        <v>45</v>
      </c>
      <c r="B36" s="22" t="s">
        <v>13</v>
      </c>
      <c r="C36" s="23">
        <v>25000</v>
      </c>
      <c r="D36" s="23">
        <v>5.0000000000000001E-4</v>
      </c>
      <c r="E36" s="26">
        <f>100*D36</f>
        <v>0.05</v>
      </c>
      <c r="F36" s="24">
        <v>12.5</v>
      </c>
      <c r="G36" s="24">
        <f t="shared" ref="G36" si="20">0.01*F36/D36</f>
        <v>250</v>
      </c>
      <c r="H36" s="23">
        <f t="shared" ref="H36" si="21">F36/D36</f>
        <v>25000</v>
      </c>
    </row>
    <row r="37" spans="1:9">
      <c r="A37" s="21" t="s">
        <v>54</v>
      </c>
      <c r="B37" s="22" t="s">
        <v>22</v>
      </c>
      <c r="C37" s="23">
        <v>5000</v>
      </c>
      <c r="D37" s="23">
        <v>5.0000000000000001E-3</v>
      </c>
      <c r="E37" s="27">
        <f t="shared" ref="E37" si="22">100*D37</f>
        <v>0.5</v>
      </c>
      <c r="F37" s="24">
        <v>25</v>
      </c>
      <c r="G37" s="24">
        <f>0.01*F37/D37</f>
        <v>50</v>
      </c>
      <c r="H37" s="23">
        <f>F37/D37</f>
        <v>5000</v>
      </c>
      <c r="I37" s="1" t="s">
        <v>170</v>
      </c>
    </row>
    <row r="38" spans="1:9">
      <c r="A38" s="21" t="s">
        <v>50</v>
      </c>
      <c r="B38" s="22" t="s">
        <v>18</v>
      </c>
      <c r="C38" s="23">
        <v>100</v>
      </c>
      <c r="D38" s="24">
        <v>0.1</v>
      </c>
      <c r="E38" s="23">
        <v>5</v>
      </c>
      <c r="F38" s="24">
        <v>5</v>
      </c>
      <c r="G38" s="24">
        <f t="shared" ref="G38" si="23">0.01*F38/D38</f>
        <v>0.5</v>
      </c>
      <c r="H38" s="23">
        <f t="shared" ref="H38" si="24">F38/D38</f>
        <v>50</v>
      </c>
    </row>
    <row r="39" spans="1:9">
      <c r="A39" s="21" t="s">
        <v>51</v>
      </c>
      <c r="B39" s="22" t="s">
        <v>19</v>
      </c>
      <c r="C39" s="23">
        <v>50</v>
      </c>
      <c r="D39" s="24">
        <v>0.1</v>
      </c>
      <c r="E39" s="23">
        <v>10</v>
      </c>
      <c r="F39" s="24">
        <v>5</v>
      </c>
      <c r="G39" s="24">
        <f t="shared" ref="G39:G41" si="25">0.01*F39/D39</f>
        <v>0.5</v>
      </c>
      <c r="H39" s="23">
        <f t="shared" ref="H39:H41" si="26">F39/D39</f>
        <v>50</v>
      </c>
    </row>
    <row r="40" spans="1:9">
      <c r="A40" s="21" t="s">
        <v>74</v>
      </c>
      <c r="B40" s="22" t="s">
        <v>75</v>
      </c>
      <c r="C40" s="23">
        <v>32.200000000000003</v>
      </c>
      <c r="D40" s="24">
        <v>0.1</v>
      </c>
      <c r="E40" s="25">
        <v>10</v>
      </c>
      <c r="F40" s="24">
        <v>3.22</v>
      </c>
      <c r="G40" s="24">
        <f t="shared" si="25"/>
        <v>0.32199999999999995</v>
      </c>
      <c r="H40" s="23">
        <f t="shared" si="26"/>
        <v>32.200000000000003</v>
      </c>
      <c r="I40" s="1" t="s">
        <v>174</v>
      </c>
    </row>
    <row r="41" spans="1:9">
      <c r="A41" s="21" t="s">
        <v>76</v>
      </c>
      <c r="B41" s="22" t="s">
        <v>77</v>
      </c>
      <c r="C41" s="23">
        <v>1000</v>
      </c>
      <c r="D41" s="23">
        <v>1E-3</v>
      </c>
      <c r="E41" s="28">
        <v>0.1</v>
      </c>
      <c r="F41" s="24">
        <v>1</v>
      </c>
      <c r="G41" s="24">
        <f t="shared" si="25"/>
        <v>10</v>
      </c>
      <c r="H41" s="23">
        <f t="shared" si="26"/>
        <v>1000</v>
      </c>
      <c r="I41" s="1" t="s">
        <v>175</v>
      </c>
    </row>
    <row r="42" spans="1:9">
      <c r="A42" s="29" t="s">
        <v>82</v>
      </c>
      <c r="B42" s="30" t="s">
        <v>83</v>
      </c>
      <c r="C42" s="31">
        <v>10</v>
      </c>
      <c r="D42" s="32">
        <v>1</v>
      </c>
      <c r="E42" s="31">
        <v>100</v>
      </c>
      <c r="F42" s="32">
        <v>10</v>
      </c>
      <c r="G42" s="32">
        <f>0.01*F42/D42</f>
        <v>0.1</v>
      </c>
      <c r="H42" s="31">
        <f>F42/D42</f>
        <v>10</v>
      </c>
    </row>
    <row r="43" spans="1:9">
      <c r="A43" s="29" t="s">
        <v>81</v>
      </c>
      <c r="B43" s="30" t="s">
        <v>84</v>
      </c>
      <c r="C43" s="31">
        <v>500</v>
      </c>
      <c r="D43" s="31">
        <v>0.01</v>
      </c>
      <c r="E43" s="31">
        <v>1</v>
      </c>
      <c r="F43" s="32">
        <v>5</v>
      </c>
      <c r="G43" s="32">
        <f>0.01*F43/D43</f>
        <v>5</v>
      </c>
      <c r="H43" s="31">
        <f>F43/D43</f>
        <v>500</v>
      </c>
    </row>
    <row r="44" spans="1:9">
      <c r="A44" s="29" t="s">
        <v>47</v>
      </c>
      <c r="B44" s="30" t="s">
        <v>15</v>
      </c>
      <c r="C44" s="31">
        <v>375</v>
      </c>
      <c r="D44" s="31">
        <v>0.05</v>
      </c>
      <c r="E44" s="33">
        <f t="shared" si="0"/>
        <v>5</v>
      </c>
      <c r="F44" s="32">
        <v>18.75</v>
      </c>
      <c r="G44" s="32">
        <f t="shared" ref="G44" si="27">0.01*F44/D44</f>
        <v>3.75</v>
      </c>
      <c r="H44" s="31">
        <f t="shared" ref="H44" si="28">F44/D44</f>
        <v>375</v>
      </c>
    </row>
    <row r="45" spans="1:9">
      <c r="A45" s="29" t="s">
        <v>85</v>
      </c>
      <c r="B45" s="30" t="s">
        <v>86</v>
      </c>
      <c r="C45" s="31">
        <v>110</v>
      </c>
      <c r="D45" s="32">
        <v>0.1</v>
      </c>
      <c r="E45" s="33">
        <v>10</v>
      </c>
      <c r="F45" s="32">
        <v>11</v>
      </c>
      <c r="G45" s="32">
        <f t="shared" ref="G45" si="29">0.01*F45/D45</f>
        <v>1.0999999999999999</v>
      </c>
      <c r="H45" s="31">
        <f t="shared" ref="H45" si="30">F45/D45</f>
        <v>110</v>
      </c>
    </row>
    <row r="46" spans="1:9">
      <c r="A46" s="29" t="s">
        <v>94</v>
      </c>
      <c r="B46" s="30" t="s">
        <v>105</v>
      </c>
      <c r="C46" s="31">
        <v>150</v>
      </c>
      <c r="D46" s="31">
        <v>0.05</v>
      </c>
      <c r="E46" s="33">
        <v>5</v>
      </c>
      <c r="F46" s="32">
        <v>11</v>
      </c>
      <c r="G46" s="32">
        <f t="shared" ref="G46" si="31">0.01*F46/D46</f>
        <v>2.1999999999999997</v>
      </c>
      <c r="H46" s="31">
        <f t="shared" ref="H46" si="32">F46/D46</f>
        <v>220</v>
      </c>
    </row>
    <row r="47" spans="1:9">
      <c r="A47" s="29" t="s">
        <v>53</v>
      </c>
      <c r="B47" s="30" t="s">
        <v>21</v>
      </c>
      <c r="C47" s="31">
        <v>1120</v>
      </c>
      <c r="D47" s="31">
        <v>0.01</v>
      </c>
      <c r="E47" s="31">
        <v>10</v>
      </c>
      <c r="F47" s="32">
        <v>5</v>
      </c>
      <c r="G47" s="32">
        <f>0.01*F47/D47</f>
        <v>5</v>
      </c>
      <c r="H47" s="31">
        <f>F47/D47</f>
        <v>500</v>
      </c>
    </row>
    <row r="48" spans="1:9">
      <c r="A48" s="39" t="s">
        <v>104</v>
      </c>
      <c r="B48" s="40" t="s">
        <v>106</v>
      </c>
      <c r="C48" s="41">
        <v>50</v>
      </c>
      <c r="D48" s="41">
        <v>0.25</v>
      </c>
      <c r="E48" s="41">
        <v>25</v>
      </c>
      <c r="F48" s="43">
        <v>12.5</v>
      </c>
      <c r="G48" s="43">
        <f t="shared" ref="G48" si="33">0.01*F48/D48</f>
        <v>0.5</v>
      </c>
      <c r="H48" s="41">
        <f t="shared" ref="H48" si="34">F48/D48</f>
        <v>50</v>
      </c>
    </row>
    <row r="49" spans="1:9">
      <c r="A49" s="39" t="s">
        <v>59</v>
      </c>
      <c r="B49" s="40" t="s">
        <v>25</v>
      </c>
      <c r="C49" s="41">
        <v>500</v>
      </c>
      <c r="D49" s="43">
        <v>0.25</v>
      </c>
      <c r="E49" s="41">
        <v>25</v>
      </c>
      <c r="F49" s="43">
        <v>12.5</v>
      </c>
      <c r="G49" s="43">
        <f t="shared" ref="G49" si="35">0.01*F49/D49</f>
        <v>0.5</v>
      </c>
      <c r="H49" s="41">
        <f t="shared" ref="H49" si="36">F49/D49</f>
        <v>50</v>
      </c>
      <c r="I49" s="1" t="s">
        <v>120</v>
      </c>
    </row>
    <row r="50" spans="1:9">
      <c r="A50" s="39" t="s">
        <v>103</v>
      </c>
      <c r="B50" s="40" t="s">
        <v>107</v>
      </c>
      <c r="C50" s="41">
        <v>600</v>
      </c>
      <c r="D50" s="43">
        <v>0.01</v>
      </c>
      <c r="E50" s="41">
        <v>1</v>
      </c>
      <c r="F50" s="43">
        <v>6</v>
      </c>
      <c r="G50" s="43">
        <f t="shared" ref="G50" si="37">0.01*F50/D50</f>
        <v>6</v>
      </c>
      <c r="H50" s="41">
        <f t="shared" ref="H50" si="38">F50/D50</f>
        <v>600</v>
      </c>
      <c r="I50" s="1" t="s">
        <v>68</v>
      </c>
    </row>
    <row r="51" spans="1:9">
      <c r="A51" s="39" t="s">
        <v>97</v>
      </c>
      <c r="B51" s="40" t="s">
        <v>98</v>
      </c>
      <c r="C51" s="41">
        <v>100</v>
      </c>
      <c r="D51" s="43">
        <v>0.1</v>
      </c>
      <c r="E51" s="41">
        <v>10</v>
      </c>
      <c r="F51" s="43">
        <v>10</v>
      </c>
      <c r="G51" s="43">
        <f t="shared" ref="G51:G52" si="39">0.01*F51/D51</f>
        <v>1</v>
      </c>
      <c r="H51" s="41">
        <f t="shared" ref="H51:H52" si="40">F51/D51</f>
        <v>100</v>
      </c>
    </row>
    <row r="52" spans="1:9">
      <c r="A52" s="39" t="s">
        <v>95</v>
      </c>
      <c r="B52" s="40" t="s">
        <v>96</v>
      </c>
      <c r="C52" s="41">
        <v>50</v>
      </c>
      <c r="D52" s="43">
        <v>0.25</v>
      </c>
      <c r="E52" s="41">
        <v>25</v>
      </c>
      <c r="F52" s="43">
        <v>12.5</v>
      </c>
      <c r="G52" s="43">
        <f t="shared" si="39"/>
        <v>0.5</v>
      </c>
      <c r="H52" s="41">
        <f t="shared" si="40"/>
        <v>50</v>
      </c>
    </row>
    <row r="53" spans="1:9">
      <c r="A53" s="39" t="s">
        <v>62</v>
      </c>
      <c r="B53" s="40" t="s">
        <v>29</v>
      </c>
      <c r="C53" s="41">
        <v>50</v>
      </c>
      <c r="D53" s="43">
        <v>0.25</v>
      </c>
      <c r="E53" s="41">
        <v>25</v>
      </c>
      <c r="F53" s="43">
        <v>12.5</v>
      </c>
      <c r="G53" s="43">
        <f t="shared" ref="G53" si="41">0.01*F53/D53</f>
        <v>0.5</v>
      </c>
      <c r="H53" s="41">
        <f t="shared" ref="H53" si="42">F53/D53</f>
        <v>50</v>
      </c>
    </row>
    <row r="54" spans="1:9">
      <c r="A54" s="39" t="s">
        <v>64</v>
      </c>
      <c r="B54" s="40" t="s">
        <v>30</v>
      </c>
      <c r="C54" s="41">
        <v>50</v>
      </c>
      <c r="D54" s="43">
        <v>0.25</v>
      </c>
      <c r="E54" s="41">
        <v>25</v>
      </c>
      <c r="F54" s="43">
        <v>12.5</v>
      </c>
      <c r="G54" s="43">
        <f t="shared" ref="G54:G55" si="43">0.01*F54/D54</f>
        <v>0.5</v>
      </c>
      <c r="H54" s="41">
        <f t="shared" ref="H54:H55" si="44">F54/D54</f>
        <v>50</v>
      </c>
      <c r="I54" s="1" t="s">
        <v>101</v>
      </c>
    </row>
    <row r="55" spans="1:9">
      <c r="A55" s="39" t="s">
        <v>120</v>
      </c>
      <c r="B55" s="40" t="s">
        <v>121</v>
      </c>
      <c r="C55" s="41">
        <v>10</v>
      </c>
      <c r="D55" s="41">
        <v>0.125</v>
      </c>
      <c r="E55" s="41">
        <v>12.5</v>
      </c>
      <c r="F55" s="43">
        <v>1.25</v>
      </c>
      <c r="G55" s="43">
        <f t="shared" si="43"/>
        <v>0.1</v>
      </c>
      <c r="H55" s="41">
        <f t="shared" si="44"/>
        <v>10</v>
      </c>
    </row>
    <row r="56" spans="1:9">
      <c r="A56" s="39" t="s">
        <v>68</v>
      </c>
      <c r="B56" s="40" t="s">
        <v>100</v>
      </c>
      <c r="C56" s="41">
        <v>10</v>
      </c>
      <c r="D56" s="41">
        <v>0.125</v>
      </c>
      <c r="E56" s="41">
        <v>12.5</v>
      </c>
      <c r="F56" s="43">
        <v>1.25</v>
      </c>
      <c r="G56" s="43">
        <f t="shared" ref="G56" si="45">0.01*F56/D56</f>
        <v>0.1</v>
      </c>
      <c r="H56" s="41">
        <f t="shared" ref="H56" si="46">F56/D56</f>
        <v>10</v>
      </c>
    </row>
    <row r="57" spans="1:9">
      <c r="A57" s="39" t="s">
        <v>101</v>
      </c>
      <c r="B57" s="40" t="s">
        <v>102</v>
      </c>
      <c r="C57" s="41">
        <v>10</v>
      </c>
      <c r="D57" s="41">
        <v>0.125</v>
      </c>
      <c r="E57" s="41">
        <v>12.5</v>
      </c>
      <c r="F57" s="43">
        <v>1.25</v>
      </c>
      <c r="G57" s="43">
        <f t="shared" ref="G57" si="47">0.01*F57/D57</f>
        <v>0.1</v>
      </c>
      <c r="H57" s="41">
        <f t="shared" ref="H57" si="48">F57/D57</f>
        <v>10</v>
      </c>
    </row>
    <row r="58" spans="1:9">
      <c r="A58" s="9" t="s">
        <v>91</v>
      </c>
      <c r="B58" s="10" t="s">
        <v>90</v>
      </c>
      <c r="C58" s="11">
        <v>1000</v>
      </c>
      <c r="D58" s="57">
        <v>3.125E-2</v>
      </c>
      <c r="E58" s="11">
        <f>100/32</f>
        <v>3.125</v>
      </c>
      <c r="F58" s="12">
        <f>C58/32</f>
        <v>31.25</v>
      </c>
      <c r="G58" s="12" t="s">
        <v>65</v>
      </c>
      <c r="H58" s="11">
        <f>C58</f>
        <v>1000</v>
      </c>
    </row>
    <row r="59" spans="1:9">
      <c r="A59" s="9" t="s">
        <v>58</v>
      </c>
      <c r="B59" s="10" t="s">
        <v>99</v>
      </c>
      <c r="C59" s="11">
        <v>1000</v>
      </c>
      <c r="D59" s="57">
        <v>3.125E-2</v>
      </c>
      <c r="E59" s="11">
        <f>100/32</f>
        <v>3.125</v>
      </c>
      <c r="F59" s="12">
        <f>C59/32</f>
        <v>31.25</v>
      </c>
      <c r="G59" s="12" t="s">
        <v>65</v>
      </c>
      <c r="H59" s="11">
        <f>C59</f>
        <v>1000</v>
      </c>
    </row>
    <row r="60" spans="1:9">
      <c r="A60" s="9" t="s">
        <v>60</v>
      </c>
      <c r="B60" s="10" t="s">
        <v>26</v>
      </c>
      <c r="C60" s="58">
        <v>1000</v>
      </c>
      <c r="D60" s="59">
        <v>7.8125E-3</v>
      </c>
      <c r="E60" s="11">
        <f>100/128</f>
        <v>0.78125</v>
      </c>
      <c r="F60" s="11">
        <f>C60/128</f>
        <v>7.8125</v>
      </c>
      <c r="G60" s="12" t="s">
        <v>65</v>
      </c>
      <c r="H60" s="11">
        <f>C60</f>
        <v>1000</v>
      </c>
    </row>
    <row r="61" spans="1:9">
      <c r="A61" s="9" t="s">
        <v>61</v>
      </c>
      <c r="B61" s="10" t="s">
        <v>27</v>
      </c>
      <c r="C61" s="11">
        <v>1000</v>
      </c>
      <c r="D61" s="59">
        <v>1.5625E-2</v>
      </c>
      <c r="E61" s="11">
        <f>100/64</f>
        <v>1.5625</v>
      </c>
      <c r="F61" s="60">
        <f>C61/64</f>
        <v>15.625</v>
      </c>
      <c r="G61" s="12" t="s">
        <v>65</v>
      </c>
      <c r="H61" s="11">
        <f>C61</f>
        <v>1000</v>
      </c>
    </row>
    <row r="62" spans="1:9">
      <c r="A62" s="9" t="s">
        <v>63</v>
      </c>
      <c r="B62" s="10" t="s">
        <v>28</v>
      </c>
      <c r="C62" s="11">
        <v>2000</v>
      </c>
      <c r="D62" s="59">
        <v>7.8125E-3</v>
      </c>
      <c r="E62" s="11">
        <f>100/128</f>
        <v>0.78125</v>
      </c>
      <c r="F62" s="60">
        <f>C62/128</f>
        <v>15.625</v>
      </c>
      <c r="G62" s="12" t="s">
        <v>65</v>
      </c>
      <c r="H62" s="11">
        <f>C62</f>
        <v>2000</v>
      </c>
    </row>
    <row r="63" spans="1:9">
      <c r="A63" s="34" t="s">
        <v>88</v>
      </c>
      <c r="B63" s="35" t="s">
        <v>89</v>
      </c>
      <c r="C63" s="36">
        <v>2500</v>
      </c>
      <c r="D63" s="36">
        <v>5.0000000000000001E-3</v>
      </c>
      <c r="E63" s="37">
        <f t="shared" ref="E63:E64" si="49">100*D63</f>
        <v>0.5</v>
      </c>
      <c r="F63" s="36">
        <v>12.5</v>
      </c>
      <c r="G63" s="38">
        <f t="shared" ref="G63" si="50">0.01*F63/D63</f>
        <v>25</v>
      </c>
      <c r="H63" s="36">
        <f t="shared" ref="H63" si="51">F63/D63</f>
        <v>2500</v>
      </c>
    </row>
    <row r="64" spans="1:9">
      <c r="A64" s="34" t="s">
        <v>31</v>
      </c>
      <c r="B64" s="35" t="s">
        <v>87</v>
      </c>
      <c r="C64" s="36">
        <v>4168</v>
      </c>
      <c r="D64" s="36">
        <v>5.0000000000000001E-3</v>
      </c>
      <c r="E64" s="37">
        <f t="shared" si="49"/>
        <v>0.5</v>
      </c>
      <c r="F64" s="36">
        <v>20.84</v>
      </c>
      <c r="G64" s="38">
        <f t="shared" ref="G64" si="52">0.01*F64/D64</f>
        <v>41.68</v>
      </c>
      <c r="H64" s="36">
        <f t="shared" ref="H64" si="53">F64/D64</f>
        <v>4168</v>
      </c>
    </row>
    <row r="65" spans="1:9">
      <c r="A65" s="119" t="s">
        <v>176</v>
      </c>
      <c r="B65" s="120" t="s">
        <v>178</v>
      </c>
      <c r="C65" s="121"/>
      <c r="D65" s="121">
        <v>0.01</v>
      </c>
      <c r="E65" s="122"/>
      <c r="F65" s="121">
        <v>0.01</v>
      </c>
      <c r="G65" s="123"/>
      <c r="H65" s="121"/>
      <c r="I65" s="1" t="s">
        <v>177</v>
      </c>
    </row>
    <row r="66" spans="1:9">
      <c r="A66" s="119" t="s">
        <v>171</v>
      </c>
      <c r="B66" s="120" t="s">
        <v>179</v>
      </c>
      <c r="C66" s="121"/>
      <c r="D66" s="121">
        <v>0.01</v>
      </c>
      <c r="E66" s="122"/>
      <c r="F66" s="121">
        <v>0.01</v>
      </c>
      <c r="G66" s="123"/>
      <c r="H66" s="121"/>
      <c r="I66" s="1" t="s">
        <v>185</v>
      </c>
    </row>
    <row r="67" spans="1:9">
      <c r="A67" s="119" t="s">
        <v>172</v>
      </c>
      <c r="B67" s="120" t="s">
        <v>180</v>
      </c>
      <c r="C67" s="121"/>
      <c r="D67" s="121">
        <v>0.01</v>
      </c>
      <c r="E67" s="122"/>
      <c r="F67" s="121">
        <v>0.01</v>
      </c>
      <c r="G67" s="123"/>
      <c r="H67" s="121"/>
      <c r="I67" s="1" t="s">
        <v>57</v>
      </c>
    </row>
    <row r="68" spans="1:9">
      <c r="A68" s="119" t="s">
        <v>181</v>
      </c>
      <c r="B68" s="120" t="s">
        <v>182</v>
      </c>
      <c r="C68" s="121"/>
      <c r="D68" s="121">
        <v>0.01</v>
      </c>
      <c r="E68" s="122"/>
      <c r="F68" s="121">
        <v>0.01</v>
      </c>
      <c r="G68" s="123"/>
      <c r="H68" s="121"/>
      <c r="I68" s="1" t="s">
        <v>49</v>
      </c>
    </row>
    <row r="69" spans="1:9">
      <c r="A69" s="116" t="s">
        <v>131</v>
      </c>
      <c r="B69" s="117" t="s">
        <v>146</v>
      </c>
      <c r="C69" s="118"/>
      <c r="D69" s="118">
        <v>0.01</v>
      </c>
      <c r="E69" s="118"/>
      <c r="F69" s="118">
        <v>0.01</v>
      </c>
      <c r="G69" s="118"/>
      <c r="H69" s="118"/>
    </row>
  </sheetData>
  <pageMargins left="0.7" right="0.7" top="0.75" bottom="0.75" header="0.3" footer="0.3"/>
  <pageSetup orientation="portrait"/>
  <ignoredErrors>
    <ignoredError sqref="E6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"/>
  <sheetViews>
    <sheetView workbookViewId="0">
      <selection activeCell="C25" sqref="C25"/>
    </sheetView>
  </sheetViews>
  <sheetFormatPr baseColWidth="10" defaultRowHeight="18" customHeight="1" x14ac:dyDescent="0"/>
  <cols>
    <col min="1" max="1" width="5.796875" style="1" bestFit="1" customWidth="1"/>
    <col min="2" max="16384" width="11" style="1"/>
  </cols>
  <sheetData>
    <row r="3" spans="1:9" ht="18" customHeight="1">
      <c r="A3" s="1" t="s">
        <v>147</v>
      </c>
      <c r="B3" s="100">
        <f>Calculations!H6</f>
        <v>2046</v>
      </c>
      <c r="D3" s="1" t="s">
        <v>149</v>
      </c>
      <c r="E3" s="1" t="s">
        <v>148</v>
      </c>
      <c r="G3" s="1" t="s">
        <v>150</v>
      </c>
      <c r="I3" s="1" t="s">
        <v>151</v>
      </c>
    </row>
    <row r="4" spans="1:9" ht="18" customHeight="1">
      <c r="A4" s="1" t="s">
        <v>130</v>
      </c>
      <c r="B4" s="1">
        <f>Calculations!L6</f>
        <v>16</v>
      </c>
      <c r="D4" s="101">
        <v>0.95</v>
      </c>
      <c r="E4" s="1">
        <f t="shared" ref="E4:E23" si="0">NORMSINV(D4)</f>
        <v>1.6448536269514715</v>
      </c>
      <c r="F4" s="1">
        <f>LN($B$3)+E4*($B$4/100*SQRT(7/365))</f>
        <v>7.660087942851959</v>
      </c>
      <c r="G4" s="1">
        <f>EXP(F4)</f>
        <v>2121.9440301829231</v>
      </c>
      <c r="H4" s="1">
        <f>LN($B$3)+E4*($B$4/100*SQRT(45/365))</f>
        <v>7.7160494131362674</v>
      </c>
      <c r="I4" s="1">
        <f>EXP(H4)</f>
        <v>2244.0766260400669</v>
      </c>
    </row>
    <row r="5" spans="1:9" ht="18" customHeight="1">
      <c r="D5" s="101">
        <v>0.9</v>
      </c>
      <c r="E5" s="1">
        <f t="shared" si="0"/>
        <v>1.2815515655446006</v>
      </c>
      <c r="F5" s="1">
        <f t="shared" ref="F5:F23" si="1">LN($B$3)+E5*($B$4/100*SQRT(7/365))</f>
        <v>7.6520380438314426</v>
      </c>
      <c r="G5" s="1">
        <f t="shared" ref="G5:G23" si="2">EXP(F5)</f>
        <v>2104.9311628155651</v>
      </c>
      <c r="H5" s="1">
        <f t="shared" ref="H5:H23" si="3">LN($B$3)+E5*($B$4/100*SQRT(45/365))</f>
        <v>7.6956391939142934</v>
      </c>
      <c r="I5" s="1">
        <f t="shared" ref="I5:I23" si="4">EXP(H5)</f>
        <v>2198.7387817038466</v>
      </c>
    </row>
    <row r="6" spans="1:9" ht="18" customHeight="1">
      <c r="D6" s="101">
        <v>0.85</v>
      </c>
      <c r="E6" s="1">
        <f t="shared" si="0"/>
        <v>1.0364333894937898</v>
      </c>
      <c r="F6" s="1">
        <f t="shared" si="1"/>
        <v>7.6466068151792808</v>
      </c>
      <c r="G6" s="1">
        <f t="shared" si="2"/>
        <v>2093.5297901309455</v>
      </c>
      <c r="H6" s="1">
        <f t="shared" si="3"/>
        <v>7.6818685159029609</v>
      </c>
      <c r="I6" s="1">
        <f t="shared" si="4"/>
        <v>2168.6681793941134</v>
      </c>
    </row>
    <row r="7" spans="1:9" ht="18" customHeight="1">
      <c r="D7" s="101">
        <v>0.8</v>
      </c>
      <c r="E7" s="1">
        <f t="shared" si="0"/>
        <v>0.84162123357291474</v>
      </c>
      <c r="F7" s="1">
        <f t="shared" si="1"/>
        <v>7.6422902468199956</v>
      </c>
      <c r="G7" s="1">
        <f t="shared" si="2"/>
        <v>2084.5124017678577</v>
      </c>
      <c r="H7" s="1">
        <f t="shared" si="3"/>
        <v>7.6709240175589297</v>
      </c>
      <c r="I7" s="1">
        <f t="shared" si="4"/>
        <v>2145.0626053057636</v>
      </c>
    </row>
    <row r="8" spans="1:9" ht="18" customHeight="1">
      <c r="D8" s="101">
        <v>0.75</v>
      </c>
      <c r="E8" s="1">
        <f t="shared" si="0"/>
        <v>0.67448975019608193</v>
      </c>
      <c r="F8" s="1">
        <f t="shared" si="1"/>
        <v>7.6385870155222628</v>
      </c>
      <c r="G8" s="1">
        <f t="shared" si="2"/>
        <v>2076.8072459937839</v>
      </c>
      <c r="H8" s="1">
        <f t="shared" si="3"/>
        <v>7.6615346124963626</v>
      </c>
      <c r="I8" s="1">
        <f t="shared" si="4"/>
        <v>2125.0160037281844</v>
      </c>
    </row>
    <row r="9" spans="1:9" ht="18" customHeight="1">
      <c r="D9" s="101">
        <v>0.7</v>
      </c>
      <c r="E9" s="1">
        <f t="shared" si="0"/>
        <v>0.52440051270804078</v>
      </c>
      <c r="F9" s="1">
        <f t="shared" si="1"/>
        <v>7.6352613993637242</v>
      </c>
      <c r="G9" s="1">
        <f t="shared" si="2"/>
        <v>2069.9120539942101</v>
      </c>
      <c r="H9" s="1">
        <f t="shared" si="3"/>
        <v>7.6531026365584136</v>
      </c>
      <c r="I9" s="1">
        <f t="shared" si="4"/>
        <v>2107.1732504656188</v>
      </c>
    </row>
    <row r="10" spans="1:9" ht="18" customHeight="1">
      <c r="D10" s="101">
        <v>0.65</v>
      </c>
      <c r="E10" s="1">
        <f t="shared" si="0"/>
        <v>0.38532046640756784</v>
      </c>
      <c r="F10" s="1">
        <f t="shared" si="1"/>
        <v>7.6321797203769544</v>
      </c>
      <c r="G10" s="1">
        <f t="shared" si="2"/>
        <v>2063.54306813828</v>
      </c>
      <c r="H10" s="1">
        <f t="shared" si="3"/>
        <v>7.6452891542362869</v>
      </c>
      <c r="I10" s="1">
        <f t="shared" si="4"/>
        <v>2090.7730443204996</v>
      </c>
    </row>
    <row r="11" spans="1:9" ht="18" customHeight="1">
      <c r="D11" s="101">
        <v>0.6</v>
      </c>
      <c r="E11" s="1">
        <f t="shared" si="0"/>
        <v>0.25334710313579978</v>
      </c>
      <c r="F11" s="1">
        <f t="shared" si="1"/>
        <v>7.6292555083765556</v>
      </c>
      <c r="G11" s="1">
        <f t="shared" si="2"/>
        <v>2057.5176448362777</v>
      </c>
      <c r="H11" s="1">
        <f t="shared" si="3"/>
        <v>7.6378749235946897</v>
      </c>
      <c r="I11" s="1">
        <f t="shared" si="4"/>
        <v>2075.328894742252</v>
      </c>
    </row>
    <row r="12" spans="1:9" ht="18" customHeight="1">
      <c r="D12" s="101">
        <v>0.55000000000000004</v>
      </c>
      <c r="E12" s="1">
        <f t="shared" si="0"/>
        <v>0.12566134685507416</v>
      </c>
      <c r="F12" s="1">
        <f t="shared" si="1"/>
        <v>7.6264262994245398</v>
      </c>
      <c r="G12" s="1">
        <f t="shared" si="2"/>
        <v>2051.7047243573265</v>
      </c>
      <c r="H12" s="1">
        <f t="shared" si="3"/>
        <v>7.6307015696447529</v>
      </c>
      <c r="I12" s="1">
        <f t="shared" si="4"/>
        <v>2060.4950936789887</v>
      </c>
    </row>
    <row r="13" spans="1:9" ht="18" customHeight="1">
      <c r="D13" s="101">
        <v>0.5</v>
      </c>
      <c r="E13" s="1">
        <f t="shared" si="0"/>
        <v>0</v>
      </c>
      <c r="F13" s="1">
        <f t="shared" si="1"/>
        <v>7.6236419465115715</v>
      </c>
      <c r="G13" s="1">
        <f t="shared" si="2"/>
        <v>2045.9999999999993</v>
      </c>
      <c r="H13" s="1">
        <f t="shared" si="3"/>
        <v>7.6236419465115715</v>
      </c>
      <c r="I13" s="1">
        <f t="shared" si="4"/>
        <v>2045.9999999999993</v>
      </c>
    </row>
    <row r="14" spans="1:9" ht="18" customHeight="1">
      <c r="D14" s="101">
        <v>0.45</v>
      </c>
      <c r="E14" s="1">
        <f t="shared" si="0"/>
        <v>-0.12566134685507402</v>
      </c>
      <c r="F14" s="1">
        <f t="shared" si="1"/>
        <v>7.6208575935986032</v>
      </c>
      <c r="G14" s="1">
        <f t="shared" si="2"/>
        <v>2040.31113751578</v>
      </c>
      <c r="H14" s="1">
        <f t="shared" si="3"/>
        <v>7.61658232337839</v>
      </c>
      <c r="I14" s="1">
        <f t="shared" si="4"/>
        <v>2031.6068758628967</v>
      </c>
    </row>
    <row r="15" spans="1:9" ht="18" customHeight="1">
      <c r="D15" s="101">
        <v>0.39999999999999902</v>
      </c>
      <c r="E15" s="1">
        <f t="shared" si="0"/>
        <v>-0.25334710313580233</v>
      </c>
      <c r="F15" s="1">
        <f t="shared" si="1"/>
        <v>7.6180283846465873</v>
      </c>
      <c r="G15" s="1">
        <f t="shared" si="2"/>
        <v>2034.546829042187</v>
      </c>
      <c r="H15" s="1">
        <f t="shared" si="3"/>
        <v>7.6094089694284524</v>
      </c>
      <c r="I15" s="1">
        <f t="shared" si="4"/>
        <v>2017.0855860993026</v>
      </c>
    </row>
    <row r="16" spans="1:9" ht="18" customHeight="1">
      <c r="D16" s="101">
        <v>0.34999999999999898</v>
      </c>
      <c r="E16" s="1">
        <f t="shared" si="0"/>
        <v>-0.38532046640757051</v>
      </c>
      <c r="F16" s="1">
        <f t="shared" si="1"/>
        <v>7.6151041726461886</v>
      </c>
      <c r="G16" s="1">
        <f t="shared" si="2"/>
        <v>2028.6060730376198</v>
      </c>
      <c r="H16" s="1">
        <f t="shared" si="3"/>
        <v>7.6019947387868561</v>
      </c>
      <c r="I16" s="1">
        <f t="shared" si="4"/>
        <v>2002.1857519980047</v>
      </c>
    </row>
    <row r="17" spans="4:9" ht="18" customHeight="1">
      <c r="D17" s="101">
        <v>0.29999999999999899</v>
      </c>
      <c r="E17" s="1">
        <f t="shared" si="0"/>
        <v>-0.52440051270804378</v>
      </c>
      <c r="F17" s="1">
        <f t="shared" si="1"/>
        <v>7.6120224936594187</v>
      </c>
      <c r="G17" s="1">
        <f t="shared" si="2"/>
        <v>2022.3641830203605</v>
      </c>
      <c r="H17" s="1">
        <f t="shared" si="3"/>
        <v>7.5941812564647293</v>
      </c>
      <c r="I17" s="1">
        <f t="shared" si="4"/>
        <v>1986.6026673767797</v>
      </c>
    </row>
    <row r="18" spans="4:9" ht="18" customHeight="1">
      <c r="D18" s="101">
        <v>0.249999999999999</v>
      </c>
      <c r="E18" s="1">
        <f t="shared" si="0"/>
        <v>-0.67448975019608493</v>
      </c>
      <c r="F18" s="1">
        <f t="shared" si="1"/>
        <v>7.6086968775008801</v>
      </c>
      <c r="G18" s="1">
        <f t="shared" si="2"/>
        <v>2015.6497470216004</v>
      </c>
      <c r="H18" s="1">
        <f t="shared" si="3"/>
        <v>7.5857492805267803</v>
      </c>
      <c r="I18" s="1">
        <f t="shared" si="4"/>
        <v>1969.9221053656838</v>
      </c>
    </row>
    <row r="19" spans="4:9" ht="18" customHeight="1">
      <c r="D19" s="101">
        <v>0.19999999999999901</v>
      </c>
      <c r="E19" s="1">
        <f t="shared" si="0"/>
        <v>-0.8416212335729174</v>
      </c>
      <c r="F19" s="1">
        <f t="shared" si="1"/>
        <v>7.6049936462031473</v>
      </c>
      <c r="G19" s="1">
        <f t="shared" si="2"/>
        <v>2008.1991339796236</v>
      </c>
      <c r="H19" s="1">
        <f t="shared" si="3"/>
        <v>7.5763598754642132</v>
      </c>
      <c r="I19" s="1">
        <f t="shared" si="4"/>
        <v>1951.5122727167657</v>
      </c>
    </row>
    <row r="20" spans="4:9" ht="18" customHeight="1">
      <c r="D20" s="101">
        <v>0.149999999999999</v>
      </c>
      <c r="E20" s="1">
        <f t="shared" si="0"/>
        <v>-1.0364333894937949</v>
      </c>
      <c r="F20" s="1">
        <f t="shared" si="1"/>
        <v>7.6006770778438622</v>
      </c>
      <c r="G20" s="1">
        <f t="shared" si="2"/>
        <v>1999.5492873966534</v>
      </c>
      <c r="H20" s="1">
        <f t="shared" si="3"/>
        <v>7.565415377120182</v>
      </c>
      <c r="I20" s="1">
        <f t="shared" si="4"/>
        <v>1930.270402717636</v>
      </c>
    </row>
    <row r="21" spans="4:9" ht="18" customHeight="1">
      <c r="D21" s="101">
        <v>9.9999999999999006E-2</v>
      </c>
      <c r="E21" s="1">
        <f t="shared" si="0"/>
        <v>-1.2815515655446061</v>
      </c>
      <c r="F21" s="1">
        <f t="shared" si="1"/>
        <v>7.5952458491917003</v>
      </c>
      <c r="G21" s="1">
        <f t="shared" si="2"/>
        <v>1988.71871629314</v>
      </c>
      <c r="H21" s="1">
        <f t="shared" si="3"/>
        <v>7.5516446991088495</v>
      </c>
      <c r="I21" s="1">
        <f t="shared" si="4"/>
        <v>1903.8714534138942</v>
      </c>
    </row>
    <row r="22" spans="4:9" ht="18" customHeight="1">
      <c r="D22" s="101">
        <v>4.9999999999998997E-2</v>
      </c>
      <c r="E22" s="1">
        <f t="shared" si="0"/>
        <v>-1.6448536269514824</v>
      </c>
      <c r="F22" s="1">
        <f t="shared" si="1"/>
        <v>7.5871959501711839</v>
      </c>
      <c r="G22" s="1">
        <f t="shared" si="2"/>
        <v>1972.7739942505134</v>
      </c>
      <c r="H22" s="1">
        <f t="shared" si="3"/>
        <v>7.5312344798868747</v>
      </c>
      <c r="I22" s="1">
        <f t="shared" si="4"/>
        <v>1865.4068900431801</v>
      </c>
    </row>
    <row r="23" spans="4:9" ht="18" customHeight="1">
      <c r="D23" s="102">
        <v>0</v>
      </c>
      <c r="E23" s="1" t="e">
        <f t="shared" si="0"/>
        <v>#NUM!</v>
      </c>
      <c r="F23" s="1" t="e">
        <f t="shared" si="1"/>
        <v>#NUM!</v>
      </c>
      <c r="G23" s="1" t="e">
        <f t="shared" si="2"/>
        <v>#NUM!</v>
      </c>
      <c r="H23" s="1" t="e">
        <f t="shared" si="3"/>
        <v>#NUM!</v>
      </c>
      <c r="I23" s="1" t="e">
        <f t="shared" si="4"/>
        <v>#NUM!</v>
      </c>
    </row>
  </sheetData>
  <sheetProtection password="C5A8" sheet="1" objects="1" scenarios="1" selectLockedCells="1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_lookup</vt:lpstr>
      <vt:lpstr>_histogram data2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Rechenthin, PhD</dc:creator>
  <cp:keywords/>
  <dc:description/>
  <cp:lastModifiedBy>Michael Rechenthin</cp:lastModifiedBy>
  <dcterms:created xsi:type="dcterms:W3CDTF">2015-07-26T04:18:50Z</dcterms:created>
  <dcterms:modified xsi:type="dcterms:W3CDTF">2016-05-04T19:20:57Z</dcterms:modified>
  <cp:category/>
</cp:coreProperties>
</file>