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480" tabRatio="500" activeTab="2"/>
  </bookViews>
  <sheets>
    <sheet name="Holdings" sheetId="1" r:id="rId1"/>
    <sheet name="prices" sheetId="2" r:id="rId2"/>
    <sheet name="Sheet1" sheetId="3" r:id="rId3"/>
  </sheets>
  <definedNames>
    <definedName name="_xlnm._FilterDatabase" localSheetId="0" hidden="1">Holdings!$A$2:$X$280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3" l="1"/>
  <c r="F16" i="3"/>
  <c r="B16" i="3"/>
  <c r="H16" i="3"/>
  <c r="C16" i="3"/>
  <c r="J16" i="3"/>
  <c r="K16" i="3"/>
  <c r="T16" i="3"/>
  <c r="M16" i="3"/>
  <c r="V16" i="3"/>
  <c r="U16" i="3"/>
  <c r="F17" i="3"/>
  <c r="B17" i="3"/>
  <c r="H17" i="3"/>
  <c r="C17" i="3"/>
  <c r="J17" i="3"/>
  <c r="K17" i="3"/>
  <c r="T17" i="3"/>
  <c r="M17" i="3"/>
  <c r="V17" i="3"/>
  <c r="U17" i="3"/>
  <c r="F18" i="3"/>
  <c r="B18" i="3"/>
  <c r="H18" i="3"/>
  <c r="C18" i="3"/>
  <c r="J18" i="3"/>
  <c r="K18" i="3"/>
  <c r="T18" i="3"/>
  <c r="M18" i="3"/>
  <c r="V18" i="3"/>
  <c r="U18" i="3"/>
  <c r="F19" i="3"/>
  <c r="B19" i="3"/>
  <c r="H19" i="3"/>
  <c r="C19" i="3"/>
  <c r="J19" i="3"/>
  <c r="K19" i="3"/>
  <c r="T19" i="3"/>
  <c r="M19" i="3"/>
  <c r="V19" i="3"/>
  <c r="U19" i="3"/>
  <c r="F20" i="3"/>
  <c r="B20" i="3"/>
  <c r="H20" i="3"/>
  <c r="C20" i="3"/>
  <c r="J20" i="3"/>
  <c r="K20" i="3"/>
  <c r="T20" i="3"/>
  <c r="M20" i="3"/>
  <c r="V20" i="3"/>
  <c r="U20" i="3"/>
  <c r="F21" i="3"/>
  <c r="B21" i="3"/>
  <c r="H21" i="3"/>
  <c r="C21" i="3"/>
  <c r="J21" i="3"/>
  <c r="K21" i="3"/>
  <c r="T21" i="3"/>
  <c r="M21" i="3"/>
  <c r="V21" i="3"/>
  <c r="U21" i="3"/>
  <c r="F22" i="3"/>
  <c r="B22" i="3"/>
  <c r="H22" i="3"/>
  <c r="C22" i="3"/>
  <c r="J22" i="3"/>
  <c r="K22" i="3"/>
  <c r="T22" i="3"/>
  <c r="M22" i="3"/>
  <c r="V22" i="3"/>
  <c r="U22" i="3"/>
  <c r="F23" i="3"/>
  <c r="B23" i="3"/>
  <c r="H23" i="3"/>
  <c r="C23" i="3"/>
  <c r="J23" i="3"/>
  <c r="K23" i="3"/>
  <c r="T23" i="3"/>
  <c r="M23" i="3"/>
  <c r="V23" i="3"/>
  <c r="U23" i="3"/>
  <c r="F24" i="3"/>
  <c r="B24" i="3"/>
  <c r="H24" i="3"/>
  <c r="C24" i="3"/>
  <c r="J24" i="3"/>
  <c r="K24" i="3"/>
  <c r="T24" i="3"/>
  <c r="M24" i="3"/>
  <c r="V24" i="3"/>
  <c r="U24" i="3"/>
  <c r="F25" i="3"/>
  <c r="B25" i="3"/>
  <c r="H25" i="3"/>
  <c r="C25" i="3"/>
  <c r="J25" i="3"/>
  <c r="K25" i="3"/>
  <c r="T25" i="3"/>
  <c r="M25" i="3"/>
  <c r="V25" i="3"/>
  <c r="U25" i="3"/>
  <c r="F26" i="3"/>
  <c r="B26" i="3"/>
  <c r="H26" i="3"/>
  <c r="C26" i="3"/>
  <c r="J26" i="3"/>
  <c r="K26" i="3"/>
  <c r="T26" i="3"/>
  <c r="M26" i="3"/>
  <c r="V26" i="3"/>
  <c r="U26" i="3"/>
  <c r="F27" i="3"/>
  <c r="B27" i="3"/>
  <c r="Q16" i="3"/>
  <c r="R16" i="3"/>
  <c r="E17" i="3"/>
  <c r="Q17" i="3"/>
  <c r="R17" i="3"/>
  <c r="E18" i="3"/>
  <c r="Q18" i="3"/>
  <c r="R18" i="3"/>
  <c r="E19" i="3"/>
  <c r="Q19" i="3"/>
  <c r="R19" i="3"/>
  <c r="E20" i="3"/>
  <c r="Q20" i="3"/>
  <c r="R20" i="3"/>
  <c r="E21" i="3"/>
  <c r="Q21" i="3"/>
  <c r="R21" i="3"/>
  <c r="E22" i="3"/>
  <c r="Q22" i="3"/>
  <c r="R22" i="3"/>
  <c r="E23" i="3"/>
  <c r="Q23" i="3"/>
  <c r="R23" i="3"/>
  <c r="E24" i="3"/>
  <c r="Q24" i="3"/>
  <c r="R24" i="3"/>
  <c r="E25" i="3"/>
  <c r="Q25" i="3"/>
  <c r="R25" i="3"/>
  <c r="E26" i="3"/>
  <c r="W15" i="3"/>
  <c r="V15" i="3"/>
  <c r="U15" i="3"/>
  <c r="T15" i="3"/>
  <c r="R15" i="3"/>
  <c r="E16" i="3"/>
  <c r="D16" i="3"/>
  <c r="G16" i="3"/>
  <c r="A17" i="3"/>
  <c r="D17" i="3"/>
  <c r="G17" i="3"/>
  <c r="A18" i="3"/>
  <c r="D18" i="3"/>
  <c r="G18" i="3"/>
  <c r="A19" i="3"/>
  <c r="D19" i="3"/>
  <c r="G19" i="3"/>
  <c r="A20" i="3"/>
  <c r="D20" i="3"/>
  <c r="G20" i="3"/>
  <c r="A21" i="3"/>
  <c r="D21" i="3"/>
  <c r="G21" i="3"/>
  <c r="A22" i="3"/>
  <c r="D22" i="3"/>
  <c r="G22" i="3"/>
  <c r="A23" i="3"/>
  <c r="D23" i="3"/>
  <c r="G23" i="3"/>
  <c r="A24" i="3"/>
  <c r="D24" i="3"/>
  <c r="G24" i="3"/>
  <c r="A25" i="3"/>
  <c r="D25" i="3"/>
  <c r="G25" i="3"/>
  <c r="A26" i="3"/>
  <c r="D26" i="3"/>
  <c r="Q26" i="3"/>
  <c r="R26" i="3"/>
  <c r="E27" i="3"/>
  <c r="G26" i="3"/>
  <c r="H27" i="3"/>
  <c r="C27" i="3"/>
  <c r="J27" i="3"/>
  <c r="K27" i="3"/>
  <c r="T27" i="3"/>
  <c r="U27" i="3"/>
  <c r="D27" i="3"/>
  <c r="M27" i="3"/>
  <c r="V27" i="3"/>
  <c r="W27" i="3"/>
  <c r="W26" i="3"/>
  <c r="W25" i="3"/>
  <c r="W24" i="3"/>
  <c r="W23" i="3"/>
  <c r="W22" i="3"/>
  <c r="W21" i="3"/>
  <c r="W20" i="3"/>
  <c r="W19" i="3"/>
  <c r="W18" i="3"/>
  <c r="W17" i="3"/>
  <c r="W16" i="3"/>
  <c r="B34" i="3"/>
  <c r="B33" i="3"/>
  <c r="I27" i="3"/>
  <c r="I26" i="3"/>
  <c r="I25" i="3"/>
  <c r="I24" i="3"/>
  <c r="I23" i="3"/>
  <c r="I22" i="3"/>
  <c r="I21" i="3"/>
  <c r="I20" i="3"/>
  <c r="I19" i="3"/>
  <c r="I18" i="3"/>
  <c r="I17" i="3"/>
  <c r="I16" i="3"/>
  <c r="O16" i="3"/>
  <c r="O17" i="3"/>
  <c r="O18" i="3"/>
  <c r="O19" i="3"/>
  <c r="O20" i="3"/>
  <c r="O21" i="3"/>
  <c r="O22" i="3"/>
  <c r="O23" i="3"/>
  <c r="O24" i="3"/>
  <c r="O25" i="3"/>
  <c r="O26" i="3"/>
  <c r="O27" i="3"/>
  <c r="Q27" i="3"/>
  <c r="R27" i="3"/>
  <c r="S27" i="3"/>
  <c r="S26" i="3"/>
  <c r="S25" i="3"/>
  <c r="S24" i="3"/>
  <c r="S23" i="3"/>
  <c r="S22" i="3"/>
  <c r="S21" i="3"/>
  <c r="S20" i="3"/>
  <c r="S19" i="3"/>
  <c r="S18" i="3"/>
  <c r="S17" i="3"/>
  <c r="S16" i="3"/>
  <c r="N27" i="3"/>
  <c r="P27" i="3"/>
  <c r="N26" i="3"/>
  <c r="P26" i="3"/>
  <c r="N25" i="3"/>
  <c r="P25" i="3"/>
  <c r="N24" i="3"/>
  <c r="P24" i="3"/>
  <c r="N23" i="3"/>
  <c r="P23" i="3"/>
  <c r="N22" i="3"/>
  <c r="P22" i="3"/>
  <c r="N21" i="3"/>
  <c r="P21" i="3"/>
  <c r="N20" i="3"/>
  <c r="P20" i="3"/>
  <c r="N19" i="3"/>
  <c r="P19" i="3"/>
  <c r="N18" i="3"/>
  <c r="P18" i="3"/>
  <c r="N17" i="3"/>
  <c r="P17" i="3"/>
  <c r="N16" i="3"/>
  <c r="P16" i="3"/>
  <c r="L27" i="3"/>
  <c r="L26" i="3"/>
  <c r="L25" i="3"/>
  <c r="L24" i="3"/>
  <c r="L23" i="3"/>
  <c r="L22" i="3"/>
  <c r="L21" i="3"/>
  <c r="L20" i="3"/>
  <c r="L19" i="3"/>
  <c r="L18" i="3"/>
  <c r="L17" i="3"/>
  <c r="L16" i="3"/>
  <c r="G27" i="3"/>
  <c r="R29" i="1"/>
  <c r="W29" i="1"/>
  <c r="R121" i="1"/>
  <c r="W121" i="1"/>
  <c r="R171" i="1"/>
  <c r="W171" i="1"/>
  <c r="R219" i="1"/>
  <c r="W219" i="1"/>
  <c r="W279" i="1"/>
  <c r="S279" i="1"/>
  <c r="R122" i="1"/>
  <c r="W122" i="1"/>
  <c r="R172" i="1"/>
  <c r="W172" i="1"/>
  <c r="R220" i="1"/>
  <c r="W220" i="1"/>
  <c r="W280" i="1"/>
  <c r="S280" i="1"/>
  <c r="S288" i="1"/>
  <c r="S1" i="1"/>
  <c r="R1" i="1"/>
  <c r="C9" i="2"/>
  <c r="C4" i="2"/>
  <c r="Z171" i="1"/>
  <c r="Q171" i="1"/>
  <c r="X171" i="1"/>
  <c r="S171" i="1"/>
  <c r="U171" i="1"/>
  <c r="V171" i="1"/>
  <c r="T171" i="1"/>
  <c r="J171" i="1"/>
  <c r="P171" i="1"/>
  <c r="O171" i="1"/>
  <c r="M171" i="1"/>
  <c r="N171" i="1"/>
  <c r="K171" i="1"/>
  <c r="Q219" i="1"/>
  <c r="X219" i="1"/>
  <c r="S219" i="1"/>
  <c r="U219" i="1"/>
  <c r="V219" i="1"/>
  <c r="T219" i="1"/>
  <c r="J219" i="1"/>
  <c r="P219" i="1"/>
  <c r="O219" i="1"/>
  <c r="M219" i="1"/>
  <c r="N219" i="1"/>
  <c r="K219" i="1"/>
  <c r="Z172" i="1"/>
  <c r="Q172" i="1"/>
  <c r="X172" i="1"/>
  <c r="S172" i="1"/>
  <c r="U172" i="1"/>
  <c r="V172" i="1"/>
  <c r="T172" i="1"/>
  <c r="J172" i="1"/>
  <c r="P172" i="1"/>
  <c r="O172" i="1"/>
  <c r="M172" i="1"/>
  <c r="N172" i="1"/>
  <c r="K172" i="1"/>
  <c r="R218" i="1"/>
  <c r="Q218" i="1"/>
  <c r="X218" i="1"/>
  <c r="W218" i="1"/>
  <c r="S218" i="1"/>
  <c r="U218" i="1"/>
  <c r="V218" i="1"/>
  <c r="T218" i="1"/>
  <c r="J218" i="1"/>
  <c r="P218" i="1"/>
  <c r="O218" i="1"/>
  <c r="M218" i="1"/>
  <c r="N218" i="1"/>
  <c r="K218" i="1"/>
  <c r="U220" i="1"/>
  <c r="U279" i="1"/>
  <c r="U280" i="1"/>
  <c r="B9" i="2"/>
  <c r="R216" i="1"/>
  <c r="W216" i="1"/>
  <c r="B4" i="2"/>
  <c r="X28" i="1"/>
  <c r="W28" i="1"/>
  <c r="S28" i="1"/>
  <c r="U28" i="1"/>
  <c r="V28" i="1"/>
  <c r="T28" i="1"/>
  <c r="R28" i="1"/>
  <c r="Q28" i="1"/>
  <c r="P28" i="1"/>
  <c r="J28" i="1"/>
  <c r="O28" i="1"/>
  <c r="N28" i="1"/>
  <c r="M28" i="1"/>
  <c r="K28" i="1"/>
  <c r="J5" i="2"/>
  <c r="P5" i="2"/>
  <c r="D5" i="2"/>
  <c r="J29" i="1"/>
  <c r="K5" i="2"/>
  <c r="O5" i="2"/>
  <c r="M5" i="2"/>
  <c r="N5" i="2"/>
  <c r="H5" i="2"/>
  <c r="G5" i="2"/>
  <c r="F5" i="2"/>
  <c r="E5" i="2"/>
  <c r="U29" i="1"/>
  <c r="F305" i="1"/>
  <c r="S260" i="1"/>
  <c r="S261" i="1"/>
  <c r="N304" i="1"/>
  <c r="S246" i="1"/>
  <c r="S247" i="1"/>
  <c r="S248" i="1"/>
  <c r="S250" i="1"/>
  <c r="S6" i="1"/>
  <c r="S7" i="1"/>
  <c r="S8" i="1"/>
  <c r="S9" i="1"/>
  <c r="S10" i="1"/>
  <c r="S12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4" i="1"/>
  <c r="S35" i="1"/>
  <c r="S36" i="1"/>
  <c r="S37" i="1"/>
  <c r="S38" i="1"/>
  <c r="S39" i="1"/>
  <c r="S41" i="1"/>
  <c r="S42" i="1"/>
  <c r="S43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R79" i="1"/>
  <c r="S79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R157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R173" i="1"/>
  <c r="S173" i="1"/>
  <c r="R174" i="1"/>
  <c r="S174" i="1"/>
  <c r="S175" i="1"/>
  <c r="R176" i="1"/>
  <c r="S176" i="1"/>
  <c r="S177" i="1"/>
  <c r="R178" i="1"/>
  <c r="S178" i="1"/>
  <c r="S179" i="1"/>
  <c r="R180" i="1"/>
  <c r="S180" i="1"/>
  <c r="S181" i="1"/>
  <c r="S182" i="1"/>
  <c r="S183" i="1"/>
  <c r="S184" i="1"/>
  <c r="S186" i="1"/>
  <c r="S187" i="1"/>
  <c r="S188" i="1"/>
  <c r="S189" i="1"/>
  <c r="S190" i="1"/>
  <c r="S191" i="1"/>
  <c r="S192" i="1"/>
  <c r="S193" i="1"/>
  <c r="S196" i="1"/>
  <c r="S197" i="1"/>
  <c r="S198" i="1"/>
  <c r="S199" i="1"/>
  <c r="S200" i="1"/>
  <c r="S209" i="1"/>
  <c r="S210" i="1"/>
  <c r="S211" i="1"/>
  <c r="S212" i="1"/>
  <c r="S213" i="1"/>
  <c r="S214" i="1"/>
  <c r="S215" i="1"/>
  <c r="S216" i="1"/>
  <c r="R217" i="1"/>
  <c r="S217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7" i="1"/>
  <c r="S238" i="1"/>
  <c r="S239" i="1"/>
  <c r="S240" i="1"/>
  <c r="S241" i="1"/>
  <c r="S242" i="1"/>
  <c r="S243" i="1"/>
  <c r="S251" i="1"/>
  <c r="S252" i="1"/>
  <c r="S253" i="1"/>
  <c r="S254" i="1"/>
  <c r="S255" i="1"/>
  <c r="S256" i="1"/>
  <c r="S257" i="1"/>
  <c r="S258" i="1"/>
  <c r="S259" i="1"/>
  <c r="S262" i="1"/>
  <c r="S263" i="1"/>
  <c r="S264" i="1"/>
  <c r="R265" i="1"/>
  <c r="S265" i="1"/>
  <c r="R266" i="1"/>
  <c r="S266" i="1"/>
  <c r="S267" i="1"/>
  <c r="N303" i="1"/>
  <c r="N305" i="1"/>
  <c r="N302" i="1"/>
  <c r="N301" i="1"/>
  <c r="N300" i="1"/>
  <c r="N299" i="1"/>
  <c r="N298" i="1"/>
  <c r="N297" i="1"/>
  <c r="N296" i="1"/>
  <c r="N292" i="1"/>
  <c r="N293" i="1"/>
  <c r="N294" i="1"/>
  <c r="N295" i="1"/>
  <c r="J11" i="2"/>
  <c r="P11" i="2"/>
  <c r="D11" i="2"/>
  <c r="K11" i="2"/>
  <c r="O11" i="2"/>
  <c r="M11" i="2"/>
  <c r="N11" i="2"/>
  <c r="H11" i="2"/>
  <c r="G11" i="2"/>
  <c r="F11" i="2"/>
  <c r="E11" i="2"/>
  <c r="Q216" i="1"/>
  <c r="X216" i="1"/>
  <c r="U216" i="1"/>
  <c r="V216" i="1"/>
  <c r="T216" i="1"/>
  <c r="J216" i="1"/>
  <c r="P216" i="1"/>
  <c r="O216" i="1"/>
  <c r="M216" i="1"/>
  <c r="N216" i="1"/>
  <c r="K216" i="1"/>
  <c r="R20" i="1"/>
  <c r="W20" i="1"/>
  <c r="R22" i="1"/>
  <c r="W22" i="1"/>
  <c r="R23" i="1"/>
  <c r="W23" i="1"/>
  <c r="R24" i="1"/>
  <c r="W24" i="1"/>
  <c r="W6" i="1"/>
  <c r="W7" i="1"/>
  <c r="W8" i="1"/>
  <c r="W9" i="1"/>
  <c r="W10" i="1"/>
  <c r="W12" i="1"/>
  <c r="W14" i="1"/>
  <c r="W16" i="1"/>
  <c r="W17" i="1"/>
  <c r="W18" i="1"/>
  <c r="W19" i="1"/>
  <c r="R21" i="1"/>
  <c r="W21" i="1"/>
  <c r="R25" i="1"/>
  <c r="W25" i="1"/>
  <c r="R26" i="1"/>
  <c r="W26" i="1"/>
  <c r="R27" i="1"/>
  <c r="W27" i="1"/>
  <c r="W34" i="1"/>
  <c r="W35" i="1"/>
  <c r="W36" i="1"/>
  <c r="W37" i="1"/>
  <c r="W38" i="1"/>
  <c r="W39" i="1"/>
  <c r="W41" i="1"/>
  <c r="W42" i="1"/>
  <c r="W43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6" i="1"/>
  <c r="W187" i="1"/>
  <c r="W188" i="1"/>
  <c r="W189" i="1"/>
  <c r="W190" i="1"/>
  <c r="W191" i="1"/>
  <c r="W192" i="1"/>
  <c r="W193" i="1"/>
  <c r="W196" i="1"/>
  <c r="W197" i="1"/>
  <c r="W198" i="1"/>
  <c r="W199" i="1"/>
  <c r="W200" i="1"/>
  <c r="W209" i="1"/>
  <c r="W210" i="1"/>
  <c r="W211" i="1"/>
  <c r="W212" i="1"/>
  <c r="W213" i="1"/>
  <c r="W214" i="1"/>
  <c r="W215" i="1"/>
  <c r="W217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7" i="1"/>
  <c r="W238" i="1"/>
  <c r="W239" i="1"/>
  <c r="W240" i="1"/>
  <c r="W241" i="1"/>
  <c r="W242" i="1"/>
  <c r="W243" i="1"/>
  <c r="W246" i="1"/>
  <c r="W247" i="1"/>
  <c r="W248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Q20" i="1"/>
  <c r="X20" i="1"/>
  <c r="U20" i="1"/>
  <c r="V20" i="1"/>
  <c r="T20" i="1"/>
  <c r="J20" i="1"/>
  <c r="P20" i="1"/>
  <c r="O20" i="1"/>
  <c r="M20" i="1"/>
  <c r="N20" i="1"/>
  <c r="K20" i="1"/>
  <c r="Q21" i="1"/>
  <c r="X21" i="1"/>
  <c r="U21" i="1"/>
  <c r="V21" i="1"/>
  <c r="T21" i="1"/>
  <c r="J21" i="1"/>
  <c r="P21" i="1"/>
  <c r="O21" i="1"/>
  <c r="M21" i="1"/>
  <c r="N21" i="1"/>
  <c r="K21" i="1"/>
  <c r="E155" i="1"/>
  <c r="E156" i="1"/>
  <c r="E158" i="1"/>
  <c r="E159" i="1"/>
  <c r="W272" i="1"/>
  <c r="U22" i="1"/>
  <c r="U23" i="1"/>
  <c r="U24" i="1"/>
  <c r="U2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5" i="1"/>
  <c r="U27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G155" i="1"/>
  <c r="U155" i="1"/>
  <c r="G156" i="1"/>
  <c r="U156" i="1"/>
  <c r="U157" i="1"/>
  <c r="G158" i="1"/>
  <c r="U158" i="1"/>
  <c r="G159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3" i="1"/>
  <c r="U174" i="1"/>
  <c r="G175" i="1"/>
  <c r="U175" i="1"/>
  <c r="U176" i="1"/>
  <c r="U177" i="1"/>
  <c r="U178" i="1"/>
  <c r="G179" i="1"/>
  <c r="U179" i="1"/>
  <c r="U180" i="1"/>
  <c r="G181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7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W273" i="1"/>
  <c r="R192" i="1"/>
  <c r="R193" i="1"/>
  <c r="R18" i="1"/>
  <c r="R19" i="1"/>
  <c r="R123" i="1"/>
  <c r="R124" i="1"/>
  <c r="R169" i="1"/>
  <c r="R170" i="1"/>
  <c r="Q18" i="1"/>
  <c r="X18" i="1"/>
  <c r="V18" i="1"/>
  <c r="T18" i="1"/>
  <c r="J18" i="1"/>
  <c r="P18" i="1"/>
  <c r="O18" i="1"/>
  <c r="M18" i="1"/>
  <c r="N18" i="1"/>
  <c r="K18" i="1"/>
  <c r="Q19" i="1"/>
  <c r="X19" i="1"/>
  <c r="V19" i="1"/>
  <c r="T19" i="1"/>
  <c r="J19" i="1"/>
  <c r="P19" i="1"/>
  <c r="O19" i="1"/>
  <c r="M19" i="1"/>
  <c r="N19" i="1"/>
  <c r="K19" i="1"/>
  <c r="R16" i="1"/>
  <c r="R17" i="1"/>
  <c r="L278" i="1"/>
  <c r="Q121" i="1"/>
  <c r="X121" i="1"/>
  <c r="V121" i="1"/>
  <c r="T121" i="1"/>
  <c r="J121" i="1"/>
  <c r="P121" i="1"/>
  <c r="O121" i="1"/>
  <c r="M121" i="1"/>
  <c r="N121" i="1"/>
  <c r="K121" i="1"/>
  <c r="Q122" i="1"/>
  <c r="X122" i="1"/>
  <c r="V122" i="1"/>
  <c r="T122" i="1"/>
  <c r="J122" i="1"/>
  <c r="P122" i="1"/>
  <c r="O122" i="1"/>
  <c r="M122" i="1"/>
  <c r="N122" i="1"/>
  <c r="K122" i="1"/>
  <c r="Q16" i="1"/>
  <c r="X16" i="1"/>
  <c r="V16" i="1"/>
  <c r="T16" i="1"/>
  <c r="J16" i="1"/>
  <c r="P16" i="1"/>
  <c r="O16" i="1"/>
  <c r="M16" i="1"/>
  <c r="N16" i="1"/>
  <c r="K16" i="1"/>
  <c r="Q17" i="1"/>
  <c r="X17" i="1"/>
  <c r="V17" i="1"/>
  <c r="T17" i="1"/>
  <c r="J17" i="1"/>
  <c r="P17" i="1"/>
  <c r="O17" i="1"/>
  <c r="M17" i="1"/>
  <c r="N17" i="1"/>
  <c r="K17" i="1"/>
  <c r="Z169" i="1"/>
  <c r="Q169" i="1"/>
  <c r="X169" i="1"/>
  <c r="V169" i="1"/>
  <c r="T169" i="1"/>
  <c r="J169" i="1"/>
  <c r="P169" i="1"/>
  <c r="O169" i="1"/>
  <c r="M169" i="1"/>
  <c r="N169" i="1"/>
  <c r="K169" i="1"/>
  <c r="Z170" i="1"/>
  <c r="Q170" i="1"/>
  <c r="X170" i="1"/>
  <c r="V170" i="1"/>
  <c r="T170" i="1"/>
  <c r="J170" i="1"/>
  <c r="P170" i="1"/>
  <c r="O170" i="1"/>
  <c r="M170" i="1"/>
  <c r="N170" i="1"/>
  <c r="K170" i="1"/>
  <c r="Q27" i="1"/>
  <c r="X27" i="1"/>
  <c r="V27" i="1"/>
  <c r="T27" i="1"/>
  <c r="J27" i="1"/>
  <c r="P27" i="1"/>
  <c r="O27" i="1"/>
  <c r="M27" i="1"/>
  <c r="N27" i="1"/>
  <c r="K27" i="1"/>
  <c r="Q26" i="1"/>
  <c r="X26" i="1"/>
  <c r="V26" i="1"/>
  <c r="T26" i="1"/>
  <c r="J26" i="1"/>
  <c r="P26" i="1"/>
  <c r="O26" i="1"/>
  <c r="M26" i="1"/>
  <c r="N26" i="1"/>
  <c r="K26" i="1"/>
  <c r="W3" i="1"/>
  <c r="W4" i="1"/>
  <c r="W5" i="1"/>
  <c r="W11" i="1"/>
  <c r="W13" i="1"/>
  <c r="W15" i="1"/>
  <c r="W30" i="1"/>
  <c r="W31" i="1"/>
  <c r="W32" i="1"/>
  <c r="W33" i="1"/>
  <c r="W40" i="1"/>
  <c r="W44" i="1"/>
  <c r="W80" i="1"/>
  <c r="W81" i="1"/>
  <c r="W82" i="1"/>
  <c r="W83" i="1"/>
  <c r="W98" i="1"/>
  <c r="W99" i="1"/>
  <c r="W185" i="1"/>
  <c r="W194" i="1"/>
  <c r="W195" i="1"/>
  <c r="W201" i="1"/>
  <c r="W202" i="1"/>
  <c r="W203" i="1"/>
  <c r="W204" i="1"/>
  <c r="W205" i="1"/>
  <c r="W206" i="1"/>
  <c r="W207" i="1"/>
  <c r="W208" i="1"/>
  <c r="W236" i="1"/>
  <c r="W244" i="1"/>
  <c r="W245" i="1"/>
  <c r="W249" i="1"/>
  <c r="W268" i="1"/>
  <c r="W269" i="1"/>
  <c r="W270" i="1"/>
  <c r="W271" i="1"/>
  <c r="W274" i="1"/>
  <c r="W275" i="1"/>
  <c r="W276" i="1"/>
  <c r="W277" i="1"/>
  <c r="W278" i="1"/>
  <c r="Q25" i="1"/>
  <c r="X25" i="1"/>
  <c r="V25" i="1"/>
  <c r="T25" i="1"/>
  <c r="J25" i="1"/>
  <c r="P25" i="1"/>
  <c r="O25" i="1"/>
  <c r="M25" i="1"/>
  <c r="N25" i="1"/>
  <c r="K25" i="1"/>
  <c r="R149" i="1"/>
  <c r="R150" i="1"/>
  <c r="R151" i="1"/>
  <c r="R152" i="1"/>
  <c r="Z48" i="1"/>
  <c r="Q23" i="1"/>
  <c r="X23" i="1"/>
  <c r="V23" i="1"/>
  <c r="T23" i="1"/>
  <c r="J23" i="1"/>
  <c r="P23" i="1"/>
  <c r="O23" i="1"/>
  <c r="M23" i="1"/>
  <c r="N23" i="1"/>
  <c r="K23" i="1"/>
  <c r="Z261" i="1"/>
  <c r="Q220" i="1"/>
  <c r="X220" i="1"/>
  <c r="V220" i="1"/>
  <c r="T220" i="1"/>
  <c r="J220" i="1"/>
  <c r="P220" i="1"/>
  <c r="O220" i="1"/>
  <c r="M220" i="1"/>
  <c r="N220" i="1"/>
  <c r="K220" i="1"/>
  <c r="Z260" i="1"/>
  <c r="Q217" i="1"/>
  <c r="X217" i="1"/>
  <c r="V217" i="1"/>
  <c r="T217" i="1"/>
  <c r="J217" i="1"/>
  <c r="P217" i="1"/>
  <c r="O217" i="1"/>
  <c r="M217" i="1"/>
  <c r="N217" i="1"/>
  <c r="K217" i="1"/>
  <c r="Z264" i="1"/>
  <c r="Q265" i="1"/>
  <c r="X265" i="1"/>
  <c r="V265" i="1"/>
  <c r="T265" i="1"/>
  <c r="J265" i="1"/>
  <c r="P265" i="1"/>
  <c r="O265" i="1"/>
  <c r="M265" i="1"/>
  <c r="N265" i="1"/>
  <c r="K265" i="1"/>
  <c r="J17" i="2"/>
  <c r="P17" i="2"/>
  <c r="D17" i="2"/>
  <c r="K17" i="2"/>
  <c r="O17" i="2"/>
  <c r="M17" i="2"/>
  <c r="N17" i="2"/>
  <c r="H17" i="2"/>
  <c r="G17" i="2"/>
  <c r="F17" i="2"/>
  <c r="E17" i="2"/>
  <c r="Z265" i="1"/>
  <c r="Q266" i="1"/>
  <c r="X266" i="1"/>
  <c r="V266" i="1"/>
  <c r="T266" i="1"/>
  <c r="J266" i="1"/>
  <c r="P266" i="1"/>
  <c r="O266" i="1"/>
  <c r="M266" i="1"/>
  <c r="N266" i="1"/>
  <c r="K266" i="1"/>
  <c r="Z165" i="1"/>
  <c r="Q151" i="1"/>
  <c r="X151" i="1"/>
  <c r="V151" i="1"/>
  <c r="T151" i="1"/>
  <c r="J151" i="1"/>
  <c r="P151" i="1"/>
  <c r="O151" i="1"/>
  <c r="M151" i="1"/>
  <c r="N151" i="1"/>
  <c r="K151" i="1"/>
  <c r="Z164" i="1"/>
  <c r="Q150" i="1"/>
  <c r="X150" i="1"/>
  <c r="V150" i="1"/>
  <c r="T150" i="1"/>
  <c r="J150" i="1"/>
  <c r="P150" i="1"/>
  <c r="O150" i="1"/>
  <c r="M150" i="1"/>
  <c r="N150" i="1"/>
  <c r="K150" i="1"/>
  <c r="Z163" i="1"/>
  <c r="Q149" i="1"/>
  <c r="X149" i="1"/>
  <c r="V149" i="1"/>
  <c r="T149" i="1"/>
  <c r="J149" i="1"/>
  <c r="P149" i="1"/>
  <c r="O149" i="1"/>
  <c r="M149" i="1"/>
  <c r="N149" i="1"/>
  <c r="K149" i="1"/>
  <c r="Z166" i="1"/>
  <c r="Q152" i="1"/>
  <c r="X152" i="1"/>
  <c r="V152" i="1"/>
  <c r="T152" i="1"/>
  <c r="J152" i="1"/>
  <c r="P152" i="1"/>
  <c r="O152" i="1"/>
  <c r="M152" i="1"/>
  <c r="N152" i="1"/>
  <c r="K152" i="1"/>
  <c r="Z49" i="1"/>
  <c r="Q24" i="1"/>
  <c r="X24" i="1"/>
  <c r="V24" i="1"/>
  <c r="T24" i="1"/>
  <c r="J24" i="1"/>
  <c r="P24" i="1"/>
  <c r="O24" i="1"/>
  <c r="M24" i="1"/>
  <c r="N24" i="1"/>
  <c r="K24" i="1"/>
  <c r="R231" i="1"/>
  <c r="Z262" i="1"/>
  <c r="Q231" i="1"/>
  <c r="X231" i="1"/>
  <c r="V231" i="1"/>
  <c r="T231" i="1"/>
  <c r="J231" i="1"/>
  <c r="P231" i="1"/>
  <c r="O231" i="1"/>
  <c r="M231" i="1"/>
  <c r="N231" i="1"/>
  <c r="K231" i="1"/>
  <c r="J15" i="2"/>
  <c r="P15" i="2"/>
  <c r="D15" i="2"/>
  <c r="K15" i="2"/>
  <c r="O15" i="2"/>
  <c r="M15" i="2"/>
  <c r="N15" i="2"/>
  <c r="H15" i="2"/>
  <c r="G15" i="2"/>
  <c r="F15" i="2"/>
  <c r="E15" i="2"/>
  <c r="R259" i="1"/>
  <c r="Z263" i="1"/>
  <c r="Q259" i="1"/>
  <c r="X259" i="1"/>
  <c r="V259" i="1"/>
  <c r="T259" i="1"/>
  <c r="J259" i="1"/>
  <c r="P259" i="1"/>
  <c r="O259" i="1"/>
  <c r="M259" i="1"/>
  <c r="N259" i="1"/>
  <c r="K259" i="1"/>
  <c r="R184" i="1"/>
  <c r="R153" i="1"/>
  <c r="R154" i="1"/>
  <c r="Z257" i="1"/>
  <c r="Q184" i="1"/>
  <c r="X184" i="1"/>
  <c r="V184" i="1"/>
  <c r="T184" i="1"/>
  <c r="J184" i="1"/>
  <c r="P184" i="1"/>
  <c r="O184" i="1"/>
  <c r="M184" i="1"/>
  <c r="N184" i="1"/>
  <c r="K184" i="1"/>
  <c r="R57" i="1"/>
  <c r="R58" i="1"/>
  <c r="R264" i="1"/>
  <c r="Z259" i="1"/>
  <c r="Q193" i="1"/>
  <c r="X193" i="1"/>
  <c r="V193" i="1"/>
  <c r="T193" i="1"/>
  <c r="J193" i="1"/>
  <c r="P193" i="1"/>
  <c r="O193" i="1"/>
  <c r="M193" i="1"/>
  <c r="N193" i="1"/>
  <c r="K193" i="1"/>
  <c r="Z57" i="1"/>
  <c r="Q57" i="1"/>
  <c r="X57" i="1"/>
  <c r="V57" i="1"/>
  <c r="T57" i="1"/>
  <c r="J57" i="1"/>
  <c r="P57" i="1"/>
  <c r="O57" i="1"/>
  <c r="M57" i="1"/>
  <c r="N57" i="1"/>
  <c r="K57" i="1"/>
  <c r="Z159" i="1"/>
  <c r="Q123" i="1"/>
  <c r="X123" i="1"/>
  <c r="V123" i="1"/>
  <c r="T123" i="1"/>
  <c r="J123" i="1"/>
  <c r="P123" i="1"/>
  <c r="O123" i="1"/>
  <c r="M123" i="1"/>
  <c r="N123" i="1"/>
  <c r="K123" i="1"/>
  <c r="Z47" i="1"/>
  <c r="Q22" i="1"/>
  <c r="X22" i="1"/>
  <c r="V22" i="1"/>
  <c r="T22" i="1"/>
  <c r="J22" i="1"/>
  <c r="P22" i="1"/>
  <c r="O22" i="1"/>
  <c r="M22" i="1"/>
  <c r="N22" i="1"/>
  <c r="K22" i="1"/>
  <c r="Z258" i="1"/>
  <c r="Q192" i="1"/>
  <c r="X192" i="1"/>
  <c r="V192" i="1"/>
  <c r="T192" i="1"/>
  <c r="J192" i="1"/>
  <c r="P192" i="1"/>
  <c r="O192" i="1"/>
  <c r="M192" i="1"/>
  <c r="N192" i="1"/>
  <c r="K192" i="1"/>
  <c r="Z167" i="1"/>
  <c r="Q153" i="1"/>
  <c r="X153" i="1"/>
  <c r="V153" i="1"/>
  <c r="T153" i="1"/>
  <c r="J153" i="1"/>
  <c r="P153" i="1"/>
  <c r="O153" i="1"/>
  <c r="M153" i="1"/>
  <c r="N153" i="1"/>
  <c r="K153" i="1"/>
  <c r="R56" i="1"/>
  <c r="Z56" i="1"/>
  <c r="Q56" i="1"/>
  <c r="X56" i="1"/>
  <c r="V56" i="1"/>
  <c r="T56" i="1"/>
  <c r="J56" i="1"/>
  <c r="P56" i="1"/>
  <c r="O56" i="1"/>
  <c r="M56" i="1"/>
  <c r="N56" i="1"/>
  <c r="K56" i="1"/>
  <c r="Z160" i="1"/>
  <c r="Q124" i="1"/>
  <c r="X124" i="1"/>
  <c r="V124" i="1"/>
  <c r="T124" i="1"/>
  <c r="J124" i="1"/>
  <c r="P124" i="1"/>
  <c r="O124" i="1"/>
  <c r="M124" i="1"/>
  <c r="N124" i="1"/>
  <c r="K124" i="1"/>
  <c r="Z50" i="1"/>
  <c r="Q29" i="1"/>
  <c r="X29" i="1"/>
  <c r="V29" i="1"/>
  <c r="T29" i="1"/>
  <c r="P29" i="1"/>
  <c r="O29" i="1"/>
  <c r="M29" i="1"/>
  <c r="N29" i="1"/>
  <c r="K29" i="1"/>
  <c r="R191" i="1"/>
  <c r="Z256" i="1"/>
  <c r="Q191" i="1"/>
  <c r="X191" i="1"/>
  <c r="V191" i="1"/>
  <c r="T191" i="1"/>
  <c r="J191" i="1"/>
  <c r="P191" i="1"/>
  <c r="O191" i="1"/>
  <c r="M191" i="1"/>
  <c r="N191" i="1"/>
  <c r="K191" i="1"/>
  <c r="R148" i="1"/>
  <c r="Z162" i="1"/>
  <c r="Q148" i="1"/>
  <c r="X148" i="1"/>
  <c r="V148" i="1"/>
  <c r="T148" i="1"/>
  <c r="J148" i="1"/>
  <c r="P148" i="1"/>
  <c r="O148" i="1"/>
  <c r="M148" i="1"/>
  <c r="N148" i="1"/>
  <c r="K148" i="1"/>
  <c r="R51" i="1"/>
  <c r="R53" i="1"/>
  <c r="R54" i="1"/>
  <c r="R147" i="1"/>
  <c r="R52" i="1"/>
  <c r="R55" i="1"/>
  <c r="R190" i="1"/>
  <c r="Z161" i="1"/>
  <c r="Q147" i="1"/>
  <c r="X147" i="1"/>
  <c r="V147" i="1"/>
  <c r="T147" i="1"/>
  <c r="J147" i="1"/>
  <c r="P147" i="1"/>
  <c r="O147" i="1"/>
  <c r="M147" i="1"/>
  <c r="N147" i="1"/>
  <c r="K147" i="1"/>
  <c r="Z254" i="1"/>
  <c r="Q190" i="1"/>
  <c r="X190" i="1"/>
  <c r="V190" i="1"/>
  <c r="T190" i="1"/>
  <c r="J190" i="1"/>
  <c r="P190" i="1"/>
  <c r="O190" i="1"/>
  <c r="M190" i="1"/>
  <c r="N190" i="1"/>
  <c r="K190" i="1"/>
  <c r="Z168" i="1"/>
  <c r="Q154" i="1"/>
  <c r="X154" i="1"/>
  <c r="V154" i="1"/>
  <c r="T154" i="1"/>
  <c r="J154" i="1"/>
  <c r="P154" i="1"/>
  <c r="O154" i="1"/>
  <c r="M154" i="1"/>
  <c r="N154" i="1"/>
  <c r="K154" i="1"/>
  <c r="Z266" i="1"/>
  <c r="Q264" i="1"/>
  <c r="X264" i="1"/>
  <c r="V264" i="1"/>
  <c r="T264" i="1"/>
  <c r="J264" i="1"/>
  <c r="P264" i="1"/>
  <c r="O264" i="1"/>
  <c r="M264" i="1"/>
  <c r="N264" i="1"/>
  <c r="K264" i="1"/>
  <c r="R112" i="1"/>
  <c r="R113" i="1"/>
  <c r="R114" i="1"/>
  <c r="R115" i="1"/>
  <c r="R116" i="1"/>
  <c r="R117" i="1"/>
  <c r="R118" i="1"/>
  <c r="R119" i="1"/>
  <c r="R120" i="1"/>
  <c r="R168" i="1"/>
  <c r="Q112" i="1"/>
  <c r="X112" i="1"/>
  <c r="Q113" i="1"/>
  <c r="X113" i="1"/>
  <c r="Q114" i="1"/>
  <c r="X114" i="1"/>
  <c r="Q115" i="1"/>
  <c r="X115" i="1"/>
  <c r="Q116" i="1"/>
  <c r="X116" i="1"/>
  <c r="Q117" i="1"/>
  <c r="X117" i="1"/>
  <c r="Q118" i="1"/>
  <c r="X118" i="1"/>
  <c r="Q119" i="1"/>
  <c r="X119" i="1"/>
  <c r="Q120" i="1"/>
  <c r="X120" i="1"/>
  <c r="X142" i="1"/>
  <c r="X143" i="1"/>
  <c r="X144" i="1"/>
  <c r="X145" i="1"/>
  <c r="X146" i="1"/>
  <c r="Y284" i="1"/>
  <c r="Q51" i="1"/>
  <c r="X51" i="1"/>
  <c r="Q52" i="1"/>
  <c r="X52" i="1"/>
  <c r="Q53" i="1"/>
  <c r="X53" i="1"/>
  <c r="Q54" i="1"/>
  <c r="X54" i="1"/>
  <c r="Q55" i="1"/>
  <c r="X55" i="1"/>
  <c r="Q58" i="1"/>
  <c r="X58" i="1"/>
  <c r="Y283" i="1"/>
  <c r="Z53" i="1"/>
  <c r="V53" i="1"/>
  <c r="T53" i="1"/>
  <c r="J53" i="1"/>
  <c r="P53" i="1"/>
  <c r="O53" i="1"/>
  <c r="M53" i="1"/>
  <c r="N53" i="1"/>
  <c r="K53" i="1"/>
  <c r="Z55" i="1"/>
  <c r="V55" i="1"/>
  <c r="T55" i="1"/>
  <c r="J55" i="1"/>
  <c r="P55" i="1"/>
  <c r="O55" i="1"/>
  <c r="M55" i="1"/>
  <c r="N55" i="1"/>
  <c r="K55" i="1"/>
  <c r="Z54" i="1"/>
  <c r="V54" i="1"/>
  <c r="T54" i="1"/>
  <c r="P54" i="1"/>
  <c r="O54" i="1"/>
  <c r="M54" i="1"/>
  <c r="N54" i="1"/>
  <c r="K54" i="1"/>
  <c r="Z52" i="1"/>
  <c r="V52" i="1"/>
  <c r="T52" i="1"/>
  <c r="J52" i="1"/>
  <c r="P52" i="1"/>
  <c r="O52" i="1"/>
  <c r="M52" i="1"/>
  <c r="N52" i="1"/>
  <c r="K52" i="1"/>
  <c r="D31" i="2"/>
  <c r="F31" i="2"/>
  <c r="F30" i="2"/>
  <c r="F29" i="2"/>
  <c r="F28" i="2"/>
  <c r="C2" i="3"/>
  <c r="G2" i="3"/>
  <c r="H2" i="3"/>
  <c r="K2" i="3"/>
  <c r="D2" i="3"/>
  <c r="Z149" i="1"/>
  <c r="V119" i="1"/>
  <c r="T119" i="1"/>
  <c r="J119" i="1"/>
  <c r="P119" i="1"/>
  <c r="O119" i="1"/>
  <c r="M119" i="1"/>
  <c r="N119" i="1"/>
  <c r="K119" i="1"/>
  <c r="Z148" i="1"/>
  <c r="V118" i="1"/>
  <c r="T118" i="1"/>
  <c r="J118" i="1"/>
  <c r="P118" i="1"/>
  <c r="O118" i="1"/>
  <c r="M118" i="1"/>
  <c r="N118" i="1"/>
  <c r="K118" i="1"/>
  <c r="Z156" i="1"/>
  <c r="X167" i="1"/>
  <c r="V167" i="1"/>
  <c r="T167" i="1"/>
  <c r="R167" i="1"/>
  <c r="Q167" i="1"/>
  <c r="P167" i="1"/>
  <c r="J167" i="1"/>
  <c r="O167" i="1"/>
  <c r="N167" i="1"/>
  <c r="M167" i="1"/>
  <c r="K167" i="1"/>
  <c r="Z147" i="1"/>
  <c r="V117" i="1"/>
  <c r="T117" i="1"/>
  <c r="J117" i="1"/>
  <c r="P117" i="1"/>
  <c r="O117" i="1"/>
  <c r="M117" i="1"/>
  <c r="N117" i="1"/>
  <c r="K117" i="1"/>
  <c r="Z146" i="1"/>
  <c r="V116" i="1"/>
  <c r="T116" i="1"/>
  <c r="J116" i="1"/>
  <c r="P116" i="1"/>
  <c r="O116" i="1"/>
  <c r="M116" i="1"/>
  <c r="N116" i="1"/>
  <c r="K116" i="1"/>
  <c r="Z145" i="1"/>
  <c r="V115" i="1"/>
  <c r="T115" i="1"/>
  <c r="J115" i="1"/>
  <c r="P115" i="1"/>
  <c r="O115" i="1"/>
  <c r="M115" i="1"/>
  <c r="N115" i="1"/>
  <c r="K115" i="1"/>
  <c r="R166" i="1"/>
  <c r="Z144" i="1"/>
  <c r="V114" i="1"/>
  <c r="T114" i="1"/>
  <c r="J114" i="1"/>
  <c r="P114" i="1"/>
  <c r="O114" i="1"/>
  <c r="M114" i="1"/>
  <c r="N114" i="1"/>
  <c r="K114" i="1"/>
  <c r="Z143" i="1"/>
  <c r="V113" i="1"/>
  <c r="T113" i="1"/>
  <c r="J113" i="1"/>
  <c r="P113" i="1"/>
  <c r="O113" i="1"/>
  <c r="M113" i="1"/>
  <c r="N113" i="1"/>
  <c r="K113" i="1"/>
  <c r="Z154" i="1"/>
  <c r="X165" i="1"/>
  <c r="V165" i="1"/>
  <c r="T165" i="1"/>
  <c r="R165" i="1"/>
  <c r="Q165" i="1"/>
  <c r="P165" i="1"/>
  <c r="J165" i="1"/>
  <c r="O165" i="1"/>
  <c r="N165" i="1"/>
  <c r="M165" i="1"/>
  <c r="K165" i="1"/>
  <c r="Z155" i="1"/>
  <c r="Q166" i="1"/>
  <c r="X166" i="1"/>
  <c r="V166" i="1"/>
  <c r="T166" i="1"/>
  <c r="J166" i="1"/>
  <c r="P166" i="1"/>
  <c r="O166" i="1"/>
  <c r="M166" i="1"/>
  <c r="N166" i="1"/>
  <c r="K166" i="1"/>
  <c r="R162" i="1"/>
  <c r="R163" i="1"/>
  <c r="R164" i="1"/>
  <c r="R243" i="1"/>
  <c r="Z255" i="1"/>
  <c r="Q243" i="1"/>
  <c r="X243" i="1"/>
  <c r="V243" i="1"/>
  <c r="T243" i="1"/>
  <c r="J243" i="1"/>
  <c r="P243" i="1"/>
  <c r="O243" i="1"/>
  <c r="M243" i="1"/>
  <c r="N243" i="1"/>
  <c r="K243" i="1"/>
  <c r="Z142" i="1"/>
  <c r="V112" i="1"/>
  <c r="T112" i="1"/>
  <c r="J112" i="1"/>
  <c r="P112" i="1"/>
  <c r="O112" i="1"/>
  <c r="M112" i="1"/>
  <c r="N112" i="1"/>
  <c r="K112" i="1"/>
  <c r="Z150" i="1"/>
  <c r="V120" i="1"/>
  <c r="T120" i="1"/>
  <c r="J120" i="1"/>
  <c r="P120" i="1"/>
  <c r="O120" i="1"/>
  <c r="M120" i="1"/>
  <c r="N120" i="1"/>
  <c r="K120" i="1"/>
  <c r="R188" i="1"/>
  <c r="R189" i="1"/>
  <c r="F25" i="2"/>
  <c r="D27" i="2"/>
  <c r="E27" i="2"/>
  <c r="F27" i="2"/>
  <c r="Z51" i="1"/>
  <c r="V51" i="1"/>
  <c r="T51" i="1"/>
  <c r="J51" i="1"/>
  <c r="P51" i="1"/>
  <c r="O51" i="1"/>
  <c r="M51" i="1"/>
  <c r="N51" i="1"/>
  <c r="K51" i="1"/>
  <c r="Z58" i="1"/>
  <c r="V58" i="1"/>
  <c r="T58" i="1"/>
  <c r="J58" i="1"/>
  <c r="P58" i="1"/>
  <c r="O58" i="1"/>
  <c r="M58" i="1"/>
  <c r="N58" i="1"/>
  <c r="K58" i="1"/>
  <c r="R246" i="1"/>
  <c r="R247" i="1"/>
  <c r="R248" i="1"/>
  <c r="R250" i="1"/>
  <c r="R251" i="1"/>
  <c r="R252" i="1"/>
  <c r="R253" i="1"/>
  <c r="R255" i="1"/>
  <c r="R256" i="1"/>
  <c r="R94" i="1"/>
  <c r="R95" i="1"/>
  <c r="R198" i="1"/>
  <c r="R199" i="1"/>
  <c r="R200" i="1"/>
  <c r="R12" i="1"/>
  <c r="R14" i="1"/>
  <c r="R106" i="1"/>
  <c r="R107" i="1"/>
  <c r="R108" i="1"/>
  <c r="R109" i="1"/>
  <c r="R196" i="1"/>
  <c r="R197" i="1"/>
  <c r="Z187" i="1"/>
  <c r="Q188" i="1"/>
  <c r="X188" i="1"/>
  <c r="V188" i="1"/>
  <c r="T188" i="1"/>
  <c r="J188" i="1"/>
  <c r="P188" i="1"/>
  <c r="O188" i="1"/>
  <c r="M188" i="1"/>
  <c r="N188" i="1"/>
  <c r="K188" i="1"/>
  <c r="Z188" i="1"/>
  <c r="Q189" i="1"/>
  <c r="X189" i="1"/>
  <c r="V189" i="1"/>
  <c r="T189" i="1"/>
  <c r="J189" i="1"/>
  <c r="P189" i="1"/>
  <c r="O189" i="1"/>
  <c r="M189" i="1"/>
  <c r="N189" i="1"/>
  <c r="K189" i="1"/>
  <c r="Z191" i="1"/>
  <c r="Q196" i="1"/>
  <c r="X196" i="1"/>
  <c r="V196" i="1"/>
  <c r="T196" i="1"/>
  <c r="J196" i="1"/>
  <c r="P196" i="1"/>
  <c r="O196" i="1"/>
  <c r="M196" i="1"/>
  <c r="N196" i="1"/>
  <c r="K196" i="1"/>
  <c r="Z94" i="1"/>
  <c r="Q94" i="1"/>
  <c r="X94" i="1"/>
  <c r="V94" i="1"/>
  <c r="T94" i="1"/>
  <c r="J94" i="1"/>
  <c r="P94" i="1"/>
  <c r="O94" i="1"/>
  <c r="M94" i="1"/>
  <c r="N94" i="1"/>
  <c r="K94" i="1"/>
  <c r="J10" i="2"/>
  <c r="P10" i="2"/>
  <c r="D10" i="2"/>
  <c r="K10" i="2"/>
  <c r="O10" i="2"/>
  <c r="M10" i="2"/>
  <c r="N10" i="2"/>
  <c r="H10" i="2"/>
  <c r="G10" i="2"/>
  <c r="F10" i="2"/>
  <c r="E10" i="2"/>
  <c r="Z12" i="1"/>
  <c r="Q12" i="1"/>
  <c r="X12" i="1"/>
  <c r="V12" i="1"/>
  <c r="T12" i="1"/>
  <c r="J12" i="1"/>
  <c r="P12" i="1"/>
  <c r="O12" i="1"/>
  <c r="M12" i="1"/>
  <c r="N12" i="1"/>
  <c r="K12" i="1"/>
  <c r="Z192" i="1"/>
  <c r="Q197" i="1"/>
  <c r="X197" i="1"/>
  <c r="V197" i="1"/>
  <c r="T197" i="1"/>
  <c r="J197" i="1"/>
  <c r="P197" i="1"/>
  <c r="O197" i="1"/>
  <c r="M197" i="1"/>
  <c r="N197" i="1"/>
  <c r="K197" i="1"/>
  <c r="Z95" i="1"/>
  <c r="Q95" i="1"/>
  <c r="X95" i="1"/>
  <c r="V95" i="1"/>
  <c r="T95" i="1"/>
  <c r="J95" i="1"/>
  <c r="P95" i="1"/>
  <c r="O95" i="1"/>
  <c r="M95" i="1"/>
  <c r="N95" i="1"/>
  <c r="K95" i="1"/>
  <c r="R232" i="1"/>
  <c r="R233" i="1"/>
  <c r="R234" i="1"/>
  <c r="R235" i="1"/>
  <c r="G19" i="2"/>
  <c r="G18" i="2"/>
  <c r="G16" i="2"/>
  <c r="G14" i="2"/>
  <c r="G13" i="2"/>
  <c r="G12" i="2"/>
  <c r="G9" i="2"/>
  <c r="G8" i="2"/>
  <c r="G7" i="2"/>
  <c r="G6" i="2"/>
  <c r="G4" i="2"/>
  <c r="G2" i="2"/>
  <c r="G3" i="2"/>
  <c r="R237" i="1"/>
  <c r="R48" i="1"/>
  <c r="R38" i="1"/>
  <c r="R7" i="1"/>
  <c r="R8" i="1"/>
  <c r="R39" i="1"/>
  <c r="R229" i="1"/>
  <c r="R230" i="1"/>
  <c r="Z227" i="1"/>
  <c r="Q235" i="1"/>
  <c r="X235" i="1"/>
  <c r="V235" i="1"/>
  <c r="T235" i="1"/>
  <c r="J235" i="1"/>
  <c r="P235" i="1"/>
  <c r="O235" i="1"/>
  <c r="M235" i="1"/>
  <c r="N235" i="1"/>
  <c r="K235" i="1"/>
  <c r="R260" i="1"/>
  <c r="R261" i="1"/>
  <c r="Z108" i="1"/>
  <c r="Q108" i="1"/>
  <c r="X108" i="1"/>
  <c r="V108" i="1"/>
  <c r="T108" i="1"/>
  <c r="J108" i="1"/>
  <c r="P108" i="1"/>
  <c r="O108" i="1"/>
  <c r="M108" i="1"/>
  <c r="N108" i="1"/>
  <c r="K108" i="1"/>
  <c r="Z106" i="1"/>
  <c r="Q106" i="1"/>
  <c r="X106" i="1"/>
  <c r="V106" i="1"/>
  <c r="T106" i="1"/>
  <c r="J106" i="1"/>
  <c r="P106" i="1"/>
  <c r="O106" i="1"/>
  <c r="M106" i="1"/>
  <c r="N106" i="1"/>
  <c r="K106" i="1"/>
  <c r="Z193" i="1"/>
  <c r="Q198" i="1"/>
  <c r="X198" i="1"/>
  <c r="V198" i="1"/>
  <c r="T198" i="1"/>
  <c r="J198" i="1"/>
  <c r="P198" i="1"/>
  <c r="O198" i="1"/>
  <c r="M198" i="1"/>
  <c r="N198" i="1"/>
  <c r="K198" i="1"/>
  <c r="Z245" i="1"/>
  <c r="Q255" i="1"/>
  <c r="X255" i="1"/>
  <c r="T255" i="1"/>
  <c r="J255" i="1"/>
  <c r="P255" i="1"/>
  <c r="O255" i="1"/>
  <c r="M255" i="1"/>
  <c r="N255" i="1"/>
  <c r="K255" i="1"/>
  <c r="R67" i="1"/>
  <c r="R68" i="1"/>
  <c r="R69" i="1"/>
  <c r="R70" i="1"/>
  <c r="R71" i="1"/>
  <c r="R72" i="1"/>
  <c r="R73" i="1"/>
  <c r="R74" i="1"/>
  <c r="Z222" i="1"/>
  <c r="Q229" i="1"/>
  <c r="X229" i="1"/>
  <c r="V229" i="1"/>
  <c r="T229" i="1"/>
  <c r="J229" i="1"/>
  <c r="P229" i="1"/>
  <c r="O229" i="1"/>
  <c r="M229" i="1"/>
  <c r="N229" i="1"/>
  <c r="K229" i="1"/>
  <c r="Z223" i="1"/>
  <c r="Q230" i="1"/>
  <c r="X230" i="1"/>
  <c r="V230" i="1"/>
  <c r="T230" i="1"/>
  <c r="J230" i="1"/>
  <c r="P230" i="1"/>
  <c r="O230" i="1"/>
  <c r="M230" i="1"/>
  <c r="N230" i="1"/>
  <c r="K230" i="1"/>
  <c r="R186" i="1"/>
  <c r="R187" i="1"/>
  <c r="H305" i="1"/>
  <c r="M260" i="1"/>
  <c r="N260" i="1"/>
  <c r="M261" i="1"/>
  <c r="N261" i="1"/>
  <c r="H304" i="1"/>
  <c r="M246" i="1"/>
  <c r="N246" i="1"/>
  <c r="M247" i="1"/>
  <c r="N247" i="1"/>
  <c r="M248" i="1"/>
  <c r="N248" i="1"/>
  <c r="M250" i="1"/>
  <c r="N250" i="1"/>
  <c r="N3" i="1"/>
  <c r="N4" i="1"/>
  <c r="N5" i="1"/>
  <c r="N15" i="1"/>
  <c r="N30" i="1"/>
  <c r="N31" i="1"/>
  <c r="N32" i="1"/>
  <c r="N33" i="1"/>
  <c r="N11" i="1"/>
  <c r="N40" i="1"/>
  <c r="N13" i="1"/>
  <c r="N44" i="1"/>
  <c r="N80" i="1"/>
  <c r="N81" i="1"/>
  <c r="N82" i="1"/>
  <c r="N83" i="1"/>
  <c r="N6" i="1"/>
  <c r="N84" i="1"/>
  <c r="M7" i="1"/>
  <c r="N7" i="1"/>
  <c r="M8" i="1"/>
  <c r="N8" i="1"/>
  <c r="M14" i="1"/>
  <c r="N14" i="1"/>
  <c r="N9" i="1"/>
  <c r="N10" i="1"/>
  <c r="N34" i="1"/>
  <c r="N35" i="1"/>
  <c r="N41" i="1"/>
  <c r="N36" i="1"/>
  <c r="N37" i="1"/>
  <c r="N42" i="1"/>
  <c r="N43" i="1"/>
  <c r="N45" i="1"/>
  <c r="N59" i="1"/>
  <c r="N60" i="1"/>
  <c r="N61" i="1"/>
  <c r="N62" i="1"/>
  <c r="N63" i="1"/>
  <c r="N64" i="1"/>
  <c r="N65" i="1"/>
  <c r="N66" i="1"/>
  <c r="N85" i="1"/>
  <c r="N86" i="1"/>
  <c r="N87" i="1"/>
  <c r="N88" i="1"/>
  <c r="N98" i="1"/>
  <c r="N89" i="1"/>
  <c r="N90" i="1"/>
  <c r="N91" i="1"/>
  <c r="N92" i="1"/>
  <c r="N99" i="1"/>
  <c r="N93" i="1"/>
  <c r="N100" i="1"/>
  <c r="N101" i="1"/>
  <c r="N102" i="1"/>
  <c r="N103" i="1"/>
  <c r="N104" i="1"/>
  <c r="N79" i="1"/>
  <c r="N105" i="1"/>
  <c r="N129" i="1"/>
  <c r="N130" i="1"/>
  <c r="N131" i="1"/>
  <c r="N46" i="1"/>
  <c r="N47" i="1"/>
  <c r="N49" i="1"/>
  <c r="N50" i="1"/>
  <c r="M38" i="1"/>
  <c r="N38" i="1"/>
  <c r="M39" i="1"/>
  <c r="N39" i="1"/>
  <c r="M48" i="1"/>
  <c r="N48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N77" i="1"/>
  <c r="N78" i="1"/>
  <c r="M107" i="1"/>
  <c r="N107" i="1"/>
  <c r="M109" i="1"/>
  <c r="N109" i="1"/>
  <c r="N125" i="1"/>
  <c r="N126" i="1"/>
  <c r="N75" i="1"/>
  <c r="N76" i="1"/>
  <c r="N110" i="1"/>
  <c r="N111" i="1"/>
  <c r="N127" i="1"/>
  <c r="N128" i="1"/>
  <c r="N155" i="1"/>
  <c r="N156" i="1"/>
  <c r="N158" i="1"/>
  <c r="N159" i="1"/>
  <c r="N160" i="1"/>
  <c r="N161" i="1"/>
  <c r="N132" i="1"/>
  <c r="N96" i="1"/>
  <c r="N97" i="1"/>
  <c r="M162" i="1"/>
  <c r="N162" i="1"/>
  <c r="M163" i="1"/>
  <c r="N163" i="1"/>
  <c r="M164" i="1"/>
  <c r="N164" i="1"/>
  <c r="M157" i="1"/>
  <c r="N157" i="1"/>
  <c r="M168" i="1"/>
  <c r="N168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M173" i="1"/>
  <c r="N173" i="1"/>
  <c r="M174" i="1"/>
  <c r="N174" i="1"/>
  <c r="N175" i="1"/>
  <c r="M176" i="1"/>
  <c r="N176" i="1"/>
  <c r="N177" i="1"/>
  <c r="M178" i="1"/>
  <c r="N178" i="1"/>
  <c r="N179" i="1"/>
  <c r="M180" i="1"/>
  <c r="N180" i="1"/>
  <c r="N181" i="1"/>
  <c r="N185" i="1"/>
  <c r="N194" i="1"/>
  <c r="N195" i="1"/>
  <c r="N201" i="1"/>
  <c r="N202" i="1"/>
  <c r="N203" i="1"/>
  <c r="N204" i="1"/>
  <c r="N205" i="1"/>
  <c r="N206" i="1"/>
  <c r="N207" i="1"/>
  <c r="N208" i="1"/>
  <c r="N209" i="1"/>
  <c r="N210" i="1"/>
  <c r="N221" i="1"/>
  <c r="N222" i="1"/>
  <c r="N223" i="1"/>
  <c r="N224" i="1"/>
  <c r="N225" i="1"/>
  <c r="N226" i="1"/>
  <c r="N236" i="1"/>
  <c r="N244" i="1"/>
  <c r="N245" i="1"/>
  <c r="N211" i="1"/>
  <c r="N212" i="1"/>
  <c r="N213" i="1"/>
  <c r="N214" i="1"/>
  <c r="N215" i="1"/>
  <c r="N182" i="1"/>
  <c r="N183" i="1"/>
  <c r="M186" i="1"/>
  <c r="N186" i="1"/>
  <c r="M187" i="1"/>
  <c r="N187" i="1"/>
  <c r="M199" i="1"/>
  <c r="N199" i="1"/>
  <c r="M200" i="1"/>
  <c r="N200" i="1"/>
  <c r="M232" i="1"/>
  <c r="N232" i="1"/>
  <c r="N227" i="1"/>
  <c r="N228" i="1"/>
  <c r="M233" i="1"/>
  <c r="N233" i="1"/>
  <c r="M234" i="1"/>
  <c r="N234" i="1"/>
  <c r="M237" i="1"/>
  <c r="N237" i="1"/>
  <c r="N238" i="1"/>
  <c r="N239" i="1"/>
  <c r="N240" i="1"/>
  <c r="N241" i="1"/>
  <c r="N242" i="1"/>
  <c r="M251" i="1"/>
  <c r="N251" i="1"/>
  <c r="M252" i="1"/>
  <c r="N252" i="1"/>
  <c r="M253" i="1"/>
  <c r="N253" i="1"/>
  <c r="N254" i="1"/>
  <c r="M256" i="1"/>
  <c r="N256" i="1"/>
  <c r="N257" i="1"/>
  <c r="N258" i="1"/>
  <c r="N249" i="1"/>
  <c r="N262" i="1"/>
  <c r="N263" i="1"/>
  <c r="N267" i="1"/>
  <c r="H303" i="1"/>
  <c r="H302" i="1"/>
  <c r="H301" i="1"/>
  <c r="H300" i="1"/>
  <c r="H299" i="1"/>
  <c r="H298" i="1"/>
  <c r="H297" i="1"/>
  <c r="H296" i="1"/>
  <c r="J38" i="1"/>
  <c r="J39" i="1"/>
  <c r="Z34" i="1"/>
  <c r="Q38" i="1"/>
  <c r="X38" i="1"/>
  <c r="V38" i="1"/>
  <c r="T38" i="1"/>
  <c r="P38" i="1"/>
  <c r="O38" i="1"/>
  <c r="K38" i="1"/>
  <c r="Z35" i="1"/>
  <c r="Q39" i="1"/>
  <c r="X39" i="1"/>
  <c r="V39" i="1"/>
  <c r="T39" i="1"/>
  <c r="P39" i="1"/>
  <c r="O39" i="1"/>
  <c r="K39" i="1"/>
  <c r="Z44" i="1"/>
  <c r="Q48" i="1"/>
  <c r="X48" i="1"/>
  <c r="V48" i="1"/>
  <c r="T48" i="1"/>
  <c r="J48" i="1"/>
  <c r="P48" i="1"/>
  <c r="O48" i="1"/>
  <c r="K48" i="1"/>
  <c r="Z152" i="1"/>
  <c r="Q163" i="1"/>
  <c r="X163" i="1"/>
  <c r="V163" i="1"/>
  <c r="T163" i="1"/>
  <c r="J163" i="1"/>
  <c r="P163" i="1"/>
  <c r="O163" i="1"/>
  <c r="K163" i="1"/>
  <c r="Z153" i="1"/>
  <c r="Q164" i="1"/>
  <c r="X164" i="1"/>
  <c r="V164" i="1"/>
  <c r="T164" i="1"/>
  <c r="J164" i="1"/>
  <c r="P164" i="1"/>
  <c r="O164" i="1"/>
  <c r="K164" i="1"/>
  <c r="J232" i="1"/>
  <c r="J233" i="1"/>
  <c r="J234" i="1"/>
  <c r="J237" i="1"/>
  <c r="J246" i="1"/>
  <c r="J247" i="1"/>
  <c r="J248" i="1"/>
  <c r="J250" i="1"/>
  <c r="J3" i="1"/>
  <c r="J4" i="1"/>
  <c r="J5" i="1"/>
  <c r="J15" i="1"/>
  <c r="J30" i="1"/>
  <c r="J31" i="1"/>
  <c r="J32" i="1"/>
  <c r="J33" i="1"/>
  <c r="J11" i="1"/>
  <c r="J40" i="1"/>
  <c r="J13" i="1"/>
  <c r="J44" i="1"/>
  <c r="J80" i="1"/>
  <c r="J81" i="1"/>
  <c r="J82" i="1"/>
  <c r="J83" i="1"/>
  <c r="J6" i="1"/>
  <c r="J84" i="1"/>
  <c r="J7" i="1"/>
  <c r="J8" i="1"/>
  <c r="J14" i="1"/>
  <c r="J9" i="1"/>
  <c r="J10" i="1"/>
  <c r="J34" i="1"/>
  <c r="J35" i="1"/>
  <c r="J41" i="1"/>
  <c r="J36" i="1"/>
  <c r="J37" i="1"/>
  <c r="J42" i="1"/>
  <c r="J43" i="1"/>
  <c r="J45" i="1"/>
  <c r="J59" i="1"/>
  <c r="J60" i="1"/>
  <c r="J61" i="1"/>
  <c r="J62" i="1"/>
  <c r="J63" i="1"/>
  <c r="J64" i="1"/>
  <c r="J65" i="1"/>
  <c r="J66" i="1"/>
  <c r="J85" i="1"/>
  <c r="J86" i="1"/>
  <c r="J87" i="1"/>
  <c r="J88" i="1"/>
  <c r="J98" i="1"/>
  <c r="J89" i="1"/>
  <c r="J90" i="1"/>
  <c r="J91" i="1"/>
  <c r="J92" i="1"/>
  <c r="J99" i="1"/>
  <c r="J93" i="1"/>
  <c r="J100" i="1"/>
  <c r="J101" i="1"/>
  <c r="J102" i="1"/>
  <c r="J103" i="1"/>
  <c r="J104" i="1"/>
  <c r="J79" i="1"/>
  <c r="J105" i="1"/>
  <c r="J129" i="1"/>
  <c r="J130" i="1"/>
  <c r="J131" i="1"/>
  <c r="J46" i="1"/>
  <c r="J47" i="1"/>
  <c r="J49" i="1"/>
  <c r="J50" i="1"/>
  <c r="J67" i="1"/>
  <c r="J68" i="1"/>
  <c r="J69" i="1"/>
  <c r="J70" i="1"/>
  <c r="J71" i="1"/>
  <c r="J72" i="1"/>
  <c r="J73" i="1"/>
  <c r="J74" i="1"/>
  <c r="J77" i="1"/>
  <c r="J78" i="1"/>
  <c r="J107" i="1"/>
  <c r="J109" i="1"/>
  <c r="J125" i="1"/>
  <c r="J126" i="1"/>
  <c r="J75" i="1"/>
  <c r="J76" i="1"/>
  <c r="J110" i="1"/>
  <c r="J111" i="1"/>
  <c r="J127" i="1"/>
  <c r="J128" i="1"/>
  <c r="I155" i="1"/>
  <c r="J155" i="1"/>
  <c r="I156" i="1"/>
  <c r="J156" i="1"/>
  <c r="I158" i="1"/>
  <c r="J158" i="1"/>
  <c r="I159" i="1"/>
  <c r="J159" i="1"/>
  <c r="J160" i="1"/>
  <c r="J161" i="1"/>
  <c r="J132" i="1"/>
  <c r="J96" i="1"/>
  <c r="J97" i="1"/>
  <c r="J162" i="1"/>
  <c r="J157" i="1"/>
  <c r="I168" i="1"/>
  <c r="J168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J180" i="1"/>
  <c r="J181" i="1"/>
  <c r="J185" i="1"/>
  <c r="J194" i="1"/>
  <c r="J195" i="1"/>
  <c r="J201" i="1"/>
  <c r="J202" i="1"/>
  <c r="J203" i="1"/>
  <c r="J204" i="1"/>
  <c r="J205" i="1"/>
  <c r="J206" i="1"/>
  <c r="J207" i="1"/>
  <c r="J208" i="1"/>
  <c r="J209" i="1"/>
  <c r="J210" i="1"/>
  <c r="J221" i="1"/>
  <c r="J222" i="1"/>
  <c r="J223" i="1"/>
  <c r="J224" i="1"/>
  <c r="J225" i="1"/>
  <c r="J226" i="1"/>
  <c r="J236" i="1"/>
  <c r="J244" i="1"/>
  <c r="J245" i="1"/>
  <c r="J211" i="1"/>
  <c r="J212" i="1"/>
  <c r="J213" i="1"/>
  <c r="J214" i="1"/>
  <c r="J215" i="1"/>
  <c r="J182" i="1"/>
  <c r="J183" i="1"/>
  <c r="J186" i="1"/>
  <c r="J187" i="1"/>
  <c r="J199" i="1"/>
  <c r="J200" i="1"/>
  <c r="J227" i="1"/>
  <c r="J228" i="1"/>
  <c r="J238" i="1"/>
  <c r="J239" i="1"/>
  <c r="J240" i="1"/>
  <c r="J241" i="1"/>
  <c r="J242" i="1"/>
  <c r="J251" i="1"/>
  <c r="J253" i="1"/>
  <c r="J254" i="1"/>
  <c r="J256" i="1"/>
  <c r="J257" i="1"/>
  <c r="J258" i="1"/>
  <c r="J249" i="1"/>
  <c r="J262" i="1"/>
  <c r="J263" i="1"/>
  <c r="J260" i="1"/>
  <c r="J261" i="1"/>
  <c r="J267" i="1"/>
  <c r="J268" i="1"/>
  <c r="J269" i="1"/>
  <c r="J270" i="1"/>
  <c r="J271" i="1"/>
  <c r="K16" i="2"/>
  <c r="D16" i="2"/>
  <c r="M16" i="2"/>
  <c r="W294" i="1"/>
  <c r="S294" i="1"/>
  <c r="W293" i="1"/>
  <c r="S293" i="1"/>
  <c r="Z250" i="1"/>
  <c r="Q260" i="1"/>
  <c r="X260" i="1"/>
  <c r="V260" i="1"/>
  <c r="T260" i="1"/>
  <c r="P260" i="1"/>
  <c r="O260" i="1"/>
  <c r="K260" i="1"/>
  <c r="Z251" i="1"/>
  <c r="Q261" i="1"/>
  <c r="X261" i="1"/>
  <c r="V261" i="1"/>
  <c r="T261" i="1"/>
  <c r="P261" i="1"/>
  <c r="O261" i="1"/>
  <c r="K261" i="1"/>
  <c r="Z178" i="1"/>
  <c r="Q178" i="1"/>
  <c r="X178" i="1"/>
  <c r="V178" i="1"/>
  <c r="T178" i="1"/>
  <c r="P178" i="1"/>
  <c r="O178" i="1"/>
  <c r="K178" i="1"/>
  <c r="Z180" i="1"/>
  <c r="Q180" i="1"/>
  <c r="X180" i="1"/>
  <c r="V180" i="1"/>
  <c r="T180" i="1"/>
  <c r="P180" i="1"/>
  <c r="O180" i="1"/>
  <c r="K180" i="1"/>
  <c r="Z176" i="1"/>
  <c r="Q176" i="1"/>
  <c r="X176" i="1"/>
  <c r="V176" i="1"/>
  <c r="T176" i="1"/>
  <c r="P176" i="1"/>
  <c r="O176" i="1"/>
  <c r="K176" i="1"/>
  <c r="Z174" i="1"/>
  <c r="Q174" i="1"/>
  <c r="X174" i="1"/>
  <c r="V174" i="1"/>
  <c r="T174" i="1"/>
  <c r="P174" i="1"/>
  <c r="O174" i="1"/>
  <c r="K174" i="1"/>
  <c r="R49" i="1"/>
  <c r="R50" i="1"/>
  <c r="R175" i="1"/>
  <c r="R177" i="1"/>
  <c r="R179" i="1"/>
  <c r="R181" i="1"/>
  <c r="J19" i="2"/>
  <c r="P19" i="2"/>
  <c r="J18" i="2"/>
  <c r="P18" i="2"/>
  <c r="J16" i="2"/>
  <c r="P16" i="2"/>
  <c r="J14" i="2"/>
  <c r="P14" i="2"/>
  <c r="J13" i="2"/>
  <c r="P13" i="2"/>
  <c r="J12" i="2"/>
  <c r="P12" i="2"/>
  <c r="J9" i="2"/>
  <c r="P9" i="2"/>
  <c r="J8" i="2"/>
  <c r="P8" i="2"/>
  <c r="J7" i="2"/>
  <c r="P7" i="2"/>
  <c r="J6" i="2"/>
  <c r="P6" i="2"/>
  <c r="J4" i="2"/>
  <c r="P4" i="2"/>
  <c r="J3" i="2"/>
  <c r="P3" i="2"/>
  <c r="J2" i="2"/>
  <c r="P2" i="2"/>
  <c r="R238" i="1"/>
  <c r="R239" i="1"/>
  <c r="R240" i="1"/>
  <c r="R241" i="1"/>
  <c r="Z8" i="1"/>
  <c r="Q8" i="1"/>
  <c r="X8" i="1"/>
  <c r="V8" i="1"/>
  <c r="T8" i="1"/>
  <c r="P8" i="1"/>
  <c r="O8" i="1"/>
  <c r="K8" i="1"/>
  <c r="Z158" i="1"/>
  <c r="Z173" i="1"/>
  <c r="Z175" i="1"/>
  <c r="Z177" i="1"/>
  <c r="Z179" i="1"/>
  <c r="Z181" i="1"/>
  <c r="Z231" i="1"/>
  <c r="Z230" i="1"/>
  <c r="Z194" i="1"/>
  <c r="Z195" i="1"/>
  <c r="Z7" i="1"/>
  <c r="Z14" i="1"/>
  <c r="Z45" i="1"/>
  <c r="Z46" i="1"/>
  <c r="Z67" i="1"/>
  <c r="Z68" i="1"/>
  <c r="Z69" i="1"/>
  <c r="Z70" i="1"/>
  <c r="Z71" i="1"/>
  <c r="Z72" i="1"/>
  <c r="Z73" i="1"/>
  <c r="Z74" i="1"/>
  <c r="Z107" i="1"/>
  <c r="Z109" i="1"/>
  <c r="Z151" i="1"/>
  <c r="Z157" i="1"/>
  <c r="Z182" i="1"/>
  <c r="Z183" i="1"/>
  <c r="Z185" i="1"/>
  <c r="Z186" i="1"/>
  <c r="Z224" i="1"/>
  <c r="Z225" i="1"/>
  <c r="Z226" i="1"/>
  <c r="Z229" i="1"/>
  <c r="Z232" i="1"/>
  <c r="Z233" i="1"/>
  <c r="Z237" i="1"/>
  <c r="Z238" i="1"/>
  <c r="Z239" i="1"/>
  <c r="Z240" i="1"/>
  <c r="Z241" i="1"/>
  <c r="Z242" i="1"/>
  <c r="Z243" i="1"/>
  <c r="Z246" i="1"/>
  <c r="Z281" i="1"/>
  <c r="Q234" i="1"/>
  <c r="X234" i="1"/>
  <c r="V234" i="1"/>
  <c r="T234" i="1"/>
  <c r="P234" i="1"/>
  <c r="O234" i="1"/>
  <c r="K234" i="1"/>
  <c r="Q233" i="1"/>
  <c r="X233" i="1"/>
  <c r="V233" i="1"/>
  <c r="T233" i="1"/>
  <c r="P233" i="1"/>
  <c r="O233" i="1"/>
  <c r="K233" i="1"/>
  <c r="R182" i="1"/>
  <c r="Q182" i="1"/>
  <c r="X182" i="1"/>
  <c r="V182" i="1"/>
  <c r="T182" i="1"/>
  <c r="P182" i="1"/>
  <c r="O182" i="1"/>
  <c r="M182" i="1"/>
  <c r="K182" i="1"/>
  <c r="R183" i="1"/>
  <c r="Q183" i="1"/>
  <c r="X183" i="1"/>
  <c r="V183" i="1"/>
  <c r="T183" i="1"/>
  <c r="P183" i="1"/>
  <c r="O183" i="1"/>
  <c r="M183" i="1"/>
  <c r="K183" i="1"/>
  <c r="Q186" i="1"/>
  <c r="X186" i="1"/>
  <c r="V186" i="1"/>
  <c r="T186" i="1"/>
  <c r="P186" i="1"/>
  <c r="O186" i="1"/>
  <c r="K186" i="1"/>
  <c r="Q240" i="1"/>
  <c r="X240" i="1"/>
  <c r="V240" i="1"/>
  <c r="T240" i="1"/>
  <c r="P240" i="1"/>
  <c r="O240" i="1"/>
  <c r="M240" i="1"/>
  <c r="K240" i="1"/>
  <c r="Q239" i="1"/>
  <c r="X239" i="1"/>
  <c r="V239" i="1"/>
  <c r="T239" i="1"/>
  <c r="P239" i="1"/>
  <c r="O239" i="1"/>
  <c r="M239" i="1"/>
  <c r="K239" i="1"/>
  <c r="Q187" i="1"/>
  <c r="X187" i="1"/>
  <c r="V187" i="1"/>
  <c r="T187" i="1"/>
  <c r="P187" i="1"/>
  <c r="O187" i="1"/>
  <c r="K187" i="1"/>
  <c r="D9" i="2"/>
  <c r="K9" i="2"/>
  <c r="O9" i="2"/>
  <c r="M9" i="2"/>
  <c r="N9" i="2"/>
  <c r="H9" i="2"/>
  <c r="F9" i="2"/>
  <c r="E9" i="2"/>
  <c r="Q162" i="1"/>
  <c r="X162" i="1"/>
  <c r="V162" i="1"/>
  <c r="T162" i="1"/>
  <c r="P162" i="1"/>
  <c r="O162" i="1"/>
  <c r="K162" i="1"/>
  <c r="Q157" i="1"/>
  <c r="X157" i="1"/>
  <c r="V157" i="1"/>
  <c r="T157" i="1"/>
  <c r="P157" i="1"/>
  <c r="O157" i="1"/>
  <c r="K157" i="1"/>
  <c r="Q73" i="1"/>
  <c r="X73" i="1"/>
  <c r="V73" i="1"/>
  <c r="T73" i="1"/>
  <c r="P73" i="1"/>
  <c r="O73" i="1"/>
  <c r="K73" i="1"/>
  <c r="Q72" i="1"/>
  <c r="X72" i="1"/>
  <c r="V72" i="1"/>
  <c r="T72" i="1"/>
  <c r="P72" i="1"/>
  <c r="O72" i="1"/>
  <c r="K72" i="1"/>
  <c r="D19" i="2"/>
  <c r="K19" i="2"/>
  <c r="O19" i="2"/>
  <c r="D18" i="2"/>
  <c r="K18" i="2"/>
  <c r="O18" i="2"/>
  <c r="O16" i="2"/>
  <c r="D14" i="2"/>
  <c r="K14" i="2"/>
  <c r="O14" i="2"/>
  <c r="D13" i="2"/>
  <c r="K13" i="2"/>
  <c r="O13" i="2"/>
  <c r="D12" i="2"/>
  <c r="K12" i="2"/>
  <c r="O12" i="2"/>
  <c r="D8" i="2"/>
  <c r="K8" i="2"/>
  <c r="O8" i="2"/>
  <c r="D7" i="2"/>
  <c r="K7" i="2"/>
  <c r="O7" i="2"/>
  <c r="D6" i="2"/>
  <c r="K6" i="2"/>
  <c r="O6" i="2"/>
  <c r="D4" i="2"/>
  <c r="K4" i="2"/>
  <c r="O4" i="2"/>
  <c r="D3" i="2"/>
  <c r="K3" i="2"/>
  <c r="O3" i="2"/>
  <c r="D2" i="2"/>
  <c r="K2" i="2"/>
  <c r="O2" i="2"/>
  <c r="R9" i="1"/>
  <c r="R43" i="1"/>
  <c r="R10" i="1"/>
  <c r="R42" i="1"/>
  <c r="R254" i="1"/>
  <c r="R257" i="1"/>
  <c r="R258" i="1"/>
  <c r="G292" i="1"/>
  <c r="F292" i="1"/>
  <c r="I292" i="1"/>
  <c r="G293" i="1"/>
  <c r="F293" i="1"/>
  <c r="I293" i="1"/>
  <c r="G294" i="1"/>
  <c r="F294" i="1"/>
  <c r="I294" i="1"/>
  <c r="G295" i="1"/>
  <c r="F295" i="1"/>
  <c r="I295" i="1"/>
  <c r="G296" i="1"/>
  <c r="F296" i="1"/>
  <c r="I296" i="1"/>
  <c r="G297" i="1"/>
  <c r="F297" i="1"/>
  <c r="I297" i="1"/>
  <c r="G298" i="1"/>
  <c r="F298" i="1"/>
  <c r="I298" i="1"/>
  <c r="G299" i="1"/>
  <c r="F299" i="1"/>
  <c r="I299" i="1"/>
  <c r="G300" i="1"/>
  <c r="F300" i="1"/>
  <c r="I300" i="1"/>
  <c r="G301" i="1"/>
  <c r="F301" i="1"/>
  <c r="I301" i="1"/>
  <c r="G302" i="1"/>
  <c r="F302" i="1"/>
  <c r="I302" i="1"/>
  <c r="G303" i="1"/>
  <c r="F303" i="1"/>
  <c r="I303" i="1"/>
  <c r="G304" i="1"/>
  <c r="F304" i="1"/>
  <c r="I304" i="1"/>
  <c r="G305" i="1"/>
  <c r="I305" i="1"/>
  <c r="I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M175" i="1"/>
  <c r="M177" i="1"/>
  <c r="M49" i="1"/>
  <c r="M50" i="1"/>
  <c r="M179" i="1"/>
  <c r="M181" i="1"/>
  <c r="M238" i="1"/>
  <c r="M241" i="1"/>
  <c r="Q49" i="1"/>
  <c r="X49" i="1"/>
  <c r="V49" i="1"/>
  <c r="T49" i="1"/>
  <c r="P49" i="1"/>
  <c r="O49" i="1"/>
  <c r="K49" i="1"/>
  <c r="Q50" i="1"/>
  <c r="X50" i="1"/>
  <c r="V50" i="1"/>
  <c r="T50" i="1"/>
  <c r="P50" i="1"/>
  <c r="O50" i="1"/>
  <c r="K50" i="1"/>
  <c r="X47" i="1"/>
  <c r="V47" i="1"/>
  <c r="T47" i="1"/>
  <c r="R47" i="1"/>
  <c r="Q47" i="1"/>
  <c r="P47" i="1"/>
  <c r="O47" i="1"/>
  <c r="M47" i="1"/>
  <c r="K47" i="1"/>
  <c r="R125" i="1"/>
  <c r="R126" i="1"/>
  <c r="M19" i="2"/>
  <c r="N19" i="2"/>
  <c r="M18" i="2"/>
  <c r="N18" i="2"/>
  <c r="N16" i="2"/>
  <c r="M14" i="2"/>
  <c r="N14" i="2"/>
  <c r="M13" i="2"/>
  <c r="N13" i="2"/>
  <c r="M12" i="2"/>
  <c r="N12" i="2"/>
  <c r="M8" i="2"/>
  <c r="N8" i="2"/>
  <c r="M7" i="2"/>
  <c r="N7" i="2"/>
  <c r="M6" i="2"/>
  <c r="N6" i="2"/>
  <c r="M4" i="2"/>
  <c r="N4" i="2"/>
  <c r="M3" i="2"/>
  <c r="N3" i="2"/>
  <c r="M2" i="2"/>
  <c r="N2" i="2"/>
  <c r="F14" i="2"/>
  <c r="Q238" i="1"/>
  <c r="X238" i="1"/>
  <c r="V238" i="1"/>
  <c r="T238" i="1"/>
  <c r="P238" i="1"/>
  <c r="O238" i="1"/>
  <c r="K238" i="1"/>
  <c r="Q237" i="1"/>
  <c r="X237" i="1"/>
  <c r="V237" i="1"/>
  <c r="T237" i="1"/>
  <c r="P237" i="1"/>
  <c r="O237" i="1"/>
  <c r="K237" i="1"/>
  <c r="E283" i="1"/>
  <c r="Q107" i="1"/>
  <c r="X107" i="1"/>
  <c r="V107" i="1"/>
  <c r="T107" i="1"/>
  <c r="P107" i="1"/>
  <c r="O107" i="1"/>
  <c r="K107" i="1"/>
  <c r="Q109" i="1"/>
  <c r="X109" i="1"/>
  <c r="V109" i="1"/>
  <c r="T109" i="1"/>
  <c r="P109" i="1"/>
  <c r="O109" i="1"/>
  <c r="K109" i="1"/>
  <c r="R77" i="1"/>
  <c r="R78" i="1"/>
  <c r="Q125" i="1"/>
  <c r="X125" i="1"/>
  <c r="V125" i="1"/>
  <c r="T125" i="1"/>
  <c r="P125" i="1"/>
  <c r="O125" i="1"/>
  <c r="M125" i="1"/>
  <c r="K125" i="1"/>
  <c r="Q78" i="1"/>
  <c r="X78" i="1"/>
  <c r="V78" i="1"/>
  <c r="T78" i="1"/>
  <c r="P78" i="1"/>
  <c r="O78" i="1"/>
  <c r="M78" i="1"/>
  <c r="K78" i="1"/>
  <c r="E12" i="2"/>
  <c r="F12" i="2"/>
  <c r="H12" i="2"/>
  <c r="E13" i="2"/>
  <c r="F13" i="2"/>
  <c r="H13" i="2"/>
  <c r="E14" i="2"/>
  <c r="H14" i="2"/>
  <c r="E16" i="2"/>
  <c r="F16" i="2"/>
  <c r="H16" i="2"/>
  <c r="E18" i="2"/>
  <c r="F18" i="2"/>
  <c r="H18" i="2"/>
  <c r="Q199" i="1"/>
  <c r="X199" i="1"/>
  <c r="V199" i="1"/>
  <c r="T199" i="1"/>
  <c r="P199" i="1"/>
  <c r="O199" i="1"/>
  <c r="K199" i="1"/>
  <c r="Q200" i="1"/>
  <c r="X200" i="1"/>
  <c r="V200" i="1"/>
  <c r="T200" i="1"/>
  <c r="P200" i="1"/>
  <c r="O200" i="1"/>
  <c r="K200" i="1"/>
  <c r="G307" i="1"/>
  <c r="Q68" i="1"/>
  <c r="X68" i="1"/>
  <c r="V68" i="1"/>
  <c r="T68" i="1"/>
  <c r="P68" i="1"/>
  <c r="O68" i="1"/>
  <c r="K68" i="1"/>
  <c r="Q71" i="1"/>
  <c r="X71" i="1"/>
  <c r="V71" i="1"/>
  <c r="T71" i="1"/>
  <c r="P71" i="1"/>
  <c r="O71" i="1"/>
  <c r="K71" i="1"/>
  <c r="Q70" i="1"/>
  <c r="X70" i="1"/>
  <c r="V70" i="1"/>
  <c r="T70" i="1"/>
  <c r="P70" i="1"/>
  <c r="O70" i="1"/>
  <c r="K70" i="1"/>
  <c r="Q67" i="1"/>
  <c r="X67" i="1"/>
  <c r="V67" i="1"/>
  <c r="T67" i="1"/>
  <c r="P67" i="1"/>
  <c r="O67" i="1"/>
  <c r="K67" i="1"/>
  <c r="R36" i="1"/>
  <c r="R37" i="1"/>
  <c r="R46" i="1"/>
  <c r="E21" i="2"/>
  <c r="H19" i="2"/>
  <c r="H8" i="2"/>
  <c r="H7" i="2"/>
  <c r="H6" i="2"/>
  <c r="H4" i="2"/>
  <c r="H3" i="2"/>
  <c r="H2" i="2"/>
  <c r="R96" i="1"/>
  <c r="R97" i="1"/>
  <c r="R6" i="1"/>
  <c r="E8" i="2"/>
  <c r="F8" i="2"/>
  <c r="Q96" i="1"/>
  <c r="X96" i="1"/>
  <c r="V96" i="1"/>
  <c r="T96" i="1"/>
  <c r="P96" i="1"/>
  <c r="O96" i="1"/>
  <c r="M96" i="1"/>
  <c r="K96" i="1"/>
  <c r="Q97" i="1"/>
  <c r="X97" i="1"/>
  <c r="V97" i="1"/>
  <c r="T97" i="1"/>
  <c r="P97" i="1"/>
  <c r="O97" i="1"/>
  <c r="M97" i="1"/>
  <c r="K97" i="1"/>
  <c r="Q77" i="1"/>
  <c r="X77" i="1"/>
  <c r="V77" i="1"/>
  <c r="T77" i="1"/>
  <c r="P77" i="1"/>
  <c r="O77" i="1"/>
  <c r="M77" i="1"/>
  <c r="K77" i="1"/>
  <c r="Q69" i="1"/>
  <c r="X69" i="1"/>
  <c r="V69" i="1"/>
  <c r="T69" i="1"/>
  <c r="P69" i="1"/>
  <c r="O69" i="1"/>
  <c r="K69" i="1"/>
  <c r="Q74" i="1"/>
  <c r="X74" i="1"/>
  <c r="V74" i="1"/>
  <c r="T74" i="1"/>
  <c r="P74" i="1"/>
  <c r="O74" i="1"/>
  <c r="K74" i="1"/>
  <c r="M126" i="1"/>
  <c r="Q46" i="1"/>
  <c r="X46" i="1"/>
  <c r="V46" i="1"/>
  <c r="T46" i="1"/>
  <c r="P46" i="1"/>
  <c r="O46" i="1"/>
  <c r="M46" i="1"/>
  <c r="K46" i="1"/>
  <c r="R242" i="1"/>
  <c r="R110" i="1"/>
  <c r="R111" i="1"/>
  <c r="R127" i="1"/>
  <c r="R128" i="1"/>
  <c r="E6" i="2"/>
  <c r="F6" i="2"/>
  <c r="E7" i="2"/>
  <c r="F7" i="2"/>
  <c r="Q36" i="1"/>
  <c r="X36" i="1"/>
  <c r="V36" i="1"/>
  <c r="T36" i="1"/>
  <c r="P36" i="1"/>
  <c r="O36" i="1"/>
  <c r="M36" i="1"/>
  <c r="K36" i="1"/>
  <c r="K37" i="1"/>
  <c r="M37" i="1"/>
  <c r="O37" i="1"/>
  <c r="P37" i="1"/>
  <c r="Q37" i="1"/>
  <c r="T37" i="1"/>
  <c r="V37" i="1"/>
  <c r="X37" i="1"/>
  <c r="R211" i="1"/>
  <c r="R212" i="1"/>
  <c r="R213" i="1"/>
  <c r="R214" i="1"/>
  <c r="R215" i="1"/>
  <c r="R227" i="1"/>
  <c r="R228" i="1"/>
  <c r="Q7" i="1"/>
  <c r="X7" i="1"/>
  <c r="V7" i="1"/>
  <c r="T7" i="1"/>
  <c r="P7" i="1"/>
  <c r="O7" i="1"/>
  <c r="K7" i="1"/>
  <c r="Q14" i="1"/>
  <c r="X14" i="1"/>
  <c r="V14" i="1"/>
  <c r="T14" i="1"/>
  <c r="P14" i="1"/>
  <c r="O14" i="1"/>
  <c r="K14" i="1"/>
  <c r="Q9" i="1"/>
  <c r="X9" i="1"/>
  <c r="V9" i="1"/>
  <c r="T9" i="1"/>
  <c r="P9" i="1"/>
  <c r="O9" i="1"/>
  <c r="M9" i="1"/>
  <c r="K9" i="1"/>
  <c r="E4" i="2"/>
  <c r="F4" i="2"/>
  <c r="F19" i="2"/>
  <c r="F3" i="2"/>
  <c r="F2" i="2"/>
  <c r="F20" i="2"/>
  <c r="Q127" i="1"/>
  <c r="X127" i="1"/>
  <c r="V127" i="1"/>
  <c r="T127" i="1"/>
  <c r="P127" i="1"/>
  <c r="O127" i="1"/>
  <c r="M127" i="1"/>
  <c r="K127" i="1"/>
  <c r="Q257" i="1"/>
  <c r="X257" i="1"/>
  <c r="T257" i="1"/>
  <c r="P257" i="1"/>
  <c r="O257" i="1"/>
  <c r="M257" i="1"/>
  <c r="K257" i="1"/>
  <c r="Q128" i="1"/>
  <c r="X128" i="1"/>
  <c r="V128" i="1"/>
  <c r="T128" i="1"/>
  <c r="P128" i="1"/>
  <c r="O128" i="1"/>
  <c r="M128" i="1"/>
  <c r="K128" i="1"/>
  <c r="R155" i="1"/>
  <c r="R156" i="1"/>
  <c r="R160" i="1"/>
  <c r="R158" i="1"/>
  <c r="R159" i="1"/>
  <c r="R161" i="1"/>
  <c r="W309" i="1"/>
  <c r="U309" i="1"/>
  <c r="Y309" i="1"/>
  <c r="W310" i="1"/>
  <c r="U310" i="1"/>
  <c r="Y310" i="1"/>
  <c r="W311" i="1"/>
  <c r="U311" i="1"/>
  <c r="Y311" i="1"/>
  <c r="Y314" i="1"/>
  <c r="Q181" i="1"/>
  <c r="X181" i="1"/>
  <c r="X309" i="1"/>
  <c r="Q179" i="1"/>
  <c r="X179" i="1"/>
  <c r="Q6" i="1"/>
  <c r="X6" i="1"/>
  <c r="X310" i="1"/>
  <c r="Q175" i="1"/>
  <c r="X175" i="1"/>
  <c r="X311" i="1"/>
  <c r="X314" i="1"/>
  <c r="W305" i="1"/>
  <c r="U305" i="1"/>
  <c r="Y305" i="1"/>
  <c r="W306" i="1"/>
  <c r="U306" i="1"/>
  <c r="Y306" i="1"/>
  <c r="W307" i="1"/>
  <c r="U307" i="1"/>
  <c r="Y307" i="1"/>
  <c r="W308" i="1"/>
  <c r="U308" i="1"/>
  <c r="Y308" i="1"/>
  <c r="Y313" i="1"/>
  <c r="Q43" i="1"/>
  <c r="X43" i="1"/>
  <c r="Q110" i="1"/>
  <c r="X110" i="1"/>
  <c r="X84" i="1"/>
  <c r="Q10" i="1"/>
  <c r="X10" i="1"/>
  <c r="X34" i="1"/>
  <c r="X35" i="1"/>
  <c r="X41" i="1"/>
  <c r="Q42" i="1"/>
  <c r="X42" i="1"/>
  <c r="X45" i="1"/>
  <c r="X59" i="1"/>
  <c r="X60" i="1"/>
  <c r="X61" i="1"/>
  <c r="X62" i="1"/>
  <c r="X63" i="1"/>
  <c r="X64" i="1"/>
  <c r="X65" i="1"/>
  <c r="X66" i="1"/>
  <c r="X85" i="1"/>
  <c r="X86" i="1"/>
  <c r="X87" i="1"/>
  <c r="X88" i="1"/>
  <c r="X89" i="1"/>
  <c r="X90" i="1"/>
  <c r="X91" i="1"/>
  <c r="X92" i="1"/>
  <c r="X93" i="1"/>
  <c r="X100" i="1"/>
  <c r="X101" i="1"/>
  <c r="X102" i="1"/>
  <c r="X103" i="1"/>
  <c r="X104" i="1"/>
  <c r="X79" i="1"/>
  <c r="X105" i="1"/>
  <c r="X129" i="1"/>
  <c r="X130" i="1"/>
  <c r="X131" i="1"/>
  <c r="Q126" i="1"/>
  <c r="X126" i="1"/>
  <c r="X75" i="1"/>
  <c r="X76" i="1"/>
  <c r="Q111" i="1"/>
  <c r="X111" i="1"/>
  <c r="Q155" i="1"/>
  <c r="X155" i="1"/>
  <c r="Q156" i="1"/>
  <c r="X156" i="1"/>
  <c r="Q158" i="1"/>
  <c r="X158" i="1"/>
  <c r="Q159" i="1"/>
  <c r="X159" i="1"/>
  <c r="Q160" i="1"/>
  <c r="X160" i="1"/>
  <c r="Q161" i="1"/>
  <c r="X161" i="1"/>
  <c r="X132" i="1"/>
  <c r="Q168" i="1"/>
  <c r="X168" i="1"/>
  <c r="X133" i="1"/>
  <c r="X134" i="1"/>
  <c r="X135" i="1"/>
  <c r="X136" i="1"/>
  <c r="X137" i="1"/>
  <c r="X138" i="1"/>
  <c r="X139" i="1"/>
  <c r="X140" i="1"/>
  <c r="X141" i="1"/>
  <c r="Q173" i="1"/>
  <c r="X173" i="1"/>
  <c r="Q177" i="1"/>
  <c r="X177" i="1"/>
  <c r="X209" i="1"/>
  <c r="X210" i="1"/>
  <c r="X221" i="1"/>
  <c r="X222" i="1"/>
  <c r="X223" i="1"/>
  <c r="X224" i="1"/>
  <c r="X225" i="1"/>
  <c r="X226" i="1"/>
  <c r="Q211" i="1"/>
  <c r="X211" i="1"/>
  <c r="Q212" i="1"/>
  <c r="X212" i="1"/>
  <c r="Q213" i="1"/>
  <c r="X213" i="1"/>
  <c r="Q214" i="1"/>
  <c r="X214" i="1"/>
  <c r="Q215" i="1"/>
  <c r="X215" i="1"/>
  <c r="Q232" i="1"/>
  <c r="X232" i="1"/>
  <c r="Q227" i="1"/>
  <c r="X227" i="1"/>
  <c r="Q228" i="1"/>
  <c r="X228" i="1"/>
  <c r="Q241" i="1"/>
  <c r="X241" i="1"/>
  <c r="Q242" i="1"/>
  <c r="X242" i="1"/>
  <c r="Q246" i="1"/>
  <c r="X246" i="1"/>
  <c r="Q247" i="1"/>
  <c r="X247" i="1"/>
  <c r="Q248" i="1"/>
  <c r="X248" i="1"/>
  <c r="Q250" i="1"/>
  <c r="X250" i="1"/>
  <c r="Q251" i="1"/>
  <c r="X251" i="1"/>
  <c r="Q252" i="1"/>
  <c r="X252" i="1"/>
  <c r="Q253" i="1"/>
  <c r="X253" i="1"/>
  <c r="Q254" i="1"/>
  <c r="X254" i="1"/>
  <c r="Q256" i="1"/>
  <c r="X256" i="1"/>
  <c r="Q258" i="1"/>
  <c r="X258" i="1"/>
  <c r="X262" i="1"/>
  <c r="X263" i="1"/>
  <c r="X267" i="1"/>
  <c r="X305" i="1"/>
  <c r="X306" i="1"/>
  <c r="X307" i="1"/>
  <c r="X308" i="1"/>
  <c r="X313" i="1"/>
  <c r="Y312" i="1"/>
  <c r="X312" i="1"/>
  <c r="X297" i="1"/>
  <c r="X298" i="1"/>
  <c r="X299" i="1"/>
  <c r="X302" i="1"/>
  <c r="X293" i="1"/>
  <c r="X294" i="1"/>
  <c r="X295" i="1"/>
  <c r="X296" i="1"/>
  <c r="X301" i="1"/>
  <c r="X300" i="1"/>
  <c r="W297" i="1"/>
  <c r="U297" i="1"/>
  <c r="Y297" i="1"/>
  <c r="W298" i="1"/>
  <c r="U298" i="1"/>
  <c r="Y298" i="1"/>
  <c r="W299" i="1"/>
  <c r="U299" i="1"/>
  <c r="Y299" i="1"/>
  <c r="Y302" i="1"/>
  <c r="U293" i="1"/>
  <c r="Y293" i="1"/>
  <c r="U294" i="1"/>
  <c r="Y294" i="1"/>
  <c r="W295" i="1"/>
  <c r="U295" i="1"/>
  <c r="Y295" i="1"/>
  <c r="W296" i="1"/>
  <c r="U296" i="1"/>
  <c r="Y296" i="1"/>
  <c r="Y301" i="1"/>
  <c r="Y300" i="1"/>
  <c r="W281" i="1"/>
  <c r="M161" i="1"/>
  <c r="M228" i="1"/>
  <c r="M212" i="1"/>
  <c r="M214" i="1"/>
  <c r="M158" i="1"/>
  <c r="M159" i="1"/>
  <c r="M160" i="1"/>
  <c r="M215" i="1"/>
  <c r="M227" i="1"/>
  <c r="M211" i="1"/>
  <c r="M213" i="1"/>
  <c r="M155" i="1"/>
  <c r="M156" i="1"/>
  <c r="M258" i="1"/>
  <c r="M6" i="1"/>
  <c r="M10" i="1"/>
  <c r="M42" i="1"/>
  <c r="M43" i="1"/>
  <c r="M242" i="1"/>
  <c r="M254" i="1"/>
  <c r="N268" i="1"/>
  <c r="N269" i="1"/>
  <c r="N270" i="1"/>
  <c r="N271" i="1"/>
  <c r="N281" i="1"/>
  <c r="O281" i="1"/>
  <c r="V160" i="1"/>
  <c r="T160" i="1"/>
  <c r="P160" i="1"/>
  <c r="O160" i="1"/>
  <c r="K160" i="1"/>
  <c r="V159" i="1"/>
  <c r="T159" i="1"/>
  <c r="P159" i="1"/>
  <c r="O159" i="1"/>
  <c r="K159" i="1"/>
  <c r="E19" i="2"/>
  <c r="E2" i="2"/>
  <c r="E3" i="2"/>
  <c r="E20" i="2"/>
  <c r="E292" i="1"/>
  <c r="V214" i="1"/>
  <c r="T214" i="1"/>
  <c r="P214" i="1"/>
  <c r="O214" i="1"/>
  <c r="K214" i="1"/>
  <c r="T256" i="1"/>
  <c r="P256" i="1"/>
  <c r="O256" i="1"/>
  <c r="K256" i="1"/>
  <c r="V227" i="1"/>
  <c r="T227" i="1"/>
  <c r="P227" i="1"/>
  <c r="O227" i="1"/>
  <c r="K227" i="1"/>
  <c r="V232" i="1"/>
  <c r="T232" i="1"/>
  <c r="P232" i="1"/>
  <c r="O232" i="1"/>
  <c r="K232" i="1"/>
  <c r="R75" i="1"/>
  <c r="Q75" i="1"/>
  <c r="V75" i="1"/>
  <c r="T75" i="1"/>
  <c r="P75" i="1"/>
  <c r="O75" i="1"/>
  <c r="M75" i="1"/>
  <c r="K75" i="1"/>
  <c r="T254" i="1"/>
  <c r="P254" i="1"/>
  <c r="O254" i="1"/>
  <c r="K254" i="1"/>
  <c r="V126" i="1"/>
  <c r="T126" i="1"/>
  <c r="P126" i="1"/>
  <c r="O126" i="1"/>
  <c r="K126" i="1"/>
  <c r="R76" i="1"/>
  <c r="F136" i="1"/>
  <c r="F137" i="1"/>
  <c r="F139" i="1"/>
  <c r="F141" i="1"/>
  <c r="F145" i="1"/>
  <c r="S5" i="1"/>
  <c r="S15" i="1"/>
  <c r="S32" i="1"/>
  <c r="F33" i="1"/>
  <c r="S33" i="1"/>
  <c r="S3" i="1"/>
  <c r="S4" i="1"/>
  <c r="S30" i="1"/>
  <c r="S31" i="1"/>
  <c r="S11" i="1"/>
  <c r="S40" i="1"/>
  <c r="S13" i="1"/>
  <c r="S44" i="1"/>
  <c r="S80" i="1"/>
  <c r="S81" i="1"/>
  <c r="S82" i="1"/>
  <c r="S83" i="1"/>
  <c r="S98" i="1"/>
  <c r="S99" i="1"/>
  <c r="S185" i="1"/>
  <c r="S194" i="1"/>
  <c r="S195" i="1"/>
  <c r="S201" i="1"/>
  <c r="S202" i="1"/>
  <c r="S203" i="1"/>
  <c r="S204" i="1"/>
  <c r="S205" i="1"/>
  <c r="S206" i="1"/>
  <c r="S207" i="1"/>
  <c r="S208" i="1"/>
  <c r="S236" i="1"/>
  <c r="S244" i="1"/>
  <c r="S245" i="1"/>
  <c r="S249" i="1"/>
  <c r="S268" i="1"/>
  <c r="F269" i="1"/>
  <c r="S269" i="1"/>
  <c r="S270" i="1"/>
  <c r="S271" i="1"/>
  <c r="X270" i="1"/>
  <c r="X269" i="1"/>
  <c r="X268" i="1"/>
  <c r="X245" i="1"/>
  <c r="X244" i="1"/>
  <c r="X236" i="1"/>
  <c r="X208" i="1"/>
  <c r="X207" i="1"/>
  <c r="X206" i="1"/>
  <c r="X205" i="1"/>
  <c r="X204" i="1"/>
  <c r="X203" i="1"/>
  <c r="X202" i="1"/>
  <c r="X201" i="1"/>
  <c r="X195" i="1"/>
  <c r="X194" i="1"/>
  <c r="X185" i="1"/>
  <c r="Q76" i="1"/>
  <c r="X99" i="1"/>
  <c r="X98" i="1"/>
  <c r="X83" i="1"/>
  <c r="X82" i="1"/>
  <c r="X81" i="1"/>
  <c r="X80" i="1"/>
  <c r="X44" i="1"/>
  <c r="X40" i="1"/>
  <c r="X11" i="1"/>
  <c r="X33" i="1"/>
  <c r="X32" i="1"/>
  <c r="X31" i="1"/>
  <c r="X30" i="1"/>
  <c r="X15" i="1"/>
  <c r="X5" i="1"/>
  <c r="X3" i="1"/>
  <c r="R5" i="1"/>
  <c r="R83" i="1"/>
  <c r="R84" i="1"/>
  <c r="R34" i="1"/>
  <c r="R35" i="1"/>
  <c r="R41" i="1"/>
  <c r="R45" i="1"/>
  <c r="R59" i="1"/>
  <c r="R60" i="1"/>
  <c r="R61" i="1"/>
  <c r="R62" i="1"/>
  <c r="R63" i="1"/>
  <c r="R64" i="1"/>
  <c r="R65" i="1"/>
  <c r="R66" i="1"/>
  <c r="R85" i="1"/>
  <c r="R86" i="1"/>
  <c r="R87" i="1"/>
  <c r="R88" i="1"/>
  <c r="R89" i="1"/>
  <c r="R90" i="1"/>
  <c r="R91" i="1"/>
  <c r="R92" i="1"/>
  <c r="R93" i="1"/>
  <c r="R100" i="1"/>
  <c r="R101" i="1"/>
  <c r="R102" i="1"/>
  <c r="R103" i="1"/>
  <c r="R104" i="1"/>
  <c r="R105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203" i="1"/>
  <c r="R204" i="1"/>
  <c r="R205" i="1"/>
  <c r="R206" i="1"/>
  <c r="R207" i="1"/>
  <c r="R208" i="1"/>
  <c r="R209" i="1"/>
  <c r="R210" i="1"/>
  <c r="R221" i="1"/>
  <c r="R222" i="1"/>
  <c r="R223" i="1"/>
  <c r="R224" i="1"/>
  <c r="R225" i="1"/>
  <c r="R226" i="1"/>
  <c r="R262" i="1"/>
  <c r="R263" i="1"/>
  <c r="R267" i="1"/>
  <c r="W313" i="1"/>
  <c r="U313" i="1"/>
  <c r="U301" i="1"/>
  <c r="W301" i="1"/>
  <c r="G306" i="1"/>
  <c r="M305" i="1"/>
  <c r="M304" i="1"/>
  <c r="M76" i="1"/>
  <c r="M110" i="1"/>
  <c r="M111" i="1"/>
  <c r="M303" i="1"/>
  <c r="M302" i="1"/>
  <c r="M301" i="1"/>
  <c r="M300" i="1"/>
  <c r="M299" i="1"/>
  <c r="M298" i="1"/>
  <c r="M297" i="1"/>
  <c r="M296" i="1"/>
  <c r="H295" i="1"/>
  <c r="M295" i="1"/>
  <c r="H294" i="1"/>
  <c r="M294" i="1"/>
  <c r="H293" i="1"/>
  <c r="M293" i="1"/>
  <c r="H292" i="1"/>
  <c r="M292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X1" i="1"/>
  <c r="F306" i="1"/>
  <c r="V76" i="1"/>
  <c r="T76" i="1"/>
  <c r="P76" i="1"/>
  <c r="O76" i="1"/>
  <c r="K76" i="1"/>
  <c r="E284" i="1"/>
  <c r="G284" i="1"/>
  <c r="E306" i="1"/>
  <c r="E285" i="1"/>
  <c r="E286" i="1"/>
  <c r="E287" i="1"/>
  <c r="E288" i="1"/>
  <c r="E289" i="1"/>
  <c r="E290" i="1"/>
  <c r="E308" i="1"/>
  <c r="G283" i="1"/>
  <c r="G285" i="1"/>
  <c r="G286" i="1"/>
  <c r="G287" i="1"/>
  <c r="G288" i="1"/>
  <c r="G289" i="1"/>
  <c r="G290" i="1"/>
  <c r="F290" i="1"/>
  <c r="D303" i="1"/>
  <c r="J303" i="1"/>
  <c r="D304" i="1"/>
  <c r="J304" i="1"/>
  <c r="D305" i="1"/>
  <c r="J305" i="1"/>
  <c r="K306" i="1"/>
  <c r="L306" i="1"/>
  <c r="M306" i="1"/>
  <c r="V213" i="1"/>
  <c r="T213" i="1"/>
  <c r="P213" i="1"/>
  <c r="O213" i="1"/>
  <c r="K213" i="1"/>
  <c r="V110" i="1"/>
  <c r="T110" i="1"/>
  <c r="P110" i="1"/>
  <c r="O110" i="1"/>
  <c r="K110" i="1"/>
  <c r="V241" i="1"/>
  <c r="T241" i="1"/>
  <c r="P241" i="1"/>
  <c r="O241" i="1"/>
  <c r="K241" i="1"/>
  <c r="V212" i="1"/>
  <c r="T212" i="1"/>
  <c r="P212" i="1"/>
  <c r="O212" i="1"/>
  <c r="K212" i="1"/>
  <c r="V111" i="1"/>
  <c r="T111" i="1"/>
  <c r="P111" i="1"/>
  <c r="O111" i="1"/>
  <c r="K111" i="1"/>
  <c r="V211" i="1"/>
  <c r="T211" i="1"/>
  <c r="P211" i="1"/>
  <c r="O211" i="1"/>
  <c r="K211" i="1"/>
  <c r="V215" i="1"/>
  <c r="T215" i="1"/>
  <c r="P215" i="1"/>
  <c r="O215" i="1"/>
  <c r="K215" i="1"/>
  <c r="J302" i="1"/>
  <c r="J301" i="1"/>
  <c r="J300" i="1"/>
  <c r="J299" i="1"/>
  <c r="J298" i="1"/>
  <c r="J297" i="1"/>
  <c r="J292" i="1"/>
  <c r="J293" i="1"/>
  <c r="J294" i="1"/>
  <c r="J295" i="1"/>
  <c r="J296" i="1"/>
  <c r="V209" i="1"/>
  <c r="T209" i="1"/>
  <c r="P209" i="1"/>
  <c r="O209" i="1"/>
  <c r="M209" i="1"/>
  <c r="K209" i="1"/>
  <c r="V210" i="1"/>
  <c r="T210" i="1"/>
  <c r="P210" i="1"/>
  <c r="O210" i="1"/>
  <c r="M210" i="1"/>
  <c r="K210" i="1"/>
  <c r="D292" i="1"/>
  <c r="D293" i="1"/>
  <c r="D294" i="1"/>
  <c r="D295" i="1"/>
  <c r="D296" i="1"/>
  <c r="D297" i="1"/>
  <c r="D298" i="1"/>
  <c r="D299" i="1"/>
  <c r="D300" i="1"/>
  <c r="D301" i="1"/>
  <c r="D302" i="1"/>
  <c r="M262" i="1"/>
  <c r="M263" i="1"/>
  <c r="M93" i="1"/>
  <c r="M100" i="1"/>
  <c r="M101" i="1"/>
  <c r="M102" i="1"/>
  <c r="M103" i="1"/>
  <c r="M104" i="1"/>
  <c r="M79" i="1"/>
  <c r="M105" i="1"/>
  <c r="M65" i="1"/>
  <c r="M63" i="1"/>
  <c r="M64" i="1"/>
  <c r="M59" i="1"/>
  <c r="M66" i="1"/>
  <c r="M62" i="1"/>
  <c r="M61" i="1"/>
  <c r="M60" i="1"/>
  <c r="V228" i="1"/>
  <c r="T228" i="1"/>
  <c r="P228" i="1"/>
  <c r="O228" i="1"/>
  <c r="K228" i="1"/>
  <c r="V242" i="1"/>
  <c r="T242" i="1"/>
  <c r="P242" i="1"/>
  <c r="O242" i="1"/>
  <c r="K242" i="1"/>
  <c r="V42" i="1"/>
  <c r="T42" i="1"/>
  <c r="P42" i="1"/>
  <c r="O42" i="1"/>
  <c r="K42" i="1"/>
  <c r="V43" i="1"/>
  <c r="T43" i="1"/>
  <c r="P43" i="1"/>
  <c r="O43" i="1"/>
  <c r="K43" i="1"/>
  <c r="V65" i="1"/>
  <c r="T65" i="1"/>
  <c r="P65" i="1"/>
  <c r="O65" i="1"/>
  <c r="K65" i="1"/>
  <c r="V64" i="1"/>
  <c r="T64" i="1"/>
  <c r="P64" i="1"/>
  <c r="O64" i="1"/>
  <c r="K64" i="1"/>
  <c r="V93" i="1"/>
  <c r="T93" i="1"/>
  <c r="P93" i="1"/>
  <c r="O93" i="1"/>
  <c r="K93" i="1"/>
  <c r="V60" i="1"/>
  <c r="T60" i="1"/>
  <c r="P60" i="1"/>
  <c r="O60" i="1"/>
  <c r="K60" i="1"/>
  <c r="V61" i="1"/>
  <c r="T61" i="1"/>
  <c r="P61" i="1"/>
  <c r="O61" i="1"/>
  <c r="K61" i="1"/>
  <c r="V62" i="1"/>
  <c r="T62" i="1"/>
  <c r="P62" i="1"/>
  <c r="O62" i="1"/>
  <c r="K62" i="1"/>
  <c r="V63" i="1"/>
  <c r="T63" i="1"/>
  <c r="P63" i="1"/>
  <c r="O63" i="1"/>
  <c r="K63" i="1"/>
  <c r="V91" i="1"/>
  <c r="T91" i="1"/>
  <c r="P91" i="1"/>
  <c r="O91" i="1"/>
  <c r="M91" i="1"/>
  <c r="K91" i="1"/>
  <c r="V89" i="1"/>
  <c r="T89" i="1"/>
  <c r="P89" i="1"/>
  <c r="O89" i="1"/>
  <c r="M89" i="1"/>
  <c r="K89" i="1"/>
  <c r="V90" i="1"/>
  <c r="T90" i="1"/>
  <c r="P90" i="1"/>
  <c r="O90" i="1"/>
  <c r="M90" i="1"/>
  <c r="K90" i="1"/>
  <c r="V92" i="1"/>
  <c r="T92" i="1"/>
  <c r="P92" i="1"/>
  <c r="O92" i="1"/>
  <c r="M92" i="1"/>
  <c r="K92" i="1"/>
  <c r="V34" i="1"/>
  <c r="T34" i="1"/>
  <c r="P34" i="1"/>
  <c r="O34" i="1"/>
  <c r="M34" i="1"/>
  <c r="K34" i="1"/>
  <c r="V45" i="1"/>
  <c r="T45" i="1"/>
  <c r="P45" i="1"/>
  <c r="O45" i="1"/>
  <c r="M45" i="1"/>
  <c r="K45" i="1"/>
  <c r="V86" i="1"/>
  <c r="T86" i="1"/>
  <c r="P86" i="1"/>
  <c r="O86" i="1"/>
  <c r="M86" i="1"/>
  <c r="K86" i="1"/>
  <c r="V85" i="1"/>
  <c r="T85" i="1"/>
  <c r="P85" i="1"/>
  <c r="O85" i="1"/>
  <c r="M85" i="1"/>
  <c r="K85" i="1"/>
  <c r="V158" i="1"/>
  <c r="T158" i="1"/>
  <c r="P158" i="1"/>
  <c r="O158" i="1"/>
  <c r="K158" i="1"/>
  <c r="V156" i="1"/>
  <c r="T156" i="1"/>
  <c r="P156" i="1"/>
  <c r="O156" i="1"/>
  <c r="K156" i="1"/>
  <c r="V155" i="1"/>
  <c r="T155" i="1"/>
  <c r="P155" i="1"/>
  <c r="O155" i="1"/>
  <c r="K155" i="1"/>
  <c r="V131" i="1"/>
  <c r="T131" i="1"/>
  <c r="P131" i="1"/>
  <c r="O131" i="1"/>
  <c r="M131" i="1"/>
  <c r="K131" i="1"/>
  <c r="V59" i="1"/>
  <c r="T59" i="1"/>
  <c r="P59" i="1"/>
  <c r="O59" i="1"/>
  <c r="K59" i="1"/>
  <c r="V41" i="1"/>
  <c r="T41" i="1"/>
  <c r="P41" i="1"/>
  <c r="O41" i="1"/>
  <c r="M41" i="1"/>
  <c r="K41" i="1"/>
  <c r="V35" i="1"/>
  <c r="T35" i="1"/>
  <c r="P35" i="1"/>
  <c r="O35" i="1"/>
  <c r="M35" i="1"/>
  <c r="K35" i="1"/>
  <c r="V130" i="1"/>
  <c r="T130" i="1"/>
  <c r="P130" i="1"/>
  <c r="O130" i="1"/>
  <c r="M130" i="1"/>
  <c r="K130" i="1"/>
  <c r="V10" i="1"/>
  <c r="T10" i="1"/>
  <c r="P10" i="1"/>
  <c r="O10" i="1"/>
  <c r="K10" i="1"/>
  <c r="V161" i="1"/>
  <c r="T161" i="1"/>
  <c r="P161" i="1"/>
  <c r="O161" i="1"/>
  <c r="K161" i="1"/>
  <c r="V66" i="1"/>
  <c r="T66" i="1"/>
  <c r="P66" i="1"/>
  <c r="O66" i="1"/>
  <c r="K66" i="1"/>
  <c r="V6" i="1"/>
  <c r="T6" i="1"/>
  <c r="P6" i="1"/>
  <c r="O6" i="1"/>
  <c r="K6" i="1"/>
  <c r="M132" i="1"/>
  <c r="M133" i="1"/>
  <c r="M134" i="1"/>
  <c r="M87" i="1"/>
  <c r="M88" i="1"/>
  <c r="M129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V145" i="1"/>
  <c r="T145" i="1"/>
  <c r="P145" i="1"/>
  <c r="O145" i="1"/>
  <c r="K145" i="1"/>
  <c r="V144" i="1"/>
  <c r="T144" i="1"/>
  <c r="P144" i="1"/>
  <c r="O144" i="1"/>
  <c r="K144" i="1"/>
  <c r="O222" i="1"/>
  <c r="O223" i="1"/>
  <c r="O224" i="1"/>
  <c r="O226" i="1"/>
  <c r="O225" i="1"/>
  <c r="O146" i="1"/>
  <c r="O3" i="1"/>
  <c r="O4" i="1"/>
  <c r="O5" i="1"/>
  <c r="O15" i="1"/>
  <c r="O30" i="1"/>
  <c r="O31" i="1"/>
  <c r="O32" i="1"/>
  <c r="O33" i="1"/>
  <c r="O11" i="1"/>
  <c r="O40" i="1"/>
  <c r="O13" i="1"/>
  <c r="O44" i="1"/>
  <c r="O80" i="1"/>
  <c r="O81" i="1"/>
  <c r="O82" i="1"/>
  <c r="O83" i="1"/>
  <c r="O84" i="1"/>
  <c r="O87" i="1"/>
  <c r="O88" i="1"/>
  <c r="O98" i="1"/>
  <c r="O99" i="1"/>
  <c r="O100" i="1"/>
  <c r="O101" i="1"/>
  <c r="O102" i="1"/>
  <c r="O103" i="1"/>
  <c r="O104" i="1"/>
  <c r="O79" i="1"/>
  <c r="O105" i="1"/>
  <c r="O129" i="1"/>
  <c r="O132" i="1"/>
  <c r="O168" i="1"/>
  <c r="O133" i="1"/>
  <c r="O134" i="1"/>
  <c r="O135" i="1"/>
  <c r="O136" i="1"/>
  <c r="O137" i="1"/>
  <c r="O138" i="1"/>
  <c r="O139" i="1"/>
  <c r="O140" i="1"/>
  <c r="O141" i="1"/>
  <c r="O142" i="1"/>
  <c r="O143" i="1"/>
  <c r="O173" i="1"/>
  <c r="O175" i="1"/>
  <c r="O177" i="1"/>
  <c r="O179" i="1"/>
  <c r="O181" i="1"/>
  <c r="O185" i="1"/>
  <c r="O194" i="1"/>
  <c r="O195" i="1"/>
  <c r="O201" i="1"/>
  <c r="O202" i="1"/>
  <c r="O203" i="1"/>
  <c r="O204" i="1"/>
  <c r="O205" i="1"/>
  <c r="O206" i="1"/>
  <c r="O207" i="1"/>
  <c r="O208" i="1"/>
  <c r="O221" i="1"/>
  <c r="O236" i="1"/>
  <c r="O244" i="1"/>
  <c r="O245" i="1"/>
  <c r="O246" i="1"/>
  <c r="O247" i="1"/>
  <c r="O248" i="1"/>
  <c r="O250" i="1"/>
  <c r="O251" i="1"/>
  <c r="O252" i="1"/>
  <c r="O253" i="1"/>
  <c r="O258" i="1"/>
  <c r="O249" i="1"/>
  <c r="O262" i="1"/>
  <c r="O263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P222" i="1"/>
  <c r="P223" i="1"/>
  <c r="P224" i="1"/>
  <c r="P226" i="1"/>
  <c r="P225" i="1"/>
  <c r="P84" i="1"/>
  <c r="P87" i="1"/>
  <c r="P88" i="1"/>
  <c r="P100" i="1"/>
  <c r="P101" i="1"/>
  <c r="P102" i="1"/>
  <c r="P103" i="1"/>
  <c r="P104" i="1"/>
  <c r="P79" i="1"/>
  <c r="P105" i="1"/>
  <c r="P129" i="1"/>
  <c r="P132" i="1"/>
  <c r="P168" i="1"/>
  <c r="P133" i="1"/>
  <c r="P134" i="1"/>
  <c r="P135" i="1"/>
  <c r="P136" i="1"/>
  <c r="P137" i="1"/>
  <c r="P138" i="1"/>
  <c r="P139" i="1"/>
  <c r="P140" i="1"/>
  <c r="P141" i="1"/>
  <c r="P142" i="1"/>
  <c r="P143" i="1"/>
  <c r="P146" i="1"/>
  <c r="P173" i="1"/>
  <c r="P175" i="1"/>
  <c r="P177" i="1"/>
  <c r="P179" i="1"/>
  <c r="P181" i="1"/>
  <c r="P221" i="1"/>
  <c r="P246" i="1"/>
  <c r="P247" i="1"/>
  <c r="P248" i="1"/>
  <c r="P250" i="1"/>
  <c r="P251" i="1"/>
  <c r="P252" i="1"/>
  <c r="P253" i="1"/>
  <c r="P258" i="1"/>
  <c r="P262" i="1"/>
  <c r="P263" i="1"/>
  <c r="P267" i="1"/>
  <c r="P271" i="1"/>
  <c r="P185" i="1"/>
  <c r="P194" i="1"/>
  <c r="P195" i="1"/>
  <c r="P201" i="1"/>
  <c r="P202" i="1"/>
  <c r="P203" i="1"/>
  <c r="P204" i="1"/>
  <c r="P205" i="1"/>
  <c r="P206" i="1"/>
  <c r="P207" i="1"/>
  <c r="P208" i="1"/>
  <c r="P236" i="1"/>
  <c r="P244" i="1"/>
  <c r="P245" i="1"/>
  <c r="P249" i="1"/>
  <c r="P268" i="1"/>
  <c r="P269" i="1"/>
  <c r="P270" i="1"/>
  <c r="P3" i="1"/>
  <c r="P4" i="1"/>
  <c r="P5" i="1"/>
  <c r="P15" i="1"/>
  <c r="P30" i="1"/>
  <c r="P31" i="1"/>
  <c r="P32" i="1"/>
  <c r="P33" i="1"/>
  <c r="P11" i="1"/>
  <c r="P40" i="1"/>
  <c r="P13" i="1"/>
  <c r="P44" i="1"/>
  <c r="P80" i="1"/>
  <c r="P81" i="1"/>
  <c r="P82" i="1"/>
  <c r="P83" i="1"/>
  <c r="P98" i="1"/>
  <c r="P99" i="1"/>
  <c r="P279" i="1"/>
  <c r="P280" i="1"/>
  <c r="Q280" i="1"/>
  <c r="H289" i="1"/>
  <c r="H288" i="1"/>
  <c r="H287" i="1"/>
  <c r="H286" i="1"/>
  <c r="H285" i="1"/>
  <c r="H284" i="1"/>
  <c r="H283" i="1"/>
  <c r="V79" i="1"/>
  <c r="T79" i="1"/>
  <c r="K79" i="1"/>
  <c r="V104" i="1"/>
  <c r="T104" i="1"/>
  <c r="K104" i="1"/>
  <c r="V143" i="1"/>
  <c r="T143" i="1"/>
  <c r="K143" i="1"/>
  <c r="T253" i="1"/>
  <c r="K253" i="1"/>
  <c r="T252" i="1"/>
  <c r="K252" i="1"/>
  <c r="V141" i="1"/>
  <c r="T141" i="1"/>
  <c r="K141" i="1"/>
  <c r="M84" i="1"/>
  <c r="M221" i="1"/>
  <c r="M222" i="1"/>
  <c r="M223" i="1"/>
  <c r="M224" i="1"/>
  <c r="M225" i="1"/>
  <c r="M226" i="1"/>
  <c r="V142" i="1"/>
  <c r="T142" i="1"/>
  <c r="K142" i="1"/>
  <c r="V140" i="1"/>
  <c r="T140" i="1"/>
  <c r="K140" i="1"/>
  <c r="V103" i="1"/>
  <c r="T103" i="1"/>
  <c r="K103" i="1"/>
  <c r="V102" i="1"/>
  <c r="T102" i="1"/>
  <c r="K102" i="1"/>
  <c r="M267" i="1"/>
  <c r="N279" i="1"/>
  <c r="T251" i="1"/>
  <c r="K251" i="1"/>
  <c r="U283" i="1"/>
  <c r="U284" i="1"/>
  <c r="U285" i="1"/>
  <c r="U286" i="1"/>
  <c r="U287" i="1"/>
  <c r="U289" i="1"/>
  <c r="V263" i="1"/>
  <c r="T263" i="1"/>
  <c r="K263" i="1"/>
  <c r="V87" i="1"/>
  <c r="T87" i="1"/>
  <c r="K87" i="1"/>
  <c r="V100" i="1"/>
  <c r="V88" i="1"/>
  <c r="V84" i="1"/>
  <c r="V11" i="1"/>
  <c r="T11" i="1"/>
  <c r="L11" i="1"/>
  <c r="M11" i="1"/>
  <c r="K11" i="1"/>
  <c r="T258" i="1"/>
  <c r="K258" i="1"/>
  <c r="T88" i="1"/>
  <c r="K88" i="1"/>
  <c r="T250" i="1"/>
  <c r="K250" i="1"/>
  <c r="V208" i="1"/>
  <c r="K179" i="1"/>
  <c r="K177" i="1"/>
  <c r="K181" i="1"/>
  <c r="S278" i="1"/>
  <c r="U288" i="1"/>
  <c r="T275" i="1"/>
  <c r="S275" i="1"/>
  <c r="L275" i="1"/>
  <c r="M275" i="1"/>
  <c r="J275" i="1"/>
  <c r="K275" i="1"/>
  <c r="T274" i="1"/>
  <c r="S274" i="1"/>
  <c r="L274" i="1"/>
  <c r="M274" i="1"/>
  <c r="J274" i="1"/>
  <c r="K274" i="1"/>
  <c r="T273" i="1"/>
  <c r="S273" i="1"/>
  <c r="L273" i="1"/>
  <c r="M273" i="1"/>
  <c r="N273" i="1"/>
  <c r="J273" i="1"/>
  <c r="K273" i="1"/>
  <c r="T272" i="1"/>
  <c r="S272" i="1"/>
  <c r="L272" i="1"/>
  <c r="M272" i="1"/>
  <c r="J272" i="1"/>
  <c r="K272" i="1"/>
  <c r="T276" i="1"/>
  <c r="S276" i="1"/>
  <c r="L276" i="1"/>
  <c r="M276" i="1"/>
  <c r="J276" i="1"/>
  <c r="K276" i="1"/>
  <c r="T277" i="1"/>
  <c r="S277" i="1"/>
  <c r="L277" i="1"/>
  <c r="M277" i="1"/>
  <c r="J277" i="1"/>
  <c r="K277" i="1"/>
  <c r="T271" i="1"/>
  <c r="L271" i="1"/>
  <c r="M271" i="1"/>
  <c r="K271" i="1"/>
  <c r="V207" i="1"/>
  <c r="T207" i="1"/>
  <c r="L207" i="1"/>
  <c r="M207" i="1"/>
  <c r="K207" i="1"/>
  <c r="K269" i="1"/>
  <c r="M269" i="1"/>
  <c r="T269" i="1"/>
  <c r="V269" i="1"/>
  <c r="T208" i="1"/>
  <c r="L208" i="1"/>
  <c r="M208" i="1"/>
  <c r="K208" i="1"/>
  <c r="K146" i="1"/>
  <c r="V105" i="1"/>
  <c r="V206" i="1"/>
  <c r="T206" i="1"/>
  <c r="L206" i="1"/>
  <c r="M206" i="1"/>
  <c r="K206" i="1"/>
  <c r="T105" i="1"/>
  <c r="K105" i="1"/>
  <c r="K175" i="1"/>
  <c r="K173" i="1"/>
  <c r="V101" i="1"/>
  <c r="T101" i="1"/>
  <c r="K101" i="1"/>
  <c r="V226" i="1"/>
  <c r="T226" i="1"/>
  <c r="K226" i="1"/>
  <c r="K139" i="1"/>
  <c r="V225" i="1"/>
  <c r="T225" i="1"/>
  <c r="K225" i="1"/>
  <c r="K138" i="1"/>
  <c r="K137" i="1"/>
  <c r="V224" i="1"/>
  <c r="T224" i="1"/>
  <c r="K224" i="1"/>
  <c r="K136" i="1"/>
  <c r="V223" i="1"/>
  <c r="T223" i="1"/>
  <c r="K223" i="1"/>
  <c r="V33" i="1"/>
  <c r="T33" i="1"/>
  <c r="M33" i="1"/>
  <c r="K33" i="1"/>
  <c r="V248" i="1"/>
  <c r="T248" i="1"/>
  <c r="K248" i="1"/>
  <c r="V222" i="1"/>
  <c r="T222" i="1"/>
  <c r="K222" i="1"/>
  <c r="T84" i="1"/>
  <c r="K84" i="1"/>
  <c r="V247" i="1"/>
  <c r="T247" i="1"/>
  <c r="K247" i="1"/>
  <c r="M4" i="1"/>
  <c r="M5" i="1"/>
  <c r="M195" i="1"/>
  <c r="M202" i="1"/>
  <c r="M203" i="1"/>
  <c r="M204" i="1"/>
  <c r="M205" i="1"/>
  <c r="M278" i="1"/>
  <c r="V205" i="1"/>
  <c r="V195" i="1"/>
  <c r="T195" i="1"/>
  <c r="K195" i="1"/>
  <c r="V204" i="1"/>
  <c r="T204" i="1"/>
  <c r="K204" i="1"/>
  <c r="T205" i="1"/>
  <c r="K205" i="1"/>
  <c r="V203" i="1"/>
  <c r="T203" i="1"/>
  <c r="K203" i="1"/>
  <c r="V267" i="1"/>
  <c r="V221" i="1"/>
  <c r="T221" i="1"/>
  <c r="K221" i="1"/>
  <c r="T267" i="1"/>
  <c r="K267" i="1"/>
  <c r="V246" i="1"/>
  <c r="T246" i="1"/>
  <c r="K246" i="1"/>
  <c r="V5" i="1"/>
  <c r="T5" i="1"/>
  <c r="K5" i="1"/>
  <c r="K135" i="1"/>
  <c r="V262" i="1"/>
  <c r="V249" i="1"/>
  <c r="V245" i="1"/>
  <c r="V202" i="1"/>
  <c r="V132" i="1"/>
  <c r="V129" i="1"/>
  <c r="V83" i="1"/>
  <c r="V82" i="1"/>
  <c r="V13" i="1"/>
  <c r="V4" i="1"/>
  <c r="T262" i="1"/>
  <c r="K262" i="1"/>
  <c r="K133" i="1"/>
  <c r="K134" i="1"/>
  <c r="K4" i="1"/>
  <c r="K13" i="1"/>
  <c r="K82" i="1"/>
  <c r="K83" i="1"/>
  <c r="K100" i="1"/>
  <c r="K129" i="1"/>
  <c r="K132" i="1"/>
  <c r="K168" i="1"/>
  <c r="K202" i="1"/>
  <c r="K245" i="1"/>
  <c r="K249" i="1"/>
  <c r="J278" i="1"/>
  <c r="K278" i="1"/>
  <c r="K279" i="1"/>
  <c r="T249" i="1"/>
  <c r="M249" i="1"/>
  <c r="T245" i="1"/>
  <c r="M245" i="1"/>
  <c r="T202" i="1"/>
  <c r="T100" i="1"/>
  <c r="T129" i="1"/>
  <c r="T132" i="1"/>
  <c r="T278" i="1"/>
  <c r="T83" i="1"/>
  <c r="M83" i="1"/>
  <c r="T4" i="1"/>
  <c r="T13" i="1"/>
  <c r="M13" i="1"/>
  <c r="T82" i="1"/>
  <c r="M82" i="1"/>
  <c r="K80" i="1"/>
  <c r="K194" i="1"/>
  <c r="K99" i="1"/>
  <c r="T99" i="1"/>
  <c r="T194" i="1"/>
  <c r="T80" i="1"/>
  <c r="M99" i="1"/>
  <c r="K268" i="1"/>
  <c r="K98" i="1"/>
  <c r="K3" i="1"/>
  <c r="K244" i="1"/>
  <c r="K44" i="1"/>
  <c r="K15" i="1"/>
  <c r="K185" i="1"/>
  <c r="K236" i="1"/>
  <c r="K270" i="1"/>
  <c r="K40" i="1"/>
  <c r="K32" i="1"/>
  <c r="K201" i="1"/>
  <c r="K31" i="1"/>
  <c r="K30" i="1"/>
  <c r="K81" i="1"/>
  <c r="M194" i="1"/>
  <c r="L98" i="1"/>
  <c r="M98" i="1"/>
  <c r="L44" i="1"/>
  <c r="L32" i="1"/>
  <c r="M44" i="1"/>
  <c r="M40" i="1"/>
  <c r="M32" i="1"/>
  <c r="L15" i="1"/>
  <c r="L81" i="1"/>
  <c r="M81" i="1"/>
  <c r="M3" i="1"/>
  <c r="L30" i="1"/>
  <c r="M30" i="1"/>
  <c r="L31" i="1"/>
  <c r="M31" i="1"/>
  <c r="L201" i="1"/>
  <c r="M201" i="1"/>
  <c r="L244" i="1"/>
  <c r="M244" i="1"/>
  <c r="M268" i="1"/>
  <c r="L270" i="1"/>
  <c r="M270" i="1"/>
  <c r="M236" i="1"/>
  <c r="L185" i="1"/>
  <c r="M185" i="1"/>
  <c r="M15" i="1"/>
  <c r="M80" i="1"/>
  <c r="T168" i="1"/>
  <c r="V168" i="1"/>
  <c r="V280" i="1"/>
  <c r="T133" i="1"/>
  <c r="V133" i="1"/>
  <c r="V134" i="1"/>
  <c r="T134" i="1"/>
  <c r="T135" i="1"/>
  <c r="V135" i="1"/>
  <c r="V136" i="1"/>
  <c r="T136" i="1"/>
  <c r="V279" i="1"/>
  <c r="V288" i="1"/>
  <c r="Q279" i="1"/>
  <c r="T137" i="1"/>
  <c r="V137" i="1"/>
  <c r="T138" i="1"/>
  <c r="V138" i="1"/>
  <c r="T139" i="1"/>
  <c r="V139" i="1"/>
  <c r="T173" i="1"/>
  <c r="T175" i="1"/>
  <c r="V173" i="1"/>
  <c r="V175" i="1"/>
  <c r="T146" i="1"/>
  <c r="V146" i="1"/>
  <c r="W283" i="1"/>
  <c r="V283" i="1"/>
  <c r="W284" i="1"/>
  <c r="V284" i="1"/>
  <c r="W285" i="1"/>
  <c r="V285" i="1"/>
  <c r="W286" i="1"/>
  <c r="V286" i="1"/>
  <c r="W287" i="1"/>
  <c r="V287" i="1"/>
  <c r="W289" i="1"/>
  <c r="W288" i="1"/>
  <c r="S283" i="1"/>
  <c r="S284" i="1"/>
  <c r="S285" i="1"/>
  <c r="S286" i="1"/>
  <c r="S287" i="1"/>
  <c r="S289" i="1"/>
  <c r="T181" i="1"/>
  <c r="T177" i="1"/>
  <c r="T179" i="1"/>
  <c r="V181" i="1"/>
  <c r="V179" i="1"/>
  <c r="V177" i="1"/>
  <c r="V289" i="1"/>
</calcChain>
</file>

<file path=xl/sharedStrings.xml><?xml version="1.0" encoding="utf-8"?>
<sst xmlns="http://schemas.openxmlformats.org/spreadsheetml/2006/main" count="1018" uniqueCount="162">
  <si>
    <t>Account</t>
  </si>
  <si>
    <t>Symbol</t>
  </si>
  <si>
    <t>AvgPx</t>
  </si>
  <si>
    <t>StopLoss</t>
  </si>
  <si>
    <t>R</t>
  </si>
  <si>
    <t>@risk</t>
  </si>
  <si>
    <t>joint_prod</t>
  </si>
  <si>
    <t>LCI</t>
  </si>
  <si>
    <t>AA</t>
  </si>
  <si>
    <t>CLDX</t>
  </si>
  <si>
    <t>CLVS</t>
  </si>
  <si>
    <t>SLCA</t>
  </si>
  <si>
    <t>THRM</t>
  </si>
  <si>
    <t>WOOF</t>
  </si>
  <si>
    <t>XONE</t>
  </si>
  <si>
    <t>Initial</t>
  </si>
  <si>
    <t>Current</t>
  </si>
  <si>
    <t>ExitPx</t>
  </si>
  <si>
    <t>realized</t>
  </si>
  <si>
    <t>unreal</t>
  </si>
  <si>
    <t>R Multiple</t>
  </si>
  <si>
    <t>SWIR</t>
  </si>
  <si>
    <t>OSTK</t>
  </si>
  <si>
    <t>smz_prod</t>
  </si>
  <si>
    <t>Status</t>
  </si>
  <si>
    <t>open</t>
  </si>
  <si>
    <t>closed</t>
  </si>
  <si>
    <t>ARCO</t>
  </si>
  <si>
    <t>last</t>
  </si>
  <si>
    <t>-</t>
  </si>
  <si>
    <t>PnL</t>
  </si>
  <si>
    <t>LAD</t>
  </si>
  <si>
    <t>CVE</t>
  </si>
  <si>
    <t>ERF</t>
  </si>
  <si>
    <t>pos_id</t>
  </si>
  <si>
    <t>MDXG</t>
  </si>
  <si>
    <t>Comm</t>
  </si>
  <si>
    <t>RLYP</t>
  </si>
  <si>
    <t>Swing Trades</t>
  </si>
  <si>
    <t xml:space="preserve">  </t>
  </si>
  <si>
    <t>Pts</t>
  </si>
  <si>
    <t>DEPO</t>
  </si>
  <si>
    <t>NNBR</t>
  </si>
  <si>
    <t>NVIV</t>
  </si>
  <si>
    <t>VTNR</t>
  </si>
  <si>
    <t>zts qty</t>
  </si>
  <si>
    <t>diff</t>
  </si>
  <si>
    <t>Cost</t>
  </si>
  <si>
    <t>rtn</t>
  </si>
  <si>
    <t>SN</t>
  </si>
  <si>
    <t>WLL</t>
  </si>
  <si>
    <t>pending</t>
  </si>
  <si>
    <t>Qty</t>
  </si>
  <si>
    <t>MktVal</t>
  </si>
  <si>
    <t>WWE</t>
  </si>
  <si>
    <t>fido_ind</t>
  </si>
  <si>
    <t>fido_magic</t>
  </si>
  <si>
    <t>fido_trad</t>
  </si>
  <si>
    <t>fido_roll</t>
  </si>
  <si>
    <t>fido_roth</t>
  </si>
  <si>
    <t>IRA</t>
  </si>
  <si>
    <t>Non IRA</t>
  </si>
  <si>
    <t>zzcash</t>
  </si>
  <si>
    <t>qty</t>
  </si>
  <si>
    <t>cost</t>
  </si>
  <si>
    <t>value</t>
  </si>
  <si>
    <t>pnl</t>
  </si>
  <si>
    <t>COH</t>
  </si>
  <si>
    <t>%val</t>
  </si>
  <si>
    <t>%risk</t>
  </si>
  <si>
    <t>cash</t>
  </si>
  <si>
    <t>w/cash</t>
  </si>
  <si>
    <t>COHR</t>
  </si>
  <si>
    <t>AL</t>
  </si>
  <si>
    <t>NVDA</t>
  </si>
  <si>
    <t>ZZTVT</t>
  </si>
  <si>
    <t>AAAAAA</t>
  </si>
  <si>
    <t>EBAY</t>
  </si>
  <si>
    <t>IDTI</t>
  </si>
  <si>
    <t>FLDM</t>
  </si>
  <si>
    <t>EGHT</t>
  </si>
  <si>
    <t>STLD</t>
  </si>
  <si>
    <t>avgPx</t>
  </si>
  <si>
    <t>SWKS</t>
  </si>
  <si>
    <t>NVIVD</t>
  </si>
  <si>
    <t>split_factor</t>
  </si>
  <si>
    <t>HACK</t>
  </si>
  <si>
    <t>prev</t>
  </si>
  <si>
    <t>mark</t>
  </si>
  <si>
    <t>DayPnl</t>
  </si>
  <si>
    <t>DayPnL</t>
  </si>
  <si>
    <t>Stats for Open Positions</t>
  </si>
  <si>
    <t>Stats for Open and closed Positions</t>
  </si>
  <si>
    <t>NADL</t>
  </si>
  <si>
    <t>AKAM</t>
  </si>
  <si>
    <t>CRNT</t>
  </si>
  <si>
    <t>JOY</t>
  </si>
  <si>
    <t>MDAS</t>
  </si>
  <si>
    <t>All</t>
  </si>
  <si>
    <t>smz/joint</t>
  </si>
  <si>
    <t>Rtn</t>
  </si>
  <si>
    <t>SCI</t>
  </si>
  <si>
    <t>MIFI</t>
  </si>
  <si>
    <t>nextEntry</t>
  </si>
  <si>
    <t>Entries</t>
  </si>
  <si>
    <t>HOTR</t>
  </si>
  <si>
    <t>Rmult</t>
  </si>
  <si>
    <t>OVAS</t>
  </si>
  <si>
    <t>OPK</t>
  </si>
  <si>
    <t>giveB</t>
  </si>
  <si>
    <t>ALDR</t>
  </si>
  <si>
    <t>VDSI</t>
  </si>
  <si>
    <t>HOLI</t>
  </si>
  <si>
    <t>CTRL</t>
  </si>
  <si>
    <t>SONC</t>
  </si>
  <si>
    <t>DayRtn</t>
  </si>
  <si>
    <t>LPG</t>
  </si>
  <si>
    <t>ROL</t>
  </si>
  <si>
    <t>PGTI</t>
  </si>
  <si>
    <t>HZNP</t>
  </si>
  <si>
    <t>w</t>
  </si>
  <si>
    <t>rate</t>
  </si>
  <si>
    <t>ws</t>
  </si>
  <si>
    <t>hrs</t>
  </si>
  <si>
    <t>pmt</t>
  </si>
  <si>
    <t>s</t>
  </si>
  <si>
    <t>op</t>
  </si>
  <si>
    <t>day</t>
  </si>
  <si>
    <t>week</t>
  </si>
  <si>
    <t>month</t>
  </si>
  <si>
    <t>day%</t>
  </si>
  <si>
    <t>annual%</t>
  </si>
  <si>
    <t>AVXL</t>
  </si>
  <si>
    <t>ORLY</t>
  </si>
  <si>
    <t>SSO</t>
  </si>
  <si>
    <t>UPRO</t>
  </si>
  <si>
    <t>AAPL</t>
  </si>
  <si>
    <t>info</t>
  </si>
  <si>
    <t>AHS</t>
  </si>
  <si>
    <t>SLB</t>
  </si>
  <si>
    <t>AVXLD</t>
  </si>
  <si>
    <t>TRP</t>
  </si>
  <si>
    <t>shr px</t>
  </si>
  <si>
    <t>shares</t>
  </si>
  <si>
    <t>tot shares</t>
  </si>
  <si>
    <t>stoploss</t>
  </si>
  <si>
    <t>Rpos</t>
  </si>
  <si>
    <t>1R</t>
  </si>
  <si>
    <t>Cash</t>
  </si>
  <si>
    <t>eqval</t>
  </si>
  <si>
    <t>val</t>
  </si>
  <si>
    <t>totval</t>
  </si>
  <si>
    <t>$risk</t>
  </si>
  <si>
    <t>avgpx=</t>
  </si>
  <si>
    <t>lockedIn</t>
  </si>
  <si>
    <t>RTEM</t>
  </si>
  <si>
    <t>%portf</t>
  </si>
  <si>
    <t>My$</t>
  </si>
  <si>
    <t>Mkt$</t>
  </si>
  <si>
    <t>My</t>
  </si>
  <si>
    <t>Mkt</t>
  </si>
  <si>
    <t>My+Mkt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</si>
</sst>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28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5" xfId="0" applyBorder="1"/>
    <xf numFmtId="0" fontId="0" fillId="0" borderId="4" xfId="0" applyBorder="1"/>
    <xf numFmtId="0" fontId="0" fillId="0" borderId="6" xfId="0" quotePrefix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Alignment="1">
      <alignment horizontal="center"/>
    </xf>
    <xf numFmtId="43" fontId="0" fillId="2" borderId="0" xfId="1" applyFont="1" applyFill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5" xfId="1" applyFont="1" applyBorder="1"/>
    <xf numFmtId="0" fontId="6" fillId="0" borderId="0" xfId="0" applyFont="1" applyBorder="1"/>
    <xf numFmtId="0" fontId="0" fillId="0" borderId="0" xfId="0" applyAlignment="1">
      <alignment horizontal="center"/>
    </xf>
    <xf numFmtId="0" fontId="0" fillId="2" borderId="0" xfId="0" applyFill="1"/>
    <xf numFmtId="0" fontId="8" fillId="0" borderId="0" xfId="0" applyFont="1"/>
    <xf numFmtId="43" fontId="8" fillId="0" borderId="0" xfId="0" applyNumberFormat="1" applyFont="1"/>
    <xf numFmtId="43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0" borderId="0" xfId="204" applyNumberFormat="1" applyFont="1"/>
    <xf numFmtId="0" fontId="0" fillId="0" borderId="0" xfId="0" applyAlignment="1">
      <alignment horizontal="center"/>
    </xf>
    <xf numFmtId="9" fontId="0" fillId="0" borderId="0" xfId="204" applyFont="1"/>
    <xf numFmtId="164" fontId="9" fillId="0" borderId="0" xfId="1" applyNumberFormat="1" applyFont="1"/>
    <xf numFmtId="0" fontId="9" fillId="0" borderId="0" xfId="0" applyFont="1"/>
    <xf numFmtId="164" fontId="9" fillId="0" borderId="0" xfId="1" applyNumberFormat="1" applyFont="1" applyAlignment="1">
      <alignment horizontal="left"/>
    </xf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9" fontId="9" fillId="0" borderId="0" xfId="204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8" fillId="3" borderId="0" xfId="0" applyNumberFormat="1" applyFont="1" applyFill="1"/>
    <xf numFmtId="43" fontId="10" fillId="0" borderId="0" xfId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43" fontId="9" fillId="0" borderId="0" xfId="1" applyFont="1" applyAlignment="1">
      <alignment horizontal="center"/>
    </xf>
    <xf numFmtId="43" fontId="9" fillId="0" borderId="0" xfId="1" quotePrefix="1" applyFont="1" applyAlignment="1">
      <alignment horizontal="center"/>
    </xf>
    <xf numFmtId="165" fontId="9" fillId="0" borderId="0" xfId="204" applyNumberFormat="1" applyFont="1"/>
    <xf numFmtId="43" fontId="11" fillId="0" borderId="0" xfId="1" applyFont="1"/>
    <xf numFmtId="0" fontId="0" fillId="0" borderId="0" xfId="0" applyAlignment="1">
      <alignment horizontal="center"/>
    </xf>
    <xf numFmtId="0" fontId="12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164" fontId="9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9" fillId="0" borderId="0" xfId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204" applyFont="1" applyAlignment="1">
      <alignment horizontal="left"/>
    </xf>
    <xf numFmtId="0" fontId="9" fillId="0" borderId="5" xfId="0" applyFont="1" applyBorder="1"/>
    <xf numFmtId="164" fontId="13" fillId="0" borderId="0" xfId="0" applyNumberFormat="1" applyFont="1"/>
    <xf numFmtId="0" fontId="9" fillId="0" borderId="0" xfId="0" applyFont="1" applyAlignment="1"/>
    <xf numFmtId="0" fontId="12" fillId="0" borderId="5" xfId="0" applyFont="1" applyBorder="1"/>
    <xf numFmtId="16" fontId="9" fillId="0" borderId="0" xfId="0" applyNumberFormat="1" applyFont="1"/>
    <xf numFmtId="43" fontId="9" fillId="0" borderId="0" xfId="0" applyNumberFormat="1" applyFont="1"/>
    <xf numFmtId="0" fontId="13" fillId="0" borderId="0" xfId="0" applyFont="1" applyAlignment="1">
      <alignment horizontal="left"/>
    </xf>
    <xf numFmtId="0" fontId="14" fillId="0" borderId="0" xfId="0" applyFont="1"/>
    <xf numFmtId="9" fontId="13" fillId="0" borderId="0" xfId="204" applyFont="1"/>
    <xf numFmtId="164" fontId="11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04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</cellXfs>
  <cellStyles count="228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Normal" xfId="0" builtinId="0"/>
    <cellStyle name="Percent" xfId="204" builtinId="5"/>
  </cellStyles>
  <dxfs count="9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Z314"/>
  <sheetViews>
    <sheetView zoomScale="85" zoomScaleNormal="85" zoomScalePageLayoutView="85" workbookViewId="0">
      <pane ySplit="800" topLeftCell="A27"/>
      <selection activeCell="R2" sqref="R2"/>
      <selection pane="bottomLeft" activeCell="A173" sqref="A173"/>
    </sheetView>
  </sheetViews>
  <sheetFormatPr baseColWidth="10" defaultRowHeight="15" x14ac:dyDescent="0"/>
  <cols>
    <col min="2" max="2" width="8.83203125" customWidth="1"/>
    <col min="3" max="3" width="8.5" style="8" customWidth="1"/>
    <col min="4" max="4" width="9.1640625" customWidth="1"/>
    <col min="5" max="5" width="8.5" customWidth="1"/>
    <col min="6" max="6" width="8" customWidth="1"/>
    <col min="7" max="7" width="8.1640625" customWidth="1"/>
    <col min="8" max="8" width="8.33203125" style="1" customWidth="1"/>
    <col min="10" max="10" width="7.5" customWidth="1"/>
    <col min="11" max="11" width="8.6640625" customWidth="1"/>
    <col min="13" max="13" width="7" customWidth="1"/>
    <col min="14" max="14" width="7.83203125" customWidth="1"/>
    <col min="15" max="15" width="9.6640625" customWidth="1"/>
    <col min="17" max="17" width="7.83203125" customWidth="1"/>
    <col min="18" max="18" width="12.1640625" bestFit="1" customWidth="1"/>
    <col min="19" max="19" width="9.33203125" style="29" customWidth="1"/>
    <col min="20" max="20" width="7.6640625" style="29" customWidth="1"/>
    <col min="21" max="21" width="10.83203125" style="29"/>
    <col min="22" max="22" width="7.5" style="29" customWidth="1"/>
    <col min="23" max="25" width="10.83203125" style="29"/>
  </cols>
  <sheetData>
    <row r="1" spans="1:26" ht="18">
      <c r="A1" s="15" t="s">
        <v>38</v>
      </c>
      <c r="B1" s="7"/>
      <c r="C1" s="12"/>
      <c r="D1" s="7"/>
      <c r="E1" s="7"/>
      <c r="F1" s="7"/>
      <c r="G1" s="7"/>
      <c r="I1" s="114" t="s">
        <v>15</v>
      </c>
      <c r="J1" s="115"/>
      <c r="K1" s="116"/>
      <c r="L1" s="87" t="s">
        <v>16</v>
      </c>
      <c r="M1" s="88"/>
      <c r="N1" s="89"/>
      <c r="O1" s="117" t="s">
        <v>20</v>
      </c>
      <c r="P1" s="117"/>
      <c r="Q1" s="8"/>
      <c r="R1" s="6">
        <f>S1-1752</f>
        <v>456.76940000000104</v>
      </c>
      <c r="S1" s="48">
        <f>S288</f>
        <v>2208.769400000001</v>
      </c>
      <c r="T1" s="45"/>
      <c r="U1" s="65"/>
      <c r="V1" s="65"/>
      <c r="W1" s="65"/>
      <c r="X1" s="65">
        <f>SUMIF(B3:B271,"open",X3:X271)</f>
        <v>-1253.7219999999966</v>
      </c>
      <c r="Z1" s="89"/>
    </row>
    <row r="2" spans="1:26" ht="16" thickBot="1">
      <c r="A2" s="3" t="s">
        <v>0</v>
      </c>
      <c r="B2" s="3" t="s">
        <v>24</v>
      </c>
      <c r="C2" s="13" t="s">
        <v>34</v>
      </c>
      <c r="D2" s="3" t="s">
        <v>1</v>
      </c>
      <c r="E2" s="3" t="s">
        <v>52</v>
      </c>
      <c r="F2" s="3" t="s">
        <v>36</v>
      </c>
      <c r="G2" s="3" t="s">
        <v>2</v>
      </c>
      <c r="H2" s="14" t="s">
        <v>17</v>
      </c>
      <c r="I2" s="4" t="s">
        <v>3</v>
      </c>
      <c r="J2" s="3" t="s">
        <v>4</v>
      </c>
      <c r="K2" s="5" t="s">
        <v>5</v>
      </c>
      <c r="L2" s="4" t="s">
        <v>3</v>
      </c>
      <c r="M2" s="3" t="s">
        <v>4</v>
      </c>
      <c r="N2" s="5" t="s">
        <v>5</v>
      </c>
      <c r="O2" s="3" t="s">
        <v>18</v>
      </c>
      <c r="P2" s="3" t="s">
        <v>19</v>
      </c>
      <c r="Q2" s="3" t="s">
        <v>88</v>
      </c>
      <c r="R2" s="3" t="s">
        <v>28</v>
      </c>
      <c r="S2" s="63" t="s">
        <v>30</v>
      </c>
      <c r="T2" s="66" t="s">
        <v>40</v>
      </c>
      <c r="U2" s="67" t="s">
        <v>47</v>
      </c>
      <c r="V2" s="67" t="s">
        <v>48</v>
      </c>
      <c r="W2" s="29" t="s">
        <v>53</v>
      </c>
      <c r="X2" s="28" t="s">
        <v>89</v>
      </c>
      <c r="Y2" s="29" t="s">
        <v>85</v>
      </c>
      <c r="Z2" s="5" t="s">
        <v>109</v>
      </c>
    </row>
    <row r="3" spans="1:26" ht="15" hidden="1" customHeight="1">
      <c r="A3" t="s">
        <v>6</v>
      </c>
      <c r="B3" t="s">
        <v>26</v>
      </c>
      <c r="C3" s="8">
        <v>-1</v>
      </c>
      <c r="D3" t="s">
        <v>8</v>
      </c>
      <c r="E3" s="2">
        <v>175</v>
      </c>
      <c r="F3" s="1">
        <v>1.07</v>
      </c>
      <c r="G3" s="1">
        <v>16.41</v>
      </c>
      <c r="H3" s="11">
        <v>16.91</v>
      </c>
      <c r="I3" s="1">
        <v>16.04</v>
      </c>
      <c r="J3" s="1">
        <f>IF(AND(ISNUMBER(G3),ISNUMBER(I3)),G3-I3,"")</f>
        <v>0.37000000000000099</v>
      </c>
      <c r="K3" s="2" t="str">
        <f>IF((B3="open"),E3*J3,"-")</f>
        <v>-</v>
      </c>
      <c r="L3" s="11">
        <v>16.91</v>
      </c>
      <c r="M3" s="1">
        <f>IF(AND(ISNUMBER(G3),ISNUMBER(L3)),MAX(0,G3-L3),"")</f>
        <v>0</v>
      </c>
      <c r="N3" s="2" t="str">
        <f>IF(B3="open",M3*E3,"")</f>
        <v/>
      </c>
      <c r="O3" s="1">
        <f t="shared" ref="O3:O76" si="0">IF(ISNUMBER(H3),(H3-G3)/J3,"")</f>
        <v>1.3513513513513478</v>
      </c>
      <c r="P3" s="1" t="str">
        <f t="shared" ref="P3:P76" si="1">IF(B3="open",IF(ISNUMBER(R3),(R3-$G3)/$J3,""),"")</f>
        <v/>
      </c>
      <c r="Q3" s="11"/>
      <c r="R3" s="11">
        <v>17.190000000000001</v>
      </c>
      <c r="S3" s="1">
        <f t="shared" ref="S3:S14" si="2">IF(ISNUMBER(E3),IF(B3="closed",(H3-G3)*E3,(R3-G3)*E3)-F3,"")</f>
        <v>86.43</v>
      </c>
      <c r="T3" s="18"/>
      <c r="U3" s="1">
        <f t="shared" ref="U3:U76" si="3">E3*G3</f>
        <v>2871.75</v>
      </c>
      <c r="V3" s="1">
        <v>13.61</v>
      </c>
      <c r="W3" s="1">
        <f>IF(B3="closed",H3*E3,R3*E3)</f>
        <v>2959.25</v>
      </c>
      <c r="X3" s="6">
        <f>IF(B3="open",(R3-Q3)*E3,0)</f>
        <v>0</v>
      </c>
      <c r="Y3"/>
      <c r="Z3" s="21">
        <v>337.99999999999955</v>
      </c>
    </row>
    <row r="4" spans="1:26" ht="15" hidden="1" customHeight="1">
      <c r="A4" t="s">
        <v>23</v>
      </c>
      <c r="B4" t="s">
        <v>51</v>
      </c>
      <c r="C4" s="8">
        <v>38</v>
      </c>
      <c r="D4" t="s">
        <v>8</v>
      </c>
      <c r="E4" s="2">
        <v>225</v>
      </c>
      <c r="F4" s="1"/>
      <c r="G4" s="1">
        <v>15.295</v>
      </c>
      <c r="H4" s="11" t="s">
        <v>29</v>
      </c>
      <c r="I4" s="20">
        <v>14.46</v>
      </c>
      <c r="J4" s="20">
        <f t="shared" ref="J4:J14" si="4">IF(AND(ISNUMBER(G4),ISNUMBER(I4)),G4-I4,"-")</f>
        <v>0.83499999999999908</v>
      </c>
      <c r="K4" s="2">
        <f t="shared" ref="K4:K14" si="5">IFERROR(E4*J4,"-")</f>
        <v>187.8749999999998</v>
      </c>
      <c r="L4" s="11">
        <v>15.86</v>
      </c>
      <c r="M4" s="20">
        <f t="shared" ref="M4:M14" si="6">IF(AND(ISNUMBER(G4),ISNUMBER(L4)),MAX(0,G4-L4),"-")</f>
        <v>0</v>
      </c>
      <c r="N4" s="21" t="str">
        <f t="shared" ref="N4:N14" si="7">IF(B4="open",M4*E4,"-")</f>
        <v>-</v>
      </c>
      <c r="O4" s="1" t="str">
        <f t="shared" si="0"/>
        <v/>
      </c>
      <c r="P4" s="1" t="str">
        <f t="shared" si="1"/>
        <v/>
      </c>
      <c r="Q4" s="11"/>
      <c r="R4" s="11">
        <v>17.079999999999998</v>
      </c>
      <c r="S4" s="1">
        <f t="shared" si="2"/>
        <v>401.62499999999966</v>
      </c>
      <c r="T4" s="1">
        <f t="shared" ref="T4:T14" si="8">IF(ISNUMBER($E4),IF($B4="closed",($H4-$G4),($R4-$G4)),"")</f>
        <v>1.7849999999999984</v>
      </c>
      <c r="U4" s="1">
        <f t="shared" si="3"/>
        <v>3441.375</v>
      </c>
      <c r="V4" s="25">
        <f t="shared" ref="V4:V14" si="9">S4/U4</f>
        <v>0.11670480549199075</v>
      </c>
      <c r="W4" s="1">
        <f>E4*R4</f>
        <v>3842.9999999999995</v>
      </c>
      <c r="X4"/>
      <c r="Y4"/>
      <c r="Z4" s="21">
        <v>167.99999999999997</v>
      </c>
    </row>
    <row r="5" spans="1:26" ht="15" hidden="1" customHeight="1">
      <c r="A5" t="s">
        <v>23</v>
      </c>
      <c r="B5" t="s">
        <v>26</v>
      </c>
      <c r="C5" s="8">
        <v>44</v>
      </c>
      <c r="D5" t="s">
        <v>8</v>
      </c>
      <c r="E5" s="2">
        <v>189</v>
      </c>
      <c r="F5" s="1">
        <v>1.07</v>
      </c>
      <c r="G5" s="1">
        <v>16.11</v>
      </c>
      <c r="H5" s="11">
        <v>15.87</v>
      </c>
      <c r="I5" s="20">
        <v>14.76</v>
      </c>
      <c r="J5" s="20">
        <f t="shared" si="4"/>
        <v>1.3499999999999996</v>
      </c>
      <c r="K5" s="2">
        <f t="shared" si="5"/>
        <v>255.14999999999992</v>
      </c>
      <c r="L5" s="11">
        <v>15.86</v>
      </c>
      <c r="M5" s="20">
        <f t="shared" si="6"/>
        <v>0.25</v>
      </c>
      <c r="N5" s="21" t="str">
        <f t="shared" si="7"/>
        <v>-</v>
      </c>
      <c r="O5" s="1">
        <f t="shared" si="0"/>
        <v>-0.17777777777777798</v>
      </c>
      <c r="P5" s="1" t="str">
        <f t="shared" si="1"/>
        <v/>
      </c>
      <c r="Q5" s="11"/>
      <c r="R5" s="11">
        <f>R4</f>
        <v>17.079999999999998</v>
      </c>
      <c r="S5" s="1">
        <f t="shared" si="2"/>
        <v>-46.430000000000042</v>
      </c>
      <c r="T5" s="1">
        <f t="shared" si="8"/>
        <v>-0.24000000000000021</v>
      </c>
      <c r="U5" s="1">
        <f t="shared" si="3"/>
        <v>3044.79</v>
      </c>
      <c r="V5" s="25">
        <f t="shared" si="9"/>
        <v>-1.5248999109955051E-2</v>
      </c>
      <c r="W5" s="1">
        <f t="shared" ref="W5:W12" si="10">IF(B5="closed",H5*E5,R5*E5)</f>
        <v>2999.43</v>
      </c>
      <c r="X5" s="6">
        <f t="shared" ref="X5:X12" si="11">IF(B5="open",(R5-Q5)*E5,0)</f>
        <v>0</v>
      </c>
      <c r="Y5"/>
      <c r="Z5" s="21">
        <v>277.2000000000001</v>
      </c>
    </row>
    <row r="6" spans="1:26" ht="15" hidden="1" customHeight="1">
      <c r="A6" t="s">
        <v>23</v>
      </c>
      <c r="B6" t="s">
        <v>26</v>
      </c>
      <c r="C6" s="8">
        <v>161</v>
      </c>
      <c r="D6" t="s">
        <v>94</v>
      </c>
      <c r="E6" s="2">
        <v>35</v>
      </c>
      <c r="F6" s="1"/>
      <c r="G6" s="1">
        <v>75.790000000000006</v>
      </c>
      <c r="H6" s="11">
        <v>73.599999999999994</v>
      </c>
      <c r="I6" s="20">
        <v>72.650000000000006</v>
      </c>
      <c r="J6" s="20">
        <f t="shared" si="4"/>
        <v>3.1400000000000006</v>
      </c>
      <c r="K6" s="2">
        <f t="shared" si="5"/>
        <v>109.90000000000002</v>
      </c>
      <c r="L6" s="11">
        <v>72.650000000000006</v>
      </c>
      <c r="M6" s="20">
        <f t="shared" si="6"/>
        <v>3.1400000000000006</v>
      </c>
      <c r="N6" s="21" t="str">
        <f t="shared" si="7"/>
        <v>-</v>
      </c>
      <c r="O6" s="1">
        <f t="shared" si="0"/>
        <v>-0.69745222929936668</v>
      </c>
      <c r="P6" s="1" t="str">
        <f t="shared" si="1"/>
        <v/>
      </c>
      <c r="Q6" s="11">
        <f>VLOOKUP($D6,prices!$A$2:$C$19,3)</f>
        <v>29.45</v>
      </c>
      <c r="R6" s="11">
        <f>VLOOKUP($D6,prices!$A$2:$B$19,2)</f>
        <v>29.45</v>
      </c>
      <c r="S6" s="55">
        <f t="shared" si="2"/>
        <v>-76.650000000000418</v>
      </c>
      <c r="T6" s="55">
        <f t="shared" si="8"/>
        <v>-2.1900000000000119</v>
      </c>
      <c r="U6" s="55">
        <f t="shared" si="3"/>
        <v>2652.65</v>
      </c>
      <c r="V6" s="42">
        <f t="shared" si="9"/>
        <v>-2.8895632669217731E-2</v>
      </c>
      <c r="W6" s="55">
        <f t="shared" si="10"/>
        <v>2576</v>
      </c>
      <c r="X6" s="48">
        <f t="shared" si="11"/>
        <v>0</v>
      </c>
      <c r="Y6" s="68">
        <v>1</v>
      </c>
      <c r="Z6" s="21">
        <v>0</v>
      </c>
    </row>
    <row r="7" spans="1:26" ht="15" hidden="1" customHeight="1">
      <c r="A7" t="s">
        <v>58</v>
      </c>
      <c r="B7" t="s">
        <v>26</v>
      </c>
      <c r="D7" t="s">
        <v>94</v>
      </c>
      <c r="E7" s="2">
        <v>100</v>
      </c>
      <c r="F7" s="1"/>
      <c r="G7" s="1">
        <v>76.03</v>
      </c>
      <c r="H7" s="11">
        <v>72.180000000000007</v>
      </c>
      <c r="I7" s="20">
        <v>72.650000000000006</v>
      </c>
      <c r="J7" s="20">
        <f t="shared" si="4"/>
        <v>3.3799999999999955</v>
      </c>
      <c r="K7" s="2">
        <f t="shared" si="5"/>
        <v>337.99999999999955</v>
      </c>
      <c r="L7" s="11">
        <v>72.180000000000007</v>
      </c>
      <c r="M7" s="20">
        <f t="shared" si="6"/>
        <v>3.8499999999999943</v>
      </c>
      <c r="N7" s="21" t="str">
        <f t="shared" si="7"/>
        <v>-</v>
      </c>
      <c r="O7" s="1">
        <f t="shared" si="0"/>
        <v>-1.1390532544378698</v>
      </c>
      <c r="P7" s="1" t="str">
        <f t="shared" si="1"/>
        <v/>
      </c>
      <c r="Q7" s="11">
        <f>VLOOKUP($D7,prices!$A$2:$C$19,3)</f>
        <v>29.45</v>
      </c>
      <c r="R7" s="11">
        <f>VLOOKUP($D7,prices!$A$2:$B$19,2)</f>
        <v>29.45</v>
      </c>
      <c r="S7" s="55">
        <f t="shared" si="2"/>
        <v>-384.99999999999943</v>
      </c>
      <c r="T7" s="55">
        <f t="shared" si="8"/>
        <v>-3.8499999999999943</v>
      </c>
      <c r="U7" s="55">
        <f t="shared" si="3"/>
        <v>7603</v>
      </c>
      <c r="V7" s="42">
        <f t="shared" si="9"/>
        <v>-5.0637906089701361E-2</v>
      </c>
      <c r="W7" s="55">
        <f t="shared" si="10"/>
        <v>7218.0000000000009</v>
      </c>
      <c r="X7" s="48">
        <f t="shared" si="11"/>
        <v>0</v>
      </c>
      <c r="Y7" s="68">
        <v>1</v>
      </c>
      <c r="Z7" s="28" t="str">
        <f>IF(B7="open",(R7-L7)*E7,"-")</f>
        <v>-</v>
      </c>
    </row>
    <row r="8" spans="1:26" ht="15" hidden="1" customHeight="1">
      <c r="A8" t="s">
        <v>57</v>
      </c>
      <c r="B8" t="s">
        <v>26</v>
      </c>
      <c r="D8" t="s">
        <v>94</v>
      </c>
      <c r="E8" s="2">
        <v>50</v>
      </c>
      <c r="F8" s="1"/>
      <c r="G8" s="1">
        <v>76.010000000000005</v>
      </c>
      <c r="H8" s="11">
        <v>72.180000000000007</v>
      </c>
      <c r="I8" s="20">
        <v>72.650000000000006</v>
      </c>
      <c r="J8" s="20">
        <f t="shared" si="4"/>
        <v>3.3599999999999994</v>
      </c>
      <c r="K8" s="2">
        <f t="shared" si="5"/>
        <v>167.99999999999997</v>
      </c>
      <c r="L8" s="11">
        <v>72.180000000000007</v>
      </c>
      <c r="M8" s="20">
        <f t="shared" si="6"/>
        <v>3.8299999999999983</v>
      </c>
      <c r="N8" s="21" t="str">
        <f t="shared" si="7"/>
        <v>-</v>
      </c>
      <c r="O8" s="1">
        <f t="shared" si="0"/>
        <v>-1.1398809523809521</v>
      </c>
      <c r="P8" s="1" t="str">
        <f t="shared" si="1"/>
        <v/>
      </c>
      <c r="Q8" s="11">
        <f>VLOOKUP($D8,prices!$A$2:$C$19,3)</f>
        <v>29.45</v>
      </c>
      <c r="R8" s="11">
        <f>VLOOKUP($D8,prices!$A$2:$B$19,2)</f>
        <v>29.45</v>
      </c>
      <c r="S8" s="55">
        <f t="shared" si="2"/>
        <v>-191.49999999999991</v>
      </c>
      <c r="T8" s="55">
        <f t="shared" si="8"/>
        <v>-3.8299999999999983</v>
      </c>
      <c r="U8" s="55">
        <f t="shared" si="3"/>
        <v>3800.5000000000005</v>
      </c>
      <c r="V8" s="42">
        <f t="shared" si="9"/>
        <v>-5.0388106828048909E-2</v>
      </c>
      <c r="W8" s="55">
        <f t="shared" si="10"/>
        <v>3609.0000000000005</v>
      </c>
      <c r="X8" s="48">
        <f t="shared" si="11"/>
        <v>0</v>
      </c>
      <c r="Y8" s="68">
        <v>1</v>
      </c>
      <c r="Z8" s="28" t="str">
        <f>IF(B8="open",(R8-L8)*E8,"-")</f>
        <v>-</v>
      </c>
    </row>
    <row r="9" spans="1:26" ht="15" hidden="1" customHeight="1">
      <c r="A9" t="s">
        <v>23</v>
      </c>
      <c r="B9" t="s">
        <v>26</v>
      </c>
      <c r="C9" s="8">
        <v>104</v>
      </c>
      <c r="D9" t="s">
        <v>73</v>
      </c>
      <c r="E9" s="2">
        <v>108</v>
      </c>
      <c r="F9" s="1"/>
      <c r="G9" s="1">
        <v>38.508000000000003</v>
      </c>
      <c r="H9" s="11">
        <v>37.633000000000003</v>
      </c>
      <c r="I9" s="20">
        <v>35.97</v>
      </c>
      <c r="J9" s="20">
        <f t="shared" si="4"/>
        <v>2.5380000000000038</v>
      </c>
      <c r="K9" s="2">
        <f t="shared" si="5"/>
        <v>274.10400000000038</v>
      </c>
      <c r="L9" s="11">
        <v>36.68</v>
      </c>
      <c r="M9" s="20">
        <f t="shared" si="6"/>
        <v>1.828000000000003</v>
      </c>
      <c r="N9" s="21" t="str">
        <f t="shared" si="7"/>
        <v>-</v>
      </c>
      <c r="O9" s="1">
        <f t="shared" si="0"/>
        <v>-0.34475965327029107</v>
      </c>
      <c r="P9" s="1" t="str">
        <f t="shared" si="1"/>
        <v/>
      </c>
      <c r="Q9" s="11">
        <f>VLOOKUP($D9,prices!$A$2:$C$19,3)</f>
        <v>29.45</v>
      </c>
      <c r="R9" s="11">
        <f>VLOOKUP($D9,prices!$A$2:$B$19,2)</f>
        <v>29.45</v>
      </c>
      <c r="S9" s="55">
        <f t="shared" si="2"/>
        <v>-94.5</v>
      </c>
      <c r="T9" s="55">
        <f t="shared" si="8"/>
        <v>-0.875</v>
      </c>
      <c r="U9" s="55">
        <f t="shared" si="3"/>
        <v>4158.8640000000005</v>
      </c>
      <c r="V9" s="42">
        <f t="shared" si="9"/>
        <v>-2.272255115820089E-2</v>
      </c>
      <c r="W9" s="55">
        <f t="shared" si="10"/>
        <v>4064.3640000000005</v>
      </c>
      <c r="X9" s="48">
        <f t="shared" si="11"/>
        <v>0</v>
      </c>
      <c r="Y9" s="68">
        <v>1</v>
      </c>
      <c r="Z9" s="21">
        <v>2050.0000000000009</v>
      </c>
    </row>
    <row r="10" spans="1:26" ht="15" hidden="1" customHeight="1">
      <c r="A10" t="s">
        <v>6</v>
      </c>
      <c r="B10" t="s">
        <v>26</v>
      </c>
      <c r="C10" s="8">
        <v>105</v>
      </c>
      <c r="D10" t="s">
        <v>73</v>
      </c>
      <c r="E10" s="2">
        <v>29</v>
      </c>
      <c r="F10" s="1"/>
      <c r="G10" s="1">
        <v>38.508000000000003</v>
      </c>
      <c r="H10" s="11">
        <v>37.633000000000003</v>
      </c>
      <c r="I10" s="20">
        <v>35.97</v>
      </c>
      <c r="J10" s="20">
        <f t="shared" si="4"/>
        <v>2.5380000000000038</v>
      </c>
      <c r="K10" s="2">
        <f t="shared" si="5"/>
        <v>73.602000000000118</v>
      </c>
      <c r="L10" s="11">
        <v>36.68</v>
      </c>
      <c r="M10" s="20">
        <f t="shared" si="6"/>
        <v>1.828000000000003</v>
      </c>
      <c r="N10" s="21" t="str">
        <f t="shared" si="7"/>
        <v>-</v>
      </c>
      <c r="O10" s="1">
        <f t="shared" si="0"/>
        <v>-0.34475965327029107</v>
      </c>
      <c r="P10" s="1" t="str">
        <f t="shared" si="1"/>
        <v/>
      </c>
      <c r="Q10" s="11">
        <f>VLOOKUP($D10,prices!$A$2:$C$19,3)</f>
        <v>29.45</v>
      </c>
      <c r="R10" s="11">
        <f>VLOOKUP(D10,prices!$A$2:$B$19,2)</f>
        <v>29.45</v>
      </c>
      <c r="S10" s="55">
        <f t="shared" si="2"/>
        <v>-25.375</v>
      </c>
      <c r="T10" s="55">
        <f t="shared" si="8"/>
        <v>-0.875</v>
      </c>
      <c r="U10" s="55">
        <f t="shared" si="3"/>
        <v>1116.732</v>
      </c>
      <c r="V10" s="42">
        <f t="shared" si="9"/>
        <v>-2.2722551158200894E-2</v>
      </c>
      <c r="W10" s="55">
        <f t="shared" si="10"/>
        <v>1091.357</v>
      </c>
      <c r="X10" s="48">
        <f t="shared" si="11"/>
        <v>0</v>
      </c>
      <c r="Y10" s="68">
        <v>1</v>
      </c>
      <c r="Z10" s="21">
        <v>5830.0000000000027</v>
      </c>
    </row>
    <row r="11" spans="1:26" ht="15" hidden="1" customHeight="1">
      <c r="A11" t="s">
        <v>6</v>
      </c>
      <c r="B11" t="s">
        <v>51</v>
      </c>
      <c r="C11" s="8">
        <v>86</v>
      </c>
      <c r="D11" t="s">
        <v>67</v>
      </c>
      <c r="E11" s="2">
        <v>73</v>
      </c>
      <c r="F11" s="1">
        <v>1.06</v>
      </c>
      <c r="G11" s="37">
        <v>41.8</v>
      </c>
      <c r="H11" s="11" t="s">
        <v>29</v>
      </c>
      <c r="I11" s="20">
        <v>39.31</v>
      </c>
      <c r="J11" s="20">
        <f t="shared" si="4"/>
        <v>2.4899999999999949</v>
      </c>
      <c r="K11" s="2">
        <f t="shared" si="5"/>
        <v>181.76999999999964</v>
      </c>
      <c r="L11" s="11">
        <f>I11</f>
        <v>39.31</v>
      </c>
      <c r="M11" s="20">
        <f t="shared" si="6"/>
        <v>2.4899999999999949</v>
      </c>
      <c r="N11" s="21" t="str">
        <f t="shared" si="7"/>
        <v>-</v>
      </c>
      <c r="O11" s="1" t="str">
        <f t="shared" si="0"/>
        <v/>
      </c>
      <c r="P11" s="1" t="str">
        <f t="shared" si="1"/>
        <v/>
      </c>
      <c r="Q11" s="11"/>
      <c r="R11" s="11">
        <v>43.32</v>
      </c>
      <c r="S11" s="1">
        <f t="shared" si="2"/>
        <v>109.90000000000023</v>
      </c>
      <c r="T11" s="1">
        <f t="shared" si="8"/>
        <v>1.5200000000000031</v>
      </c>
      <c r="U11" s="1">
        <f t="shared" si="3"/>
        <v>3051.3999999999996</v>
      </c>
      <c r="V11" s="25">
        <f t="shared" si="9"/>
        <v>3.6016254833846836E-2</v>
      </c>
      <c r="W11" s="1">
        <f t="shared" si="10"/>
        <v>3162.36</v>
      </c>
      <c r="X11" s="6">
        <f t="shared" si="11"/>
        <v>0</v>
      </c>
      <c r="Y11"/>
      <c r="Z11" s="21">
        <v>0</v>
      </c>
    </row>
    <row r="12" spans="1:26" ht="15" hidden="1" customHeight="1">
      <c r="A12" t="s">
        <v>23</v>
      </c>
      <c r="B12" t="s">
        <v>26</v>
      </c>
      <c r="C12" s="8">
        <v>198</v>
      </c>
      <c r="D12" t="s">
        <v>110</v>
      </c>
      <c r="E12" s="2">
        <v>52</v>
      </c>
      <c r="F12" s="1"/>
      <c r="G12" s="1">
        <v>46.68</v>
      </c>
      <c r="H12" s="11">
        <v>50.38</v>
      </c>
      <c r="I12" s="20">
        <v>42.32</v>
      </c>
      <c r="J12" s="20">
        <f t="shared" si="4"/>
        <v>4.3599999999999994</v>
      </c>
      <c r="K12" s="2">
        <f t="shared" si="5"/>
        <v>226.71999999999997</v>
      </c>
      <c r="L12" s="11">
        <v>50.68</v>
      </c>
      <c r="M12" s="20">
        <f t="shared" si="6"/>
        <v>0</v>
      </c>
      <c r="N12" s="21" t="str">
        <f t="shared" si="7"/>
        <v>-</v>
      </c>
      <c r="O12" s="1">
        <f t="shared" si="0"/>
        <v>0.84862385321100997</v>
      </c>
      <c r="P12" s="1" t="str">
        <f t="shared" si="1"/>
        <v/>
      </c>
      <c r="Q12" s="11">
        <f>VLOOKUP($D12,prices!$A$2:$C$19,3)</f>
        <v>29.45</v>
      </c>
      <c r="R12" s="11">
        <f>VLOOKUP($D12,prices!$A$2:$B$19,2)</f>
        <v>29.45</v>
      </c>
      <c r="S12" s="55">
        <f t="shared" si="2"/>
        <v>192.40000000000015</v>
      </c>
      <c r="T12" s="55">
        <f t="shared" si="8"/>
        <v>3.7000000000000028</v>
      </c>
      <c r="U12" s="55">
        <f t="shared" si="3"/>
        <v>2427.36</v>
      </c>
      <c r="V12" s="42">
        <f t="shared" si="9"/>
        <v>7.9263067694944359E-2</v>
      </c>
      <c r="W12" s="55">
        <f t="shared" si="10"/>
        <v>2619.7600000000002</v>
      </c>
      <c r="X12" s="48">
        <f t="shared" si="11"/>
        <v>0</v>
      </c>
      <c r="Y12" s="68">
        <v>1</v>
      </c>
      <c r="Z12" s="28" t="str">
        <f>IF(B12="open",(R12-L12)*E12,"-")</f>
        <v>-</v>
      </c>
    </row>
    <row r="13" spans="1:26" ht="15" hidden="1" customHeight="1">
      <c r="A13" t="s">
        <v>23</v>
      </c>
      <c r="B13" t="s">
        <v>51</v>
      </c>
      <c r="C13" s="8">
        <v>31</v>
      </c>
      <c r="D13" t="s">
        <v>41</v>
      </c>
      <c r="E13" s="2">
        <v>75</v>
      </c>
      <c r="F13" s="1"/>
      <c r="G13" s="1">
        <v>17.324000000000002</v>
      </c>
      <c r="H13" s="11" t="s">
        <v>29</v>
      </c>
      <c r="I13" s="20">
        <v>13.62</v>
      </c>
      <c r="J13" s="20">
        <f t="shared" si="4"/>
        <v>3.7040000000000024</v>
      </c>
      <c r="K13" s="2">
        <f t="shared" si="5"/>
        <v>277.80000000000018</v>
      </c>
      <c r="L13" s="11">
        <v>18.190000000000001</v>
      </c>
      <c r="M13" s="20">
        <f t="shared" si="6"/>
        <v>0</v>
      </c>
      <c r="N13" s="21" t="str">
        <f t="shared" si="7"/>
        <v>-</v>
      </c>
      <c r="O13" s="1" t="str">
        <f t="shared" si="0"/>
        <v/>
      </c>
      <c r="P13" s="1" t="str">
        <f t="shared" si="1"/>
        <v/>
      </c>
      <c r="Q13" s="11"/>
      <c r="R13" s="11">
        <v>19.29</v>
      </c>
      <c r="S13" s="1">
        <f t="shared" si="2"/>
        <v>147.44999999999982</v>
      </c>
      <c r="T13" s="1">
        <f t="shared" si="8"/>
        <v>1.9659999999999975</v>
      </c>
      <c r="U13" s="1">
        <f t="shared" si="3"/>
        <v>1299.3000000000002</v>
      </c>
      <c r="V13" s="25">
        <f t="shared" si="9"/>
        <v>0.11348418379127206</v>
      </c>
      <c r="W13" s="1">
        <f>E13*R13</f>
        <v>1446.75</v>
      </c>
      <c r="X13"/>
      <c r="Y13"/>
      <c r="Z13" s="21">
        <v>409.5</v>
      </c>
    </row>
    <row r="14" spans="1:26" ht="15" hidden="1" customHeight="1">
      <c r="A14" t="s">
        <v>23</v>
      </c>
      <c r="B14" t="s">
        <v>26</v>
      </c>
      <c r="C14" s="8">
        <v>219</v>
      </c>
      <c r="D14" t="s">
        <v>110</v>
      </c>
      <c r="E14" s="2">
        <v>71</v>
      </c>
      <c r="F14" s="1"/>
      <c r="G14" s="1">
        <v>51.41</v>
      </c>
      <c r="H14" s="11">
        <v>50.42</v>
      </c>
      <c r="I14" s="20">
        <v>48.25</v>
      </c>
      <c r="J14" s="20">
        <f t="shared" si="4"/>
        <v>3.1599999999999966</v>
      </c>
      <c r="K14" s="2">
        <f t="shared" si="5"/>
        <v>224.35999999999976</v>
      </c>
      <c r="L14" s="11">
        <v>50.68</v>
      </c>
      <c r="M14" s="20">
        <f t="shared" si="6"/>
        <v>0.72999999999999687</v>
      </c>
      <c r="N14" s="21" t="str">
        <f t="shared" si="7"/>
        <v>-</v>
      </c>
      <c r="O14" s="1">
        <f t="shared" si="0"/>
        <v>-0.31329113924050506</v>
      </c>
      <c r="P14" s="1" t="str">
        <f t="shared" si="1"/>
        <v/>
      </c>
      <c r="Q14" s="11">
        <f>VLOOKUP($D14,prices!$A$2:$C$19,3)</f>
        <v>29.45</v>
      </c>
      <c r="R14" s="11">
        <f>VLOOKUP($D14,prices!$A$2:$B$19,2)</f>
        <v>29.45</v>
      </c>
      <c r="S14" s="55">
        <f t="shared" si="2"/>
        <v>-70.289999999999637</v>
      </c>
      <c r="T14" s="55">
        <f t="shared" si="8"/>
        <v>-0.98999999999999488</v>
      </c>
      <c r="U14" s="55">
        <f t="shared" si="3"/>
        <v>3650.1099999999997</v>
      </c>
      <c r="V14" s="42">
        <f t="shared" si="9"/>
        <v>-1.9256953900019354E-2</v>
      </c>
      <c r="W14" s="55">
        <f t="shared" ref="W14:W87" si="12">IF(B14="closed",H14*E14,R14*E14)</f>
        <v>3579.82</v>
      </c>
      <c r="X14" s="48">
        <f t="shared" ref="X14:X87" si="13">IF(B14="open",(R14-Q14)*E14,0)</f>
        <v>0</v>
      </c>
      <c r="Y14" s="68">
        <v>1</v>
      </c>
      <c r="Z14" s="28" t="str">
        <f>IF(B14="open",(R14-L14)*E14,"-")</f>
        <v>-</v>
      </c>
    </row>
    <row r="15" spans="1:26" ht="15" hidden="1" customHeight="1">
      <c r="A15" t="s">
        <v>23</v>
      </c>
      <c r="B15" t="s">
        <v>26</v>
      </c>
      <c r="D15" t="s">
        <v>27</v>
      </c>
      <c r="E15" s="2">
        <v>369</v>
      </c>
      <c r="F15" s="1"/>
      <c r="G15" s="1">
        <v>6.5644999999999998</v>
      </c>
      <c r="H15" s="17">
        <v>6.73</v>
      </c>
      <c r="I15" s="1">
        <v>5.7</v>
      </c>
      <c r="J15" s="1">
        <f>IF(AND(ISNUMBER(G15),ISNUMBER(I15)),G15-I15,"")</f>
        <v>0.8644999999999996</v>
      </c>
      <c r="K15" s="2" t="str">
        <f>IF((B15="open"),E15*J15,"-")</f>
        <v>-</v>
      </c>
      <c r="L15" s="11">
        <f>U15</f>
        <v>2422.3004999999998</v>
      </c>
      <c r="M15" s="1">
        <f>IF(AND(ISNUMBER(G15),ISNUMBER(L15)),MAX(0,G15-L15),"")</f>
        <v>0</v>
      </c>
      <c r="N15" s="2" t="str">
        <f>IF(B15="open",M15*E15,"")</f>
        <v/>
      </c>
      <c r="O15" s="1">
        <f t="shared" si="0"/>
        <v>0.1914401388085607</v>
      </c>
      <c r="P15" s="1" t="str">
        <f t="shared" si="1"/>
        <v/>
      </c>
      <c r="Q15" s="11"/>
      <c r="R15" s="11">
        <v>6.84</v>
      </c>
      <c r="S15" s="1">
        <f>IF(ISNUMBER(E15),IF(B15="closed",(H15-G15)*E15,(R15-G15)*E15),"")</f>
        <v>61.069500000000239</v>
      </c>
      <c r="T15" s="18"/>
      <c r="U15" s="1">
        <f t="shared" si="3"/>
        <v>2422.3004999999998</v>
      </c>
      <c r="V15">
        <v>5.7</v>
      </c>
      <c r="W15" s="1">
        <f t="shared" si="12"/>
        <v>2483.3700000000003</v>
      </c>
      <c r="X15" s="6">
        <f t="shared" si="13"/>
        <v>0</v>
      </c>
      <c r="Y15"/>
      <c r="Z15" s="21">
        <v>88.908000000000015</v>
      </c>
    </row>
    <row r="16" spans="1:26" ht="15" hidden="1" customHeight="1">
      <c r="A16" t="s">
        <v>23</v>
      </c>
      <c r="B16" t="s">
        <v>26</v>
      </c>
      <c r="C16" s="109">
        <v>1057</v>
      </c>
      <c r="D16" t="s">
        <v>136</v>
      </c>
      <c r="E16" s="2">
        <v>36</v>
      </c>
      <c r="F16" s="1"/>
      <c r="G16" s="1">
        <v>111.38</v>
      </c>
      <c r="H16" s="11">
        <v>114.13200000000001</v>
      </c>
      <c r="I16" s="20">
        <v>100.31</v>
      </c>
      <c r="J16" s="20">
        <f t="shared" ref="J16:J29" si="14">IF(AND(ISNUMBER(G16),ISNUMBER(I16)),G16-I16,"-")</f>
        <v>11.069999999999993</v>
      </c>
      <c r="K16" s="2">
        <f t="shared" ref="K16:K29" si="15">IFERROR(E16*J16,"-")</f>
        <v>398.51999999999975</v>
      </c>
      <c r="L16" s="11">
        <v>114.18</v>
      </c>
      <c r="M16" s="20">
        <f t="shared" ref="M16:M29" si="16">IF(AND(ISNUMBER(G16),ISNUMBER(L16)),MAX(0,G16-L16),"-")</f>
        <v>0</v>
      </c>
      <c r="N16" s="21" t="str">
        <f t="shared" ref="N16:N29" si="17">IF(B16="open",M16*E16,"-")</f>
        <v>-</v>
      </c>
      <c r="O16" s="1">
        <f t="shared" si="0"/>
        <v>0.24859981933152767</v>
      </c>
      <c r="P16" s="1" t="str">
        <f t="shared" si="1"/>
        <v/>
      </c>
      <c r="Q16" s="11">
        <f>VLOOKUP($D16,prices!$A$2:$C$19,3)</f>
        <v>0</v>
      </c>
      <c r="R16" s="11">
        <f>VLOOKUP(D16,prices!$A$2:$B$19,2)</f>
        <v>0</v>
      </c>
      <c r="S16" s="55">
        <f t="shared" ref="S16:S29" si="18">IF(ISNUMBER(E16),IF(B16="closed",(H16-G16)*E16,(R16-G16)*E16)-F16,"")</f>
        <v>99.072000000000344</v>
      </c>
      <c r="T16" s="55">
        <f t="shared" ref="T16:T29" si="19">IF(ISNUMBER($E16),IF($B16="closed",($H16-$G16),($R16-$G16)),"")</f>
        <v>2.7520000000000095</v>
      </c>
      <c r="U16" s="55">
        <f t="shared" si="3"/>
        <v>4009.68</v>
      </c>
      <c r="V16" s="42">
        <f t="shared" ref="V16:V29" si="20">S16/U16</f>
        <v>2.4708206141138531E-2</v>
      </c>
      <c r="W16" s="55">
        <f t="shared" si="12"/>
        <v>4108.7520000000004</v>
      </c>
      <c r="X16" s="48">
        <f t="shared" si="13"/>
        <v>0</v>
      </c>
      <c r="Y16"/>
      <c r="Z16" s="21">
        <v>0</v>
      </c>
    </row>
    <row r="17" spans="1:26" ht="15" hidden="1" customHeight="1">
      <c r="A17" t="s">
        <v>6</v>
      </c>
      <c r="B17" t="s">
        <v>26</v>
      </c>
      <c r="C17" s="109">
        <v>1058</v>
      </c>
      <c r="D17" t="s">
        <v>136</v>
      </c>
      <c r="E17" s="2">
        <v>10</v>
      </c>
      <c r="F17" s="1"/>
      <c r="G17" s="1">
        <v>111.38</v>
      </c>
      <c r="H17" s="11">
        <v>114.111</v>
      </c>
      <c r="I17" s="20">
        <v>100.31</v>
      </c>
      <c r="J17" s="20">
        <f t="shared" si="14"/>
        <v>11.069999999999993</v>
      </c>
      <c r="K17" s="2">
        <f t="shared" si="15"/>
        <v>110.69999999999993</v>
      </c>
      <c r="L17" s="11">
        <v>114.18</v>
      </c>
      <c r="M17" s="20">
        <f t="shared" si="16"/>
        <v>0</v>
      </c>
      <c r="N17" s="21" t="str">
        <f t="shared" si="17"/>
        <v>-</v>
      </c>
      <c r="O17" s="1">
        <f t="shared" ref="O17" si="21">IF(ISNUMBER(H17),(H17-G17)/J17,"")</f>
        <v>0.24670280036133788</v>
      </c>
      <c r="P17" s="1" t="str">
        <f t="shared" ref="P17:P20" si="22">IF(B17="open",IF(ISNUMBER(R17),(R17-$G17)/$J17,""),"")</f>
        <v/>
      </c>
      <c r="Q17" s="11">
        <f>VLOOKUP($D17,prices!$A$2:$C$19,3)</f>
        <v>0</v>
      </c>
      <c r="R17" s="11">
        <f>VLOOKUP(D17,prices!$A$2:$B$19,2)</f>
        <v>0</v>
      </c>
      <c r="S17" s="55">
        <f t="shared" si="18"/>
        <v>27.310000000000088</v>
      </c>
      <c r="T17" s="55">
        <f t="shared" si="19"/>
        <v>2.7310000000000088</v>
      </c>
      <c r="U17" s="55">
        <f t="shared" ref="U17:U20" si="23">E17*G17</f>
        <v>1113.8</v>
      </c>
      <c r="V17" s="42">
        <f t="shared" si="20"/>
        <v>2.4519662416951058E-2</v>
      </c>
      <c r="W17" s="55">
        <f t="shared" ref="W17" si="24">IF(B17="closed",H17*E17,R17*E17)</f>
        <v>1141.1100000000001</v>
      </c>
      <c r="X17" s="48">
        <f t="shared" ref="X17:X20" si="25">IF(B17="open",(R17-Q17)*E17,0)</f>
        <v>0</v>
      </c>
      <c r="Y17"/>
      <c r="Z17" s="21">
        <v>0</v>
      </c>
    </row>
    <row r="18" spans="1:26" ht="15" hidden="1" customHeight="1">
      <c r="A18" t="s">
        <v>23</v>
      </c>
      <c r="B18" t="s">
        <v>26</v>
      </c>
      <c r="C18" s="110">
        <v>1063</v>
      </c>
      <c r="D18" t="s">
        <v>138</v>
      </c>
      <c r="E18" s="2">
        <v>141</v>
      </c>
      <c r="F18" s="1"/>
      <c r="G18" s="1">
        <v>35.97645</v>
      </c>
      <c r="H18" s="11">
        <v>34.54</v>
      </c>
      <c r="I18" s="20">
        <v>33.299999999999997</v>
      </c>
      <c r="J18" s="20">
        <f t="shared" si="14"/>
        <v>2.6764500000000027</v>
      </c>
      <c r="K18" s="2">
        <f t="shared" si="15"/>
        <v>377.37945000000036</v>
      </c>
      <c r="L18" s="11">
        <v>33.299999999999997</v>
      </c>
      <c r="M18" s="20">
        <f t="shared" si="16"/>
        <v>2.6764500000000027</v>
      </c>
      <c r="N18" s="21" t="str">
        <f t="shared" si="17"/>
        <v>-</v>
      </c>
      <c r="O18" s="1" t="str">
        <f>IF(ISNUMBER(#REF!),(#REF!-G18)/J18,"")</f>
        <v/>
      </c>
      <c r="P18" s="1" t="str">
        <f t="shared" ref="P18" si="26">IF(B18="open",IF(ISNUMBER(R18),(R18-$G18)/$J18,""),"")</f>
        <v/>
      </c>
      <c r="Q18" s="11">
        <f>VLOOKUP($D18,prices!$A$2:$C$19,3)</f>
        <v>29.45</v>
      </c>
      <c r="R18" s="11">
        <f>VLOOKUP(D18,prices!$A$2:$B$19,2)</f>
        <v>29.45</v>
      </c>
      <c r="S18" s="55" t="e">
        <f>IF(ISNUMBER(E18),IF(B18="closed",(#REF!-G18)*E18,(R18-G18)*E18)-F18,"")</f>
        <v>#REF!</v>
      </c>
      <c r="T18" s="55" t="e">
        <f>IF(ISNUMBER($E18),IF($B18="closed",(#REF!-$G18),($R18-$G18)),"")</f>
        <v>#REF!</v>
      </c>
      <c r="U18" s="55">
        <f t="shared" ref="U18" si="27">E18*G18</f>
        <v>5072.6794499999996</v>
      </c>
      <c r="V18" s="42" t="e">
        <f t="shared" si="20"/>
        <v>#REF!</v>
      </c>
      <c r="W18" s="55" t="e">
        <f>IF(B18="closed",#REF!*E18,R18*E18)</f>
        <v>#REF!</v>
      </c>
      <c r="X18" s="48">
        <f t="shared" ref="X18" si="28">IF(B18="open",(R18-Q18)*E18,0)</f>
        <v>0</v>
      </c>
      <c r="Y18"/>
      <c r="Z18" s="21">
        <v>0</v>
      </c>
    </row>
    <row r="19" spans="1:26" ht="15" hidden="1" customHeight="1">
      <c r="A19" t="s">
        <v>6</v>
      </c>
      <c r="B19" t="s">
        <v>26</v>
      </c>
      <c r="C19" s="110">
        <v>1064</v>
      </c>
      <c r="D19" t="s">
        <v>138</v>
      </c>
      <c r="E19" s="2">
        <v>41</v>
      </c>
      <c r="F19" s="1"/>
      <c r="G19" s="1">
        <v>35.979999999999997</v>
      </c>
      <c r="H19" s="11">
        <v>34.53</v>
      </c>
      <c r="I19" s="20">
        <v>33.31</v>
      </c>
      <c r="J19" s="20">
        <f t="shared" ref="J19:J20" si="29">IF(AND(ISNUMBER(G19),ISNUMBER(I19)),G19-I19,"-")</f>
        <v>2.6699999999999946</v>
      </c>
      <c r="K19" s="2">
        <f t="shared" ref="K19:K20" si="30">IFERROR(E19*J19,"-")</f>
        <v>109.46999999999977</v>
      </c>
      <c r="L19" s="11">
        <v>33.31</v>
      </c>
      <c r="M19" s="20">
        <f t="shared" ref="M19:M20" si="31">IF(AND(ISNUMBER(G19),ISNUMBER(L19)),MAX(0,G19-L19),"-")</f>
        <v>2.6699999999999946</v>
      </c>
      <c r="N19" s="21" t="str">
        <f t="shared" ref="N19:N20" si="32">IF(B19="open",M19*E19,"-")</f>
        <v>-</v>
      </c>
      <c r="O19" s="1">
        <f>IF(ISNUMBER(H18),(H18-G19)/J19,"")</f>
        <v>-0.53932584269662942</v>
      </c>
      <c r="P19" s="1" t="str">
        <f t="shared" si="22"/>
        <v/>
      </c>
      <c r="Q19" s="11">
        <f>VLOOKUP($D19,prices!$A$2:$C$19,3)</f>
        <v>29.45</v>
      </c>
      <c r="R19" s="11">
        <f>VLOOKUP(D19,prices!$A$2:$B$19,2)</f>
        <v>29.45</v>
      </c>
      <c r="S19" s="55">
        <f>IF(ISNUMBER(E19),IF(B19="closed",(H18-G19)*E19,(R19-G19)*E19)-F19,"")</f>
        <v>-59.039999999999907</v>
      </c>
      <c r="T19" s="55">
        <f>IF(ISNUMBER($E19),IF($B19="closed",($H18-$G19),($R19-$G19)),"")</f>
        <v>-1.4399999999999977</v>
      </c>
      <c r="U19" s="55">
        <f t="shared" si="23"/>
        <v>1475.1799999999998</v>
      </c>
      <c r="V19" s="42">
        <f t="shared" ref="V19:V20" si="33">S19/U19</f>
        <v>-4.0022234574763699E-2</v>
      </c>
      <c r="W19" s="55">
        <f>IF(B19="closed",H18*E19,R19*E19)</f>
        <v>1416.1399999999999</v>
      </c>
      <c r="X19" s="48">
        <f t="shared" si="25"/>
        <v>0</v>
      </c>
      <c r="Y19"/>
      <c r="Z19" s="21">
        <v>0</v>
      </c>
    </row>
    <row r="20" spans="1:26" ht="15" customHeight="1">
      <c r="A20" t="s">
        <v>23</v>
      </c>
      <c r="B20" t="s">
        <v>26</v>
      </c>
      <c r="C20" s="111">
        <v>1066</v>
      </c>
      <c r="D20" t="s">
        <v>138</v>
      </c>
      <c r="E20" s="2">
        <v>233</v>
      </c>
      <c r="F20" s="1"/>
      <c r="G20" s="1">
        <v>29.05</v>
      </c>
      <c r="H20" s="11">
        <v>27.86</v>
      </c>
      <c r="I20" s="20">
        <v>27.98</v>
      </c>
      <c r="J20" s="20">
        <f t="shared" si="29"/>
        <v>1.0700000000000003</v>
      </c>
      <c r="K20" s="2">
        <f t="shared" si="30"/>
        <v>249.31000000000006</v>
      </c>
      <c r="L20" s="11">
        <v>27.98</v>
      </c>
      <c r="M20" s="20">
        <f t="shared" si="31"/>
        <v>1.0700000000000003</v>
      </c>
      <c r="N20" s="21" t="str">
        <f t="shared" si="32"/>
        <v>-</v>
      </c>
      <c r="O20" s="1">
        <f>IF(ISNUMBER(H18),(H18-G20)/J20,"")</f>
        <v>5.1308411214953242</v>
      </c>
      <c r="P20" s="1" t="str">
        <f t="shared" si="22"/>
        <v/>
      </c>
      <c r="Q20" s="11">
        <f>VLOOKUP($D20,prices!$A$2:$C$19,3)</f>
        <v>29.45</v>
      </c>
      <c r="R20" s="11">
        <f>VLOOKUP(D20,prices!$A$2:$B$19,2)</f>
        <v>29.45</v>
      </c>
      <c r="S20" s="55">
        <f>IF(ISNUMBER(E20),IF(B20="closed",(H20-G20)*E20,(R20-G20)*E20)-F20,"")</f>
        <v>-277.27000000000032</v>
      </c>
      <c r="T20" s="55">
        <f>IF(ISNUMBER($E20),IF($B20="closed",($H18-$G20),($R20-$G20)),"")</f>
        <v>5.4899999999999984</v>
      </c>
      <c r="U20" s="55">
        <f t="shared" si="23"/>
        <v>6768.6500000000005</v>
      </c>
      <c r="V20" s="42">
        <f t="shared" si="33"/>
        <v>-4.096385542168679E-2</v>
      </c>
      <c r="W20" s="55">
        <f>IF(B20="closed",H18*E20,R20*E20)</f>
        <v>8047.82</v>
      </c>
      <c r="X20" s="48">
        <f t="shared" si="25"/>
        <v>0</v>
      </c>
      <c r="Y20"/>
      <c r="Z20" s="21">
        <v>0</v>
      </c>
    </row>
    <row r="21" spans="1:26" ht="15" customHeight="1">
      <c r="A21" t="s">
        <v>6</v>
      </c>
      <c r="B21" t="s">
        <v>26</v>
      </c>
      <c r="C21" s="111">
        <v>1065</v>
      </c>
      <c r="D21" t="s">
        <v>138</v>
      </c>
      <c r="E21" s="2">
        <v>70</v>
      </c>
      <c r="F21" s="1"/>
      <c r="G21" s="1">
        <v>29.05</v>
      </c>
      <c r="H21" s="11">
        <v>27.86</v>
      </c>
      <c r="I21" s="20">
        <v>27.98</v>
      </c>
      <c r="J21" s="20">
        <f t="shared" ref="J21" si="34">IF(AND(ISNUMBER(G21),ISNUMBER(I21)),G21-I21,"-")</f>
        <v>1.0700000000000003</v>
      </c>
      <c r="K21" s="2">
        <f t="shared" ref="K21" si="35">IFERROR(E21*J21,"-")</f>
        <v>74.90000000000002</v>
      </c>
      <c r="L21" s="11">
        <v>27.98</v>
      </c>
      <c r="M21" s="20">
        <f t="shared" ref="M21" si="36">IF(AND(ISNUMBER(G21),ISNUMBER(L21)),MAX(0,G21-L21),"-")</f>
        <v>1.0700000000000003</v>
      </c>
      <c r="N21" s="21" t="str">
        <f t="shared" ref="N21" si="37">IF(B21="open",M21*E21,"-")</f>
        <v>-</v>
      </c>
      <c r="O21" s="1">
        <f>IF(ISNUMBER(H19),(H19-G21)/J21,"")</f>
        <v>5.121495327102803</v>
      </c>
      <c r="P21" s="1" t="str">
        <f t="shared" ref="P21" si="38">IF(B21="open",IF(ISNUMBER(R21),(R21-$G21)/$J21,""),"")</f>
        <v/>
      </c>
      <c r="Q21" s="11">
        <f>VLOOKUP($D21,prices!$A$2:$C$19,3)</f>
        <v>29.45</v>
      </c>
      <c r="R21" s="11">
        <f>VLOOKUP(D21,prices!$A$2:$B$19,2)</f>
        <v>29.45</v>
      </c>
      <c r="S21" s="55">
        <f>IF(ISNUMBER(E21),IF(B21="closed",(H21-G21)*E21,(R21-G21)*E21)-F21,"")</f>
        <v>-83.300000000000097</v>
      </c>
      <c r="T21" s="55">
        <f>IF(ISNUMBER($E21),IF($B21="closed",($H19-$G21),($R21-$G21)),"")</f>
        <v>5.48</v>
      </c>
      <c r="U21" s="55">
        <f t="shared" ref="U21" si="39">E21*G21</f>
        <v>2033.5</v>
      </c>
      <c r="V21" s="42">
        <f t="shared" ref="V21" si="40">S21/U21</f>
        <v>-4.0963855421686797E-2</v>
      </c>
      <c r="W21" s="55">
        <f>IF(B21="closed",H19*E21,R21*E21)</f>
        <v>2417.1</v>
      </c>
      <c r="X21" s="48">
        <f t="shared" ref="X21" si="41">IF(B21="open",(R21-Q21)*E21,0)</f>
        <v>0</v>
      </c>
      <c r="Y21"/>
      <c r="Z21" s="21">
        <v>0</v>
      </c>
    </row>
    <row r="22" spans="1:26" ht="15" customHeight="1">
      <c r="A22" t="s">
        <v>23</v>
      </c>
      <c r="B22" t="s">
        <v>26</v>
      </c>
      <c r="C22" s="8">
        <v>1027</v>
      </c>
      <c r="D22" t="s">
        <v>132</v>
      </c>
      <c r="E22" s="2">
        <v>639</v>
      </c>
      <c r="F22" s="1"/>
      <c r="G22" s="1">
        <v>1.25</v>
      </c>
      <c r="H22" s="11">
        <v>1.4</v>
      </c>
      <c r="I22" s="20">
        <v>0.57999999999999996</v>
      </c>
      <c r="J22" s="20">
        <f t="shared" si="14"/>
        <v>0.67</v>
      </c>
      <c r="K22" s="2">
        <f t="shared" si="15"/>
        <v>428.13000000000005</v>
      </c>
      <c r="L22" s="11">
        <v>0.96</v>
      </c>
      <c r="M22" s="20">
        <f t="shared" si="16"/>
        <v>0.29000000000000004</v>
      </c>
      <c r="N22" s="21" t="str">
        <f t="shared" si="17"/>
        <v>-</v>
      </c>
      <c r="O22" s="1">
        <f t="shared" si="0"/>
        <v>0.22388059701492521</v>
      </c>
      <c r="P22" s="1" t="str">
        <f t="shared" si="1"/>
        <v/>
      </c>
      <c r="Q22" s="11">
        <f>VLOOKUP($D22,prices!$A$2:$C$19,3)</f>
        <v>2.1</v>
      </c>
      <c r="R22" s="11">
        <f>VLOOKUP(D22,prices!$A$2:$B$19,2)</f>
        <v>2.2625000000000002</v>
      </c>
      <c r="S22" s="55">
        <f t="shared" si="18"/>
        <v>95.849999999999937</v>
      </c>
      <c r="T22" s="55">
        <f t="shared" si="19"/>
        <v>0.14999999999999991</v>
      </c>
      <c r="U22" s="55">
        <f t="shared" si="3"/>
        <v>798.75</v>
      </c>
      <c r="V22" s="42">
        <f t="shared" si="20"/>
        <v>0.11999999999999993</v>
      </c>
      <c r="W22" s="55">
        <f t="shared" si="12"/>
        <v>894.59999999999991</v>
      </c>
      <c r="X22" s="48">
        <f t="shared" si="13"/>
        <v>0</v>
      </c>
      <c r="Y22"/>
      <c r="Z22" s="21">
        <v>0</v>
      </c>
    </row>
    <row r="23" spans="1:26" ht="15" customHeight="1">
      <c r="A23" t="s">
        <v>23</v>
      </c>
      <c r="B23" t="s">
        <v>26</v>
      </c>
      <c r="C23" s="8">
        <v>1037</v>
      </c>
      <c r="D23" t="s">
        <v>132</v>
      </c>
      <c r="E23" s="2">
        <v>699</v>
      </c>
      <c r="F23" s="1"/>
      <c r="G23" s="1">
        <v>1.42</v>
      </c>
      <c r="H23" s="11">
        <v>1.4</v>
      </c>
      <c r="I23" s="20">
        <v>0.85</v>
      </c>
      <c r="J23" s="20">
        <f t="shared" si="14"/>
        <v>0.56999999999999995</v>
      </c>
      <c r="K23" s="2">
        <f t="shared" si="15"/>
        <v>398.42999999999995</v>
      </c>
      <c r="L23" s="11">
        <v>0.96</v>
      </c>
      <c r="M23" s="20">
        <f t="shared" si="16"/>
        <v>0.45999999999999996</v>
      </c>
      <c r="N23" s="21" t="str">
        <f t="shared" si="17"/>
        <v>-</v>
      </c>
      <c r="O23" s="1">
        <f t="shared" si="0"/>
        <v>-3.5087719298245647E-2</v>
      </c>
      <c r="P23" s="1" t="str">
        <f t="shared" si="1"/>
        <v/>
      </c>
      <c r="Q23" s="11">
        <f>VLOOKUP($D23,prices!$A$2:$C$19,3)</f>
        <v>2.1</v>
      </c>
      <c r="R23" s="11">
        <f>VLOOKUP(D23,prices!$A$2:$B$19,2)</f>
        <v>2.2625000000000002</v>
      </c>
      <c r="S23" s="55">
        <f t="shared" si="18"/>
        <v>-13.980000000000013</v>
      </c>
      <c r="T23" s="55">
        <f t="shared" si="19"/>
        <v>-2.0000000000000018E-2</v>
      </c>
      <c r="U23" s="55">
        <f t="shared" si="3"/>
        <v>992.57999999999993</v>
      </c>
      <c r="V23" s="42">
        <f t="shared" si="20"/>
        <v>-1.4084507042253535E-2</v>
      </c>
      <c r="W23" s="55">
        <f t="shared" si="12"/>
        <v>978.59999999999991</v>
      </c>
      <c r="X23" s="48">
        <f t="shared" si="13"/>
        <v>0</v>
      </c>
      <c r="Y23"/>
      <c r="Z23" s="21">
        <v>0</v>
      </c>
    </row>
    <row r="24" spans="1:26" ht="15" customHeight="1">
      <c r="A24" t="s">
        <v>23</v>
      </c>
      <c r="B24" t="s">
        <v>26</v>
      </c>
      <c r="C24" s="8">
        <v>1049</v>
      </c>
      <c r="D24" t="s">
        <v>132</v>
      </c>
      <c r="E24" s="2">
        <v>693</v>
      </c>
      <c r="F24" s="1"/>
      <c r="G24" s="1">
        <v>1.37</v>
      </c>
      <c r="H24" s="11">
        <v>1.4</v>
      </c>
      <c r="I24" s="20">
        <v>0.85</v>
      </c>
      <c r="J24" s="20">
        <f t="shared" si="14"/>
        <v>0.52000000000000013</v>
      </c>
      <c r="K24" s="2">
        <f t="shared" si="15"/>
        <v>360.36000000000007</v>
      </c>
      <c r="L24" s="11">
        <v>0.96</v>
      </c>
      <c r="M24" s="20">
        <f t="shared" si="16"/>
        <v>0.41000000000000014</v>
      </c>
      <c r="N24" s="21" t="str">
        <f t="shared" si="17"/>
        <v>-</v>
      </c>
      <c r="O24" s="1">
        <f t="shared" si="0"/>
        <v>5.76923076923073E-2</v>
      </c>
      <c r="P24" s="1" t="str">
        <f t="shared" si="1"/>
        <v/>
      </c>
      <c r="Q24" s="11">
        <f>VLOOKUP($D24,prices!$A$2:$C$19,3)</f>
        <v>2.1</v>
      </c>
      <c r="R24" s="11">
        <f>VLOOKUP(D24,prices!$A$2:$B$19,2)</f>
        <v>2.2625000000000002</v>
      </c>
      <c r="S24" s="55">
        <f t="shared" si="18"/>
        <v>20.789999999999864</v>
      </c>
      <c r="T24" s="55">
        <f t="shared" si="19"/>
        <v>2.9999999999999805E-2</v>
      </c>
      <c r="U24" s="55">
        <f t="shared" si="3"/>
        <v>949.41000000000008</v>
      </c>
      <c r="V24" s="42">
        <f t="shared" si="20"/>
        <v>2.1897810218977957E-2</v>
      </c>
      <c r="W24" s="55">
        <f t="shared" si="12"/>
        <v>970.19999999999993</v>
      </c>
      <c r="X24" s="48">
        <f t="shared" si="13"/>
        <v>0</v>
      </c>
      <c r="Y24"/>
      <c r="Z24" s="21">
        <v>0</v>
      </c>
    </row>
    <row r="25" spans="1:26" ht="15" customHeight="1">
      <c r="A25" t="s">
        <v>6</v>
      </c>
      <c r="B25" t="s">
        <v>26</v>
      </c>
      <c r="C25" s="109">
        <v>1026</v>
      </c>
      <c r="D25" t="s">
        <v>132</v>
      </c>
      <c r="E25" s="2">
        <v>192</v>
      </c>
      <c r="F25" s="1"/>
      <c r="G25" s="1">
        <v>1.25</v>
      </c>
      <c r="H25" s="11">
        <v>1.4</v>
      </c>
      <c r="I25" s="20">
        <v>0.57999999999999996</v>
      </c>
      <c r="J25" s="20">
        <f t="shared" si="14"/>
        <v>0.67</v>
      </c>
      <c r="K25" s="2">
        <f t="shared" si="15"/>
        <v>128.64000000000001</v>
      </c>
      <c r="L25" s="11">
        <v>0.96</v>
      </c>
      <c r="M25" s="20">
        <f t="shared" si="16"/>
        <v>0.29000000000000004</v>
      </c>
      <c r="N25" s="21" t="str">
        <f t="shared" si="17"/>
        <v>-</v>
      </c>
      <c r="O25" s="1">
        <f t="shared" ref="O25:O28" si="42">IF(ISNUMBER(H25),(H25-G25)/J25,"")</f>
        <v>0.22388059701492521</v>
      </c>
      <c r="P25" s="1" t="str">
        <f t="shared" ref="P25:P28" si="43">IF(B25="open",IF(ISNUMBER(R25),(R25-$G25)/$J25,""),"")</f>
        <v/>
      </c>
      <c r="Q25" s="11">
        <f>VLOOKUP($D25,prices!$A$2:$C$19,3)</f>
        <v>2.1</v>
      </c>
      <c r="R25" s="11">
        <f>VLOOKUP(D25,prices!$A$2:$B$19,2)</f>
        <v>2.2625000000000002</v>
      </c>
      <c r="S25" s="55">
        <f t="shared" si="18"/>
        <v>28.799999999999983</v>
      </c>
      <c r="T25" s="55">
        <f t="shared" si="19"/>
        <v>0.14999999999999991</v>
      </c>
      <c r="U25" s="55">
        <f t="shared" ref="U25:U28" si="44">E25*G25</f>
        <v>240</v>
      </c>
      <c r="V25" s="42">
        <f t="shared" si="20"/>
        <v>0.11999999999999993</v>
      </c>
      <c r="W25" s="55">
        <f t="shared" ref="W25:W28" si="45">IF(B25="closed",H25*E25,R25*E25)</f>
        <v>268.79999999999995</v>
      </c>
      <c r="X25" s="48">
        <f t="shared" ref="X25:X28" si="46">IF(B25="open",(R25-Q25)*E25,0)</f>
        <v>0</v>
      </c>
      <c r="Y25"/>
      <c r="Z25" s="21">
        <v>0</v>
      </c>
    </row>
    <row r="26" spans="1:26" ht="15" customHeight="1">
      <c r="A26" t="s">
        <v>23</v>
      </c>
      <c r="B26" t="s">
        <v>26</v>
      </c>
      <c r="C26" s="109">
        <v>1051</v>
      </c>
      <c r="D26" t="s">
        <v>132</v>
      </c>
      <c r="E26" s="2">
        <v>1049</v>
      </c>
      <c r="F26" s="1"/>
      <c r="G26" s="1">
        <v>1.075</v>
      </c>
      <c r="H26" s="11">
        <v>1.4</v>
      </c>
      <c r="I26" s="20">
        <v>0.7</v>
      </c>
      <c r="J26" s="20">
        <f t="shared" si="14"/>
        <v>0.375</v>
      </c>
      <c r="K26" s="2">
        <f t="shared" si="15"/>
        <v>393.375</v>
      </c>
      <c r="L26" s="11">
        <v>0.96</v>
      </c>
      <c r="M26" s="20">
        <f t="shared" si="16"/>
        <v>0.11499999999999999</v>
      </c>
      <c r="N26" s="21" t="str">
        <f t="shared" si="17"/>
        <v>-</v>
      </c>
      <c r="O26" s="1">
        <f t="shared" si="42"/>
        <v>0.86666666666666659</v>
      </c>
      <c r="P26" s="1" t="str">
        <f t="shared" si="43"/>
        <v/>
      </c>
      <c r="Q26" s="11">
        <f>VLOOKUP($D26,prices!$A$2:$C$19,3)</f>
        <v>2.1</v>
      </c>
      <c r="R26" s="11">
        <f>VLOOKUP(D26,prices!$A$2:$B$19,2)</f>
        <v>2.2625000000000002</v>
      </c>
      <c r="S26" s="55">
        <f t="shared" si="18"/>
        <v>340.92499999999995</v>
      </c>
      <c r="T26" s="55">
        <f t="shared" si="19"/>
        <v>0.32499999999999996</v>
      </c>
      <c r="U26" s="55">
        <f t="shared" si="44"/>
        <v>1127.675</v>
      </c>
      <c r="V26" s="42">
        <f t="shared" si="20"/>
        <v>0.30232558139534882</v>
      </c>
      <c r="W26" s="55">
        <f t="shared" si="45"/>
        <v>1468.6</v>
      </c>
      <c r="X26" s="48">
        <f t="shared" si="46"/>
        <v>0</v>
      </c>
      <c r="Y26"/>
      <c r="Z26" s="21">
        <v>0</v>
      </c>
    </row>
    <row r="27" spans="1:26" ht="15" customHeight="1">
      <c r="A27" t="s">
        <v>23</v>
      </c>
      <c r="B27" t="s">
        <v>26</v>
      </c>
      <c r="C27" s="109">
        <v>1053</v>
      </c>
      <c r="D27" t="s">
        <v>132</v>
      </c>
      <c r="E27" s="2">
        <v>975</v>
      </c>
      <c r="F27" s="1"/>
      <c r="G27" s="1">
        <v>1.04</v>
      </c>
      <c r="H27" s="11">
        <v>1.4</v>
      </c>
      <c r="I27" s="20">
        <v>0.64</v>
      </c>
      <c r="J27" s="20">
        <f t="shared" si="14"/>
        <v>0.4</v>
      </c>
      <c r="K27" s="2">
        <f t="shared" si="15"/>
        <v>390</v>
      </c>
      <c r="L27" s="11">
        <v>0.96</v>
      </c>
      <c r="M27" s="20">
        <f t="shared" si="16"/>
        <v>8.0000000000000071E-2</v>
      </c>
      <c r="N27" s="21" t="str">
        <f t="shared" si="17"/>
        <v>-</v>
      </c>
      <c r="O27" s="1">
        <f t="shared" si="42"/>
        <v>0.89999999999999969</v>
      </c>
      <c r="P27" s="1" t="str">
        <f t="shared" si="43"/>
        <v/>
      </c>
      <c r="Q27" s="11">
        <f>VLOOKUP($D27,prices!$A$2:$C$19,3)</f>
        <v>2.1</v>
      </c>
      <c r="R27" s="11">
        <f>VLOOKUP(D27,prices!$A$2:$B$19,2)</f>
        <v>2.2625000000000002</v>
      </c>
      <c r="S27" s="55">
        <f t="shared" si="18"/>
        <v>350.99999999999989</v>
      </c>
      <c r="T27" s="55">
        <f t="shared" si="19"/>
        <v>0.35999999999999988</v>
      </c>
      <c r="U27" s="55">
        <f t="shared" si="44"/>
        <v>1014</v>
      </c>
      <c r="V27" s="42">
        <f t="shared" si="20"/>
        <v>0.34615384615384603</v>
      </c>
      <c r="W27" s="55">
        <f t="shared" si="45"/>
        <v>1365</v>
      </c>
      <c r="X27" s="48">
        <f t="shared" si="46"/>
        <v>0</v>
      </c>
      <c r="Y27"/>
      <c r="Z27" s="21">
        <v>0</v>
      </c>
    </row>
    <row r="28" spans="1:26" ht="15" customHeight="1">
      <c r="A28" t="s">
        <v>6</v>
      </c>
      <c r="B28" t="s">
        <v>26</v>
      </c>
      <c r="C28" s="112">
        <v>1054</v>
      </c>
      <c r="D28" t="s">
        <v>132</v>
      </c>
      <c r="E28" s="2">
        <v>286</v>
      </c>
      <c r="F28" s="1"/>
      <c r="G28" s="1">
        <v>1.05</v>
      </c>
      <c r="H28" s="11">
        <v>1.4</v>
      </c>
      <c r="I28" s="20">
        <v>0.65</v>
      </c>
      <c r="J28" s="20">
        <f t="shared" ref="J28" si="47">IF(AND(ISNUMBER(G28),ISNUMBER(I28)),G28-I28,"-")</f>
        <v>0.4</v>
      </c>
      <c r="K28" s="2">
        <f t="shared" ref="K28" si="48">IFERROR(E28*J28,"-")</f>
        <v>114.4</v>
      </c>
      <c r="L28" s="11">
        <v>0.96</v>
      </c>
      <c r="M28" s="20">
        <f t="shared" ref="M28" si="49">IF(AND(ISNUMBER(G28),ISNUMBER(L28)),MAX(0,G28-L28),"-")</f>
        <v>9.000000000000008E-2</v>
      </c>
      <c r="N28" s="21" t="str">
        <f t="shared" ref="N28" si="50">IF(B28="open",M28*E28,"-")</f>
        <v>-</v>
      </c>
      <c r="O28" s="1">
        <f t="shared" si="42"/>
        <v>0.87499999999999967</v>
      </c>
      <c r="P28" s="1" t="str">
        <f t="shared" si="43"/>
        <v/>
      </c>
      <c r="Q28" s="11">
        <f>VLOOKUP($D28,prices!$A$2:$C$19,3)</f>
        <v>2.1</v>
      </c>
      <c r="R28" s="11">
        <f>VLOOKUP(D28,prices!$A$2:$B$19,2)</f>
        <v>2.2625000000000002</v>
      </c>
      <c r="S28" s="55">
        <f t="shared" ref="S28" si="51">IF(ISNUMBER(E28),IF(B28="closed",(H28-G28)*E28,(R28-G28)*E28)-F28,"")</f>
        <v>100.09999999999997</v>
      </c>
      <c r="T28" s="55">
        <f t="shared" si="19"/>
        <v>0.34999999999999987</v>
      </c>
      <c r="U28" s="55">
        <f t="shared" si="44"/>
        <v>300.3</v>
      </c>
      <c r="V28" s="42">
        <f t="shared" ref="V28" si="52">S28/U28</f>
        <v>0.3333333333333332</v>
      </c>
      <c r="W28" s="55">
        <f t="shared" si="45"/>
        <v>400.4</v>
      </c>
      <c r="X28" s="48">
        <f t="shared" si="46"/>
        <v>0</v>
      </c>
      <c r="Y28"/>
      <c r="Z28" s="21">
        <v>0</v>
      </c>
    </row>
    <row r="29" spans="1:26" ht="15" customHeight="1">
      <c r="A29" t="s">
        <v>23</v>
      </c>
      <c r="B29" t="s">
        <v>25</v>
      </c>
      <c r="C29" s="49">
        <v>1068</v>
      </c>
      <c r="D29" t="s">
        <v>140</v>
      </c>
      <c r="E29" s="2">
        <v>820</v>
      </c>
      <c r="F29" s="1"/>
      <c r="G29" s="1">
        <v>6.96</v>
      </c>
      <c r="H29" s="11"/>
      <c r="I29" s="20">
        <v>6.68</v>
      </c>
      <c r="J29" s="20">
        <f t="shared" si="14"/>
        <v>0.28000000000000025</v>
      </c>
      <c r="K29" s="2">
        <f t="shared" si="15"/>
        <v>229.60000000000019</v>
      </c>
      <c r="L29" s="11">
        <v>6.68</v>
      </c>
      <c r="M29" s="20">
        <f t="shared" si="16"/>
        <v>0.28000000000000025</v>
      </c>
      <c r="N29" s="21">
        <f t="shared" si="17"/>
        <v>229.60000000000019</v>
      </c>
      <c r="O29" s="1" t="str">
        <f t="shared" si="0"/>
        <v/>
      </c>
      <c r="P29" s="1">
        <f t="shared" si="1"/>
        <v>7.46428571428571</v>
      </c>
      <c r="Q29" s="11">
        <f>VLOOKUP($D29,prices!$A$2:$C$19,3)</f>
        <v>8.4</v>
      </c>
      <c r="R29" s="11">
        <f>VLOOKUP(D29,prices!$A$2:$B$19,2)</f>
        <v>9.0500000000000007</v>
      </c>
      <c r="S29" s="55">
        <f t="shared" si="18"/>
        <v>1713.8000000000006</v>
      </c>
      <c r="T29" s="55">
        <f t="shared" si="19"/>
        <v>2.0900000000000007</v>
      </c>
      <c r="U29" s="55">
        <f t="shared" si="3"/>
        <v>5707.2</v>
      </c>
      <c r="V29" s="42">
        <f t="shared" si="20"/>
        <v>0.30028735632183923</v>
      </c>
      <c r="W29" s="55">
        <f t="shared" si="12"/>
        <v>7421.0000000000009</v>
      </c>
      <c r="X29" s="48">
        <f t="shared" si="13"/>
        <v>533.00000000000034</v>
      </c>
      <c r="Y29"/>
      <c r="Z29" s="21">
        <v>0</v>
      </c>
    </row>
    <row r="30" spans="1:26" ht="15" hidden="1" customHeight="1">
      <c r="A30" t="s">
        <v>6</v>
      </c>
      <c r="B30" t="s">
        <v>26</v>
      </c>
      <c r="C30" s="8">
        <v>-1</v>
      </c>
      <c r="D30" t="s">
        <v>9</v>
      </c>
      <c r="E30" s="2">
        <v>170</v>
      </c>
      <c r="F30" s="1">
        <v>1.06</v>
      </c>
      <c r="G30" s="1">
        <v>17.59</v>
      </c>
      <c r="H30" s="11">
        <v>16.43</v>
      </c>
      <c r="I30" s="1">
        <v>16.43</v>
      </c>
      <c r="J30" s="1">
        <f>IF(AND(ISNUMBER(G30),ISNUMBER(I30)),G30-I30,"")</f>
        <v>1.1600000000000001</v>
      </c>
      <c r="K30" s="2" t="str">
        <f>IF((B30="open"),E30*J30,"-")</f>
        <v>-</v>
      </c>
      <c r="L30" s="11">
        <f>I30</f>
        <v>16.43</v>
      </c>
      <c r="M30" s="1">
        <f>IF(AND(ISNUMBER(G30),ISNUMBER(L30)),MAX(0,G30-L30),"")</f>
        <v>1.1600000000000001</v>
      </c>
      <c r="N30" s="2" t="str">
        <f>IF(B30="open",M30*E30,"")</f>
        <v/>
      </c>
      <c r="O30" s="1">
        <f t="shared" si="0"/>
        <v>-1</v>
      </c>
      <c r="P30" s="1" t="str">
        <f t="shared" si="1"/>
        <v/>
      </c>
      <c r="Q30" s="11"/>
      <c r="R30" s="11" t="s">
        <v>29</v>
      </c>
      <c r="S30" s="1">
        <f>IF(ISNUMBER(E30),IF(B30="closed",(H30-G30)*E30,(R30-G30)*E30),"")</f>
        <v>-197.20000000000002</v>
      </c>
      <c r="T30" s="19">
        <v>23.94</v>
      </c>
      <c r="U30" s="1">
        <f t="shared" si="3"/>
        <v>2990.3</v>
      </c>
      <c r="V30" s="1"/>
      <c r="W30" s="1">
        <f t="shared" si="12"/>
        <v>2793.1</v>
      </c>
      <c r="X30" s="6">
        <f t="shared" si="13"/>
        <v>0</v>
      </c>
      <c r="Y30"/>
      <c r="Z30" s="21" t="s">
        <v>29</v>
      </c>
    </row>
    <row r="31" spans="1:26" hidden="1">
      <c r="A31" t="s">
        <v>6</v>
      </c>
      <c r="B31" t="s">
        <v>26</v>
      </c>
      <c r="C31" s="73">
        <v>-1</v>
      </c>
      <c r="D31" t="s">
        <v>10</v>
      </c>
      <c r="E31" s="2">
        <v>50</v>
      </c>
      <c r="F31" s="1">
        <v>1.06</v>
      </c>
      <c r="G31" s="1">
        <v>60.62</v>
      </c>
      <c r="H31" s="11">
        <v>57.08</v>
      </c>
      <c r="I31" s="1">
        <v>57.15</v>
      </c>
      <c r="J31" s="1">
        <f>IF(AND(ISNUMBER(G31),ISNUMBER(I31)),G31-I31,"")</f>
        <v>3.4699999999999989</v>
      </c>
      <c r="K31" s="2" t="str">
        <f>IF((B31="open"),E31*J31,"-")</f>
        <v>-</v>
      </c>
      <c r="L31" s="11">
        <f>I31</f>
        <v>57.15</v>
      </c>
      <c r="M31" s="1">
        <f>IF(AND(ISNUMBER(G31),ISNUMBER(L31)),MAX(0,G31-L31),"")</f>
        <v>3.4699999999999989</v>
      </c>
      <c r="N31" s="2" t="str">
        <f>IF(B31="open",M31*E31,"")</f>
        <v/>
      </c>
      <c r="O31" s="1">
        <f t="shared" si="0"/>
        <v>-1.0201729106628243</v>
      </c>
      <c r="P31" s="1" t="str">
        <f t="shared" si="1"/>
        <v/>
      </c>
      <c r="Q31" s="11"/>
      <c r="R31" s="11" t="s">
        <v>29</v>
      </c>
      <c r="S31" s="1">
        <f>IF(ISNUMBER(E31),IF(B31="closed",(H31-G31)*E31,(R31-G31)*E31),"")</f>
        <v>-176.99999999999994</v>
      </c>
      <c r="T31" s="19" t="s">
        <v>39</v>
      </c>
      <c r="U31" s="1">
        <f t="shared" si="3"/>
        <v>3031</v>
      </c>
      <c r="V31" s="1"/>
      <c r="W31" s="1">
        <f t="shared" si="12"/>
        <v>2854</v>
      </c>
      <c r="X31" s="6">
        <f t="shared" si="13"/>
        <v>0</v>
      </c>
      <c r="Y31"/>
      <c r="Z31" s="21" t="s">
        <v>29</v>
      </c>
    </row>
    <row r="32" spans="1:26" hidden="1">
      <c r="A32" t="s">
        <v>23</v>
      </c>
      <c r="B32" t="s">
        <v>26</v>
      </c>
      <c r="C32" s="85">
        <v>19</v>
      </c>
      <c r="D32" t="s">
        <v>10</v>
      </c>
      <c r="E32" s="2">
        <v>90</v>
      </c>
      <c r="F32" s="1"/>
      <c r="G32" s="1">
        <v>58.67</v>
      </c>
      <c r="H32" s="11">
        <v>47.64</v>
      </c>
      <c r="I32" s="1">
        <v>55.65</v>
      </c>
      <c r="J32" s="1">
        <f>IF(AND(ISNUMBER(G32),ISNUMBER(I32)),G32-I32,"")</f>
        <v>3.0200000000000031</v>
      </c>
      <c r="K32" s="2" t="str">
        <f>IF((B32="open"),E32*J32,"-")</f>
        <v>-</v>
      </c>
      <c r="L32" s="11">
        <f>U32</f>
        <v>5280.3</v>
      </c>
      <c r="M32" s="1">
        <f>IF(AND(ISNUMBER(G32),ISNUMBER(L32)),MAX(0,G32-L32),"")</f>
        <v>0</v>
      </c>
      <c r="N32" s="2" t="str">
        <f>IF(B32="open",M32*E32,"")</f>
        <v/>
      </c>
      <c r="O32" s="1">
        <f t="shared" si="0"/>
        <v>-3.6523178807946985</v>
      </c>
      <c r="P32" s="1" t="str">
        <f t="shared" si="1"/>
        <v/>
      </c>
      <c r="Q32" s="11"/>
      <c r="R32" s="11">
        <v>39.58</v>
      </c>
      <c r="S32" s="1">
        <f t="shared" ref="S32:S79" si="53">IF(ISNUMBER(E32),IF(B32="closed",(H32-G32)*E32,(R32-G32)*E32)-F32,"")</f>
        <v>-992.7</v>
      </c>
      <c r="T32" s="19">
        <v>1250.8</v>
      </c>
      <c r="U32" s="1">
        <f t="shared" si="3"/>
        <v>5280.3</v>
      </c>
      <c r="V32" s="1">
        <v>38.1</v>
      </c>
      <c r="W32" s="1">
        <f t="shared" si="12"/>
        <v>4287.6000000000004</v>
      </c>
      <c r="X32" s="6">
        <f t="shared" si="13"/>
        <v>0</v>
      </c>
      <c r="Y32" s="68">
        <v>1</v>
      </c>
      <c r="Z32" s="21">
        <v>124.89000000000007</v>
      </c>
    </row>
    <row r="33" spans="1:26" hidden="1">
      <c r="A33" t="s">
        <v>23</v>
      </c>
      <c r="B33" t="s">
        <v>26</v>
      </c>
      <c r="C33" s="95">
        <v>55</v>
      </c>
      <c r="D33" t="s">
        <v>10</v>
      </c>
      <c r="E33" s="2">
        <v>26</v>
      </c>
      <c r="F33" s="1">
        <f>1+1.034</f>
        <v>2.0339999999999998</v>
      </c>
      <c r="G33" s="1">
        <v>67.569999999999993</v>
      </c>
      <c r="H33" s="11">
        <v>71.61</v>
      </c>
      <c r="I33" s="20">
        <v>58.1</v>
      </c>
      <c r="J33" s="20">
        <f t="shared" ref="J33:J39" si="54">IF(AND(ISNUMBER(G33),ISNUMBER(I33)),G33-I33,"-")</f>
        <v>9.4699999999999918</v>
      </c>
      <c r="K33" s="2">
        <f t="shared" ref="K33:K39" si="55">IFERROR(E33*J33,"-")</f>
        <v>246.2199999999998</v>
      </c>
      <c r="L33" s="11">
        <v>68.98</v>
      </c>
      <c r="M33" s="20">
        <f t="shared" ref="M33:M39" si="56">IF(AND(ISNUMBER(G33),ISNUMBER(L33)),MAX(0,G33-L33),"-")</f>
        <v>0</v>
      </c>
      <c r="N33" s="21" t="str">
        <f t="shared" ref="N33:N39" si="57">IF(B33="open",M33*E33,"-")</f>
        <v>-</v>
      </c>
      <c r="O33" s="1">
        <f t="shared" si="0"/>
        <v>0.42661034846885004</v>
      </c>
      <c r="P33" s="1" t="str">
        <f t="shared" si="1"/>
        <v/>
      </c>
      <c r="Q33" s="11"/>
      <c r="R33" s="11">
        <v>72.489999999999995</v>
      </c>
      <c r="S33" s="1">
        <f t="shared" si="53"/>
        <v>103.00600000000016</v>
      </c>
      <c r="T33" s="1">
        <f t="shared" ref="T33:T39" si="58">IF(ISNUMBER($E33),IF($B33="closed",($H33-$G33),($R33-$G33)),"")</f>
        <v>4.0400000000000063</v>
      </c>
      <c r="U33" s="1">
        <f t="shared" si="3"/>
        <v>1756.8199999999997</v>
      </c>
      <c r="V33" s="25">
        <f t="shared" ref="V33:V39" si="59">S33/U33</f>
        <v>5.8632073860725727E-2</v>
      </c>
      <c r="W33" s="1">
        <f t="shared" si="12"/>
        <v>1861.86</v>
      </c>
      <c r="X33" s="6">
        <f t="shared" si="13"/>
        <v>0</v>
      </c>
      <c r="Y33" s="68">
        <v>1</v>
      </c>
      <c r="Z33" s="21">
        <v>102.79599999999964</v>
      </c>
    </row>
    <row r="34" spans="1:26" hidden="1">
      <c r="A34" t="s">
        <v>23</v>
      </c>
      <c r="B34" t="s">
        <v>26</v>
      </c>
      <c r="C34" s="73">
        <v>116</v>
      </c>
      <c r="D34" t="s">
        <v>10</v>
      </c>
      <c r="E34" s="2">
        <v>48</v>
      </c>
      <c r="F34" s="1"/>
      <c r="G34" s="1">
        <v>81.89</v>
      </c>
      <c r="H34" s="11">
        <v>73.55</v>
      </c>
      <c r="I34" s="20">
        <v>73.67</v>
      </c>
      <c r="J34" s="20">
        <f t="shared" si="54"/>
        <v>8.2199999999999989</v>
      </c>
      <c r="K34" s="2">
        <f t="shared" si="55"/>
        <v>394.55999999999995</v>
      </c>
      <c r="L34" s="11">
        <v>73.67</v>
      </c>
      <c r="M34" s="20">
        <f t="shared" si="56"/>
        <v>8.2199999999999989</v>
      </c>
      <c r="N34" s="21" t="str">
        <f t="shared" si="57"/>
        <v>-</v>
      </c>
      <c r="O34" s="1">
        <f t="shared" si="0"/>
        <v>-1.014598540145986</v>
      </c>
      <c r="P34" s="1" t="str">
        <f t="shared" si="1"/>
        <v/>
      </c>
      <c r="Q34" s="11"/>
      <c r="R34" s="11">
        <f>VLOOKUP(D34,prices!$A$2:$B$19,2)</f>
        <v>9.0500000000000007</v>
      </c>
      <c r="S34" s="1">
        <f t="shared" si="53"/>
        <v>-400.32000000000016</v>
      </c>
      <c r="T34" s="1">
        <f t="shared" si="58"/>
        <v>-8.3400000000000034</v>
      </c>
      <c r="U34" s="1">
        <f t="shared" si="3"/>
        <v>3930.7200000000003</v>
      </c>
      <c r="V34" s="25">
        <f t="shared" si="59"/>
        <v>-0.10184393698864334</v>
      </c>
      <c r="W34" s="1">
        <f t="shared" si="12"/>
        <v>3530.3999999999996</v>
      </c>
      <c r="X34" s="6">
        <f t="shared" si="13"/>
        <v>0</v>
      </c>
      <c r="Y34" s="68">
        <v>1</v>
      </c>
      <c r="Z34" s="28" t="str">
        <f>IF(B34="open",(R34-L34)*E34,"-")</f>
        <v>-</v>
      </c>
    </row>
    <row r="35" spans="1:26" hidden="1">
      <c r="A35" t="s">
        <v>23</v>
      </c>
      <c r="B35" t="s">
        <v>26</v>
      </c>
      <c r="C35" s="73">
        <v>103</v>
      </c>
      <c r="D35" t="s">
        <v>72</v>
      </c>
      <c r="E35" s="2">
        <v>67</v>
      </c>
      <c r="F35" s="1">
        <v>1</v>
      </c>
      <c r="G35" s="1">
        <v>65.84</v>
      </c>
      <c r="H35" s="11">
        <v>64.78</v>
      </c>
      <c r="I35" s="20">
        <v>62.26</v>
      </c>
      <c r="J35" s="20">
        <f t="shared" si="54"/>
        <v>3.5800000000000054</v>
      </c>
      <c r="K35" s="2">
        <f t="shared" si="55"/>
        <v>239.86000000000035</v>
      </c>
      <c r="L35" s="11">
        <v>63.11</v>
      </c>
      <c r="M35" s="20">
        <f t="shared" si="56"/>
        <v>2.730000000000004</v>
      </c>
      <c r="N35" s="21" t="str">
        <f t="shared" si="57"/>
        <v>-</v>
      </c>
      <c r="O35" s="1">
        <f t="shared" si="0"/>
        <v>-0.29608938547486052</v>
      </c>
      <c r="P35" s="1" t="str">
        <f t="shared" si="1"/>
        <v/>
      </c>
      <c r="Q35" s="11"/>
      <c r="R35" s="11">
        <f>VLOOKUP(D35,prices!$A$2:$B$19,2)</f>
        <v>9.0500000000000007</v>
      </c>
      <c r="S35" s="1">
        <f t="shared" si="53"/>
        <v>-72.020000000000152</v>
      </c>
      <c r="T35" s="1">
        <f t="shared" si="58"/>
        <v>-1.0600000000000023</v>
      </c>
      <c r="U35" s="1">
        <f t="shared" si="3"/>
        <v>4411.2800000000007</v>
      </c>
      <c r="V35" s="25">
        <f t="shared" si="59"/>
        <v>-1.632632705246553E-2</v>
      </c>
      <c r="W35" s="1">
        <f t="shared" si="12"/>
        <v>4340.26</v>
      </c>
      <c r="X35" s="6">
        <f t="shared" si="13"/>
        <v>0</v>
      </c>
      <c r="Y35" s="68">
        <v>1</v>
      </c>
      <c r="Z35" s="28" t="str">
        <f>IF(B35="open",(R35-L35)*E35,"-")</f>
        <v>-</v>
      </c>
    </row>
    <row r="36" spans="1:26" hidden="1">
      <c r="A36" t="s">
        <v>23</v>
      </c>
      <c r="B36" t="s">
        <v>26</v>
      </c>
      <c r="C36" s="49">
        <v>162</v>
      </c>
      <c r="D36" t="s">
        <v>95</v>
      </c>
      <c r="E36" s="2">
        <v>918</v>
      </c>
      <c r="F36" s="1"/>
      <c r="G36" s="1">
        <v>1.4412849999999999</v>
      </c>
      <c r="H36" s="11">
        <v>1.2490000000000001</v>
      </c>
      <c r="I36" s="20">
        <v>1.25</v>
      </c>
      <c r="J36" s="20">
        <f t="shared" si="54"/>
        <v>0.19128499999999993</v>
      </c>
      <c r="K36" s="2">
        <f t="shared" si="55"/>
        <v>175.59962999999993</v>
      </c>
      <c r="L36" s="11">
        <v>1.25</v>
      </c>
      <c r="M36" s="20">
        <f t="shared" si="56"/>
        <v>0.19128499999999993</v>
      </c>
      <c r="N36" s="21" t="str">
        <f t="shared" si="57"/>
        <v>-</v>
      </c>
      <c r="O36" s="1">
        <f t="shared" si="0"/>
        <v>-1.0052278014481004</v>
      </c>
      <c r="P36" s="1" t="str">
        <f t="shared" si="1"/>
        <v/>
      </c>
      <c r="Q36" s="11">
        <f>VLOOKUP($D36,prices!$A$2:$C$19,3)</f>
        <v>8.4</v>
      </c>
      <c r="R36" s="11">
        <f>VLOOKUP(D36,prices!$A$2:$B$19,2)</f>
        <v>9.0500000000000007</v>
      </c>
      <c r="S36" s="55">
        <f t="shared" si="53"/>
        <v>-176.51762999999983</v>
      </c>
      <c r="T36" s="55">
        <f t="shared" si="58"/>
        <v>-0.19228499999999982</v>
      </c>
      <c r="U36" s="55">
        <f t="shared" si="3"/>
        <v>1323.0996299999999</v>
      </c>
      <c r="V36" s="42">
        <f t="shared" si="59"/>
        <v>-0.13341219814262953</v>
      </c>
      <c r="W36" s="55">
        <f t="shared" si="12"/>
        <v>1146.5820000000001</v>
      </c>
      <c r="X36" s="48">
        <f t="shared" si="13"/>
        <v>0</v>
      </c>
      <c r="Y36"/>
      <c r="Z36" s="21">
        <v>0</v>
      </c>
    </row>
    <row r="37" spans="1:26" ht="15" hidden="1" customHeight="1">
      <c r="A37" t="s">
        <v>6</v>
      </c>
      <c r="B37" t="s">
        <v>26</v>
      </c>
      <c r="C37" s="50">
        <v>163</v>
      </c>
      <c r="D37" t="s">
        <v>95</v>
      </c>
      <c r="E37" s="2">
        <v>294</v>
      </c>
      <c r="F37" s="1"/>
      <c r="G37" s="1">
        <v>1.45</v>
      </c>
      <c r="H37" s="11">
        <v>1.25</v>
      </c>
      <c r="I37" s="20">
        <v>1.25</v>
      </c>
      <c r="J37" s="20">
        <f t="shared" si="54"/>
        <v>0.19999999999999996</v>
      </c>
      <c r="K37" s="2">
        <f t="shared" si="55"/>
        <v>58.79999999999999</v>
      </c>
      <c r="L37" s="11">
        <v>1.25</v>
      </c>
      <c r="M37" s="20">
        <f t="shared" si="56"/>
        <v>0.19999999999999996</v>
      </c>
      <c r="N37" s="21" t="str">
        <f t="shared" si="57"/>
        <v>-</v>
      </c>
      <c r="O37" s="1">
        <f t="shared" si="0"/>
        <v>-1</v>
      </c>
      <c r="P37" s="1" t="str">
        <f t="shared" si="1"/>
        <v/>
      </c>
      <c r="Q37" s="11">
        <f>VLOOKUP($D37,prices!$A$2:$C$19,3)</f>
        <v>8.4</v>
      </c>
      <c r="R37" s="11">
        <f>VLOOKUP(D37,prices!$A$2:$B$19,2)</f>
        <v>9.0500000000000007</v>
      </c>
      <c r="S37" s="55">
        <f t="shared" si="53"/>
        <v>-58.79999999999999</v>
      </c>
      <c r="T37" s="55">
        <f t="shared" si="58"/>
        <v>-0.19999999999999996</v>
      </c>
      <c r="U37" s="55">
        <f t="shared" si="3"/>
        <v>426.3</v>
      </c>
      <c r="V37" s="42">
        <f t="shared" si="59"/>
        <v>-0.13793103448275859</v>
      </c>
      <c r="W37" s="55">
        <f t="shared" si="12"/>
        <v>367.5</v>
      </c>
      <c r="X37" s="48">
        <f t="shared" si="13"/>
        <v>0</v>
      </c>
      <c r="Y37"/>
      <c r="Z37" s="21">
        <v>390.96000000000026</v>
      </c>
    </row>
    <row r="38" spans="1:26" ht="15" hidden="1" customHeight="1">
      <c r="A38" t="s">
        <v>23</v>
      </c>
      <c r="B38" t="s">
        <v>26</v>
      </c>
      <c r="C38" s="49">
        <v>206</v>
      </c>
      <c r="D38" t="s">
        <v>113</v>
      </c>
      <c r="E38" s="2">
        <v>215</v>
      </c>
      <c r="F38" s="1"/>
      <c r="G38" s="1">
        <v>10.396000000000001</v>
      </c>
      <c r="H38" s="11">
        <v>9.6649999999999991</v>
      </c>
      <c r="I38" s="20">
        <v>9.68</v>
      </c>
      <c r="J38" s="20">
        <f t="shared" si="54"/>
        <v>0.71600000000000108</v>
      </c>
      <c r="K38" s="2">
        <f t="shared" si="55"/>
        <v>153.94000000000023</v>
      </c>
      <c r="L38" s="11">
        <v>9.68</v>
      </c>
      <c r="M38" s="20">
        <f t="shared" si="56"/>
        <v>0.71600000000000108</v>
      </c>
      <c r="N38" s="21" t="str">
        <f t="shared" si="57"/>
        <v>-</v>
      </c>
      <c r="O38" s="1">
        <f t="shared" si="0"/>
        <v>-1.0209497206703919</v>
      </c>
      <c r="P38" s="1" t="str">
        <f t="shared" si="1"/>
        <v/>
      </c>
      <c r="Q38" s="11">
        <f>VLOOKUP($D38,prices!$A$2:$C$19,3)</f>
        <v>8.4</v>
      </c>
      <c r="R38" s="11">
        <f>VLOOKUP(D38,prices!$A$2:$B$19,2)</f>
        <v>9.0500000000000007</v>
      </c>
      <c r="S38" s="55">
        <f t="shared" si="53"/>
        <v>-157.16500000000036</v>
      </c>
      <c r="T38" s="55">
        <f t="shared" si="58"/>
        <v>-0.73100000000000165</v>
      </c>
      <c r="U38" s="55">
        <f t="shared" si="3"/>
        <v>2235.1400000000003</v>
      </c>
      <c r="V38" s="42">
        <f t="shared" si="59"/>
        <v>-7.0315505963832389E-2</v>
      </c>
      <c r="W38" s="55">
        <f t="shared" si="12"/>
        <v>2077.9749999999999</v>
      </c>
      <c r="X38" s="48">
        <f t="shared" si="13"/>
        <v>0</v>
      </c>
      <c r="Y38" s="68">
        <v>1</v>
      </c>
      <c r="Z38" s="21">
        <v>32.330999999999889</v>
      </c>
    </row>
    <row r="39" spans="1:26" ht="15" hidden="1" customHeight="1">
      <c r="A39" t="s">
        <v>6</v>
      </c>
      <c r="B39" t="s">
        <v>26</v>
      </c>
      <c r="C39" s="49">
        <v>207</v>
      </c>
      <c r="D39" t="s">
        <v>113</v>
      </c>
      <c r="E39" s="2">
        <v>71</v>
      </c>
      <c r="F39" s="1"/>
      <c r="G39" s="1">
        <v>10.41</v>
      </c>
      <c r="H39" s="11">
        <v>9.67</v>
      </c>
      <c r="I39" s="20">
        <v>9.68</v>
      </c>
      <c r="J39" s="20">
        <f t="shared" si="54"/>
        <v>0.73000000000000043</v>
      </c>
      <c r="K39" s="2">
        <f t="shared" si="55"/>
        <v>51.830000000000027</v>
      </c>
      <c r="L39" s="11">
        <v>9.68</v>
      </c>
      <c r="M39" s="20">
        <f t="shared" si="56"/>
        <v>0.73000000000000043</v>
      </c>
      <c r="N39" s="21" t="str">
        <f t="shared" si="57"/>
        <v>-</v>
      </c>
      <c r="O39" s="1">
        <f t="shared" si="0"/>
        <v>-1.0136986301369859</v>
      </c>
      <c r="P39" s="1" t="str">
        <f t="shared" si="1"/>
        <v/>
      </c>
      <c r="Q39" s="11">
        <f>VLOOKUP($D39,prices!$A$2:$C$19,3)</f>
        <v>8.4</v>
      </c>
      <c r="R39" s="11">
        <f>VLOOKUP(D39,prices!$A$2:$B$19,2)</f>
        <v>9.0500000000000007</v>
      </c>
      <c r="S39" s="55">
        <f t="shared" si="53"/>
        <v>-52.540000000000013</v>
      </c>
      <c r="T39" s="55">
        <f t="shared" si="58"/>
        <v>-0.74000000000000021</v>
      </c>
      <c r="U39" s="55">
        <f t="shared" si="3"/>
        <v>739.11</v>
      </c>
      <c r="V39" s="42">
        <f t="shared" si="59"/>
        <v>-7.1085494716618652E-2</v>
      </c>
      <c r="W39" s="55">
        <f t="shared" si="12"/>
        <v>686.57</v>
      </c>
      <c r="X39" s="48">
        <f t="shared" si="13"/>
        <v>0</v>
      </c>
      <c r="Y39" s="68">
        <v>1</v>
      </c>
      <c r="Z39" s="21">
        <v>0</v>
      </c>
    </row>
    <row r="40" spans="1:26" ht="15" hidden="1" customHeight="1">
      <c r="A40" t="s">
        <v>23</v>
      </c>
      <c r="B40" t="s">
        <v>26</v>
      </c>
      <c r="C40" s="73">
        <v>9</v>
      </c>
      <c r="D40" t="s">
        <v>32</v>
      </c>
      <c r="E40" s="2">
        <v>144</v>
      </c>
      <c r="F40" s="1"/>
      <c r="G40" s="1">
        <v>25.59</v>
      </c>
      <c r="H40" s="11">
        <v>24.6</v>
      </c>
      <c r="I40" s="1">
        <v>23.43</v>
      </c>
      <c r="J40" s="1">
        <f>IF(AND(ISNUMBER(G40),ISNUMBER(I40)),G40-I40,"")</f>
        <v>2.16</v>
      </c>
      <c r="K40" s="2" t="str">
        <f>IF((B40="open"),E40*J40,"-")</f>
        <v>-</v>
      </c>
      <c r="L40" s="11">
        <v>24.6</v>
      </c>
      <c r="M40" s="1">
        <f>IF(AND(ISNUMBER(G40),ISNUMBER(L40)),MAX(0,G40-L40),"")</f>
        <v>0.98999999999999844</v>
      </c>
      <c r="N40" s="2" t="str">
        <f>IF(B40="open",M40*E40,"")</f>
        <v/>
      </c>
      <c r="O40" s="1">
        <f t="shared" si="0"/>
        <v>-0.45833333333333259</v>
      </c>
      <c r="P40" s="1" t="str">
        <f t="shared" si="1"/>
        <v/>
      </c>
      <c r="Q40" s="11"/>
      <c r="R40" s="11">
        <v>49.35</v>
      </c>
      <c r="S40" s="1">
        <f t="shared" si="53"/>
        <v>-142.55999999999977</v>
      </c>
      <c r="T40" s="18"/>
      <c r="U40" s="1">
        <f t="shared" si="3"/>
        <v>3684.96</v>
      </c>
      <c r="V40" s="1">
        <v>45.59</v>
      </c>
      <c r="W40" s="1">
        <f t="shared" si="12"/>
        <v>3542.4</v>
      </c>
      <c r="X40" s="6">
        <f t="shared" si="13"/>
        <v>0</v>
      </c>
      <c r="Y40"/>
      <c r="Z40" s="21">
        <v>114.66</v>
      </c>
    </row>
    <row r="41" spans="1:26" ht="15" hidden="1" customHeight="1">
      <c r="A41" t="s">
        <v>23</v>
      </c>
      <c r="B41" t="s">
        <v>26</v>
      </c>
      <c r="C41" s="73">
        <v>108</v>
      </c>
      <c r="D41" t="s">
        <v>77</v>
      </c>
      <c r="E41" s="2">
        <v>56</v>
      </c>
      <c r="F41" s="1">
        <v>1</v>
      </c>
      <c r="G41" s="1">
        <v>60.13</v>
      </c>
      <c r="H41" s="11">
        <v>58.271000000000001</v>
      </c>
      <c r="I41" s="20">
        <v>57.6</v>
      </c>
      <c r="J41" s="20">
        <f>IF(AND(ISNUMBER(G41),ISNUMBER(I41)),G41-I41,"-")</f>
        <v>2.5300000000000011</v>
      </c>
      <c r="K41" s="2">
        <f>IFERROR(E41*J41,"-")</f>
        <v>141.68000000000006</v>
      </c>
      <c r="L41" s="11">
        <v>58.27</v>
      </c>
      <c r="M41" s="20">
        <f>IF(AND(ISNUMBER(G41),ISNUMBER(L41)),MAX(0,G41-L41),"-")</f>
        <v>1.8599999999999994</v>
      </c>
      <c r="N41" s="21" t="str">
        <f>IF(B41="open",M41*E41,"-")</f>
        <v>-</v>
      </c>
      <c r="O41" s="1">
        <f t="shared" si="0"/>
        <v>-0.73478260869565259</v>
      </c>
      <c r="P41" s="1" t="str">
        <f t="shared" si="1"/>
        <v/>
      </c>
      <c r="Q41" s="11"/>
      <c r="R41" s="11">
        <f>VLOOKUP(D41,prices!$A$2:$B$19,2)</f>
        <v>9.0500000000000007</v>
      </c>
      <c r="S41" s="1">
        <f t="shared" si="53"/>
        <v>-105.1040000000001</v>
      </c>
      <c r="T41" s="1">
        <f>IF(ISNUMBER($E41),IF($B41="closed",($H41-$G41),($R41-$G41)),"")</f>
        <v>-1.8590000000000018</v>
      </c>
      <c r="U41" s="1">
        <f t="shared" si="3"/>
        <v>3367.28</v>
      </c>
      <c r="V41" s="25">
        <f>S41/U41</f>
        <v>-3.121332351334017E-2</v>
      </c>
      <c r="W41" s="1">
        <f t="shared" si="12"/>
        <v>3263.1759999999999</v>
      </c>
      <c r="X41" s="6">
        <f t="shared" si="13"/>
        <v>0</v>
      </c>
      <c r="Y41"/>
      <c r="Z41" s="21">
        <v>0</v>
      </c>
    </row>
    <row r="42" spans="1:26" hidden="1">
      <c r="A42" t="s">
        <v>6</v>
      </c>
      <c r="B42" t="s">
        <v>26</v>
      </c>
      <c r="C42" s="51">
        <v>131</v>
      </c>
      <c r="D42" t="s">
        <v>80</v>
      </c>
      <c r="E42" s="2">
        <v>100</v>
      </c>
      <c r="F42" s="1"/>
      <c r="G42" s="1">
        <v>8.4</v>
      </c>
      <c r="H42" s="11">
        <v>8.2120999999999995</v>
      </c>
      <c r="I42" s="20">
        <v>7.53</v>
      </c>
      <c r="J42" s="20">
        <f>IF(AND(ISNUMBER(G42),ISNUMBER(I42)),G42-I42,"-")</f>
        <v>0.87000000000000011</v>
      </c>
      <c r="K42" s="2">
        <f>IFERROR(E42*J42,"-")</f>
        <v>87.000000000000014</v>
      </c>
      <c r="L42" s="11">
        <v>8.1199999999999992</v>
      </c>
      <c r="M42" s="20">
        <f>IF(AND(ISNUMBER(G42),ISNUMBER(L42)),MAX(0,G42-L42),"-")</f>
        <v>0.28000000000000114</v>
      </c>
      <c r="N42" s="21" t="str">
        <f>IF(B42="open",M42*E42,"-")</f>
        <v>-</v>
      </c>
      <c r="O42" s="1">
        <f t="shared" si="0"/>
        <v>-0.21597701149425383</v>
      </c>
      <c r="P42" s="1" t="str">
        <f t="shared" si="1"/>
        <v/>
      </c>
      <c r="Q42" s="11">
        <f>VLOOKUP($D42,prices!$A$2:$C$19,3)</f>
        <v>8.4</v>
      </c>
      <c r="R42" s="11">
        <f>VLOOKUP(D42,prices!$A$2:$B$19,2)</f>
        <v>9.0500000000000007</v>
      </c>
      <c r="S42" s="55">
        <f t="shared" si="53"/>
        <v>-18.790000000000084</v>
      </c>
      <c r="T42" s="55">
        <f>IF(ISNUMBER($E42),IF($B42="closed",($H42-$G42),($R42-$G42)),"")</f>
        <v>-0.18790000000000084</v>
      </c>
      <c r="U42" s="55">
        <f t="shared" si="3"/>
        <v>840</v>
      </c>
      <c r="V42" s="42">
        <f>S42/U42</f>
        <v>-2.2369047619047719E-2</v>
      </c>
      <c r="W42" s="55">
        <f t="shared" si="12"/>
        <v>821.20999999999992</v>
      </c>
      <c r="X42" s="48">
        <f t="shared" si="13"/>
        <v>0</v>
      </c>
      <c r="Y42" s="68">
        <v>1</v>
      </c>
    </row>
    <row r="43" spans="1:26" hidden="1">
      <c r="A43" t="s">
        <v>23</v>
      </c>
      <c r="B43" t="s">
        <v>26</v>
      </c>
      <c r="C43" s="51">
        <v>132</v>
      </c>
      <c r="D43" t="s">
        <v>80</v>
      </c>
      <c r="E43" s="2">
        <v>291</v>
      </c>
      <c r="F43" s="1"/>
      <c r="G43" s="1">
        <v>8.4</v>
      </c>
      <c r="H43" s="11">
        <v>8.2120999999999995</v>
      </c>
      <c r="I43" s="20">
        <v>7.53</v>
      </c>
      <c r="J43" s="20">
        <f>IF(AND(ISNUMBER(G43),ISNUMBER(I43)),G43-I43,"-")</f>
        <v>0.87000000000000011</v>
      </c>
      <c r="K43" s="2">
        <f>IFERROR(E43*J43,"-")</f>
        <v>253.17000000000004</v>
      </c>
      <c r="L43" s="11">
        <v>8.1199999999999992</v>
      </c>
      <c r="M43" s="20">
        <f>IF(AND(ISNUMBER(G43),ISNUMBER(L43)),MAX(0,G43-L43),"-")</f>
        <v>0.28000000000000114</v>
      </c>
      <c r="N43" s="21" t="str">
        <f>IF(B43="open",M43*E43,"-")</f>
        <v>-</v>
      </c>
      <c r="O43" s="1">
        <f t="shared" si="0"/>
        <v>-0.21597701149425383</v>
      </c>
      <c r="P43" s="1" t="str">
        <f t="shared" si="1"/>
        <v/>
      </c>
      <c r="Q43" s="11">
        <f>VLOOKUP($D43,prices!$A$2:$C$19,3)</f>
        <v>8.4</v>
      </c>
      <c r="R43" s="11">
        <f>VLOOKUP(D43,prices!$A$2:$B$19,2)</f>
        <v>9.0500000000000007</v>
      </c>
      <c r="S43" s="55">
        <f t="shared" si="53"/>
        <v>-54.678900000000247</v>
      </c>
      <c r="T43" s="55">
        <f>IF(ISNUMBER($E43),IF($B43="closed",($H43-$G43),($R43-$G43)),"")</f>
        <v>-0.18790000000000084</v>
      </c>
      <c r="U43" s="55">
        <f t="shared" si="3"/>
        <v>2444.4</v>
      </c>
      <c r="V43" s="42">
        <f>S43/U43</f>
        <v>-2.2369047619047719E-2</v>
      </c>
      <c r="W43" s="55">
        <f t="shared" si="12"/>
        <v>2389.7210999999998</v>
      </c>
      <c r="X43" s="48">
        <f t="shared" si="13"/>
        <v>0</v>
      </c>
      <c r="Y43" s="68">
        <v>1</v>
      </c>
    </row>
    <row r="44" spans="1:26" ht="15" hidden="1" customHeight="1">
      <c r="A44" t="s">
        <v>23</v>
      </c>
      <c r="B44" t="s">
        <v>26</v>
      </c>
      <c r="C44" s="50">
        <v>10</v>
      </c>
      <c r="D44" t="s">
        <v>33</v>
      </c>
      <c r="E44" s="2">
        <v>189</v>
      </c>
      <c r="F44" s="1"/>
      <c r="G44" s="1">
        <v>15.16</v>
      </c>
      <c r="H44" s="11">
        <v>13.01</v>
      </c>
      <c r="I44" s="1">
        <v>13.61</v>
      </c>
      <c r="J44" s="1">
        <f>IF(AND(ISNUMBER(G44),ISNUMBER(I44)),G44-I44,"")</f>
        <v>1.5500000000000007</v>
      </c>
      <c r="K44" s="2" t="str">
        <f>IF((B44="open"),E44*J44,"-")</f>
        <v>-</v>
      </c>
      <c r="L44" s="11">
        <f>U44</f>
        <v>2865.2400000000002</v>
      </c>
      <c r="M44" s="1">
        <f>IF(AND(ISNUMBER(G44),ISNUMBER(L44)),MAX(0,G44-L44),"")</f>
        <v>0</v>
      </c>
      <c r="N44" s="2" t="str">
        <f>IF(B44="open",M44*E44,"")</f>
        <v/>
      </c>
      <c r="O44" s="1">
        <f t="shared" si="0"/>
        <v>-1.387096774193548</v>
      </c>
      <c r="P44" s="1" t="str">
        <f t="shared" si="1"/>
        <v/>
      </c>
      <c r="Q44" s="11">
        <v>75.16</v>
      </c>
      <c r="R44" s="11">
        <v>77.98</v>
      </c>
      <c r="S44" s="1">
        <f t="shared" si="53"/>
        <v>-406.35000000000008</v>
      </c>
      <c r="T44" s="18"/>
      <c r="U44" s="1">
        <f t="shared" si="3"/>
        <v>2865.2400000000002</v>
      </c>
      <c r="V44" s="1">
        <v>68.38</v>
      </c>
      <c r="W44" s="1">
        <f t="shared" si="12"/>
        <v>2458.89</v>
      </c>
      <c r="X44" s="6">
        <f t="shared" si="13"/>
        <v>0</v>
      </c>
      <c r="Y44" s="68">
        <v>1</v>
      </c>
      <c r="Z44" s="28" t="str">
        <f t="shared" ref="Z44:Z58" si="60">IF(B44="open",(R44-L44)*E44,"-")</f>
        <v>-</v>
      </c>
    </row>
    <row r="45" spans="1:26" ht="15" hidden="1" customHeight="1">
      <c r="A45" t="s">
        <v>23</v>
      </c>
      <c r="B45" t="s">
        <v>26</v>
      </c>
      <c r="C45" s="49">
        <v>118</v>
      </c>
      <c r="D45" t="s">
        <v>79</v>
      </c>
      <c r="E45" s="2">
        <v>79</v>
      </c>
      <c r="F45" s="1"/>
      <c r="G45" s="1">
        <v>45.11</v>
      </c>
      <c r="H45" s="11">
        <v>43.14</v>
      </c>
      <c r="I45" s="20">
        <v>40.32</v>
      </c>
      <c r="J45" s="20">
        <f t="shared" ref="J45:J53" si="61">IF(AND(ISNUMBER(G45),ISNUMBER(I45)),G45-I45,"-")</f>
        <v>4.7899999999999991</v>
      </c>
      <c r="K45" s="2">
        <f t="shared" ref="K45:K80" si="62">IFERROR(E45*J45,"-")</f>
        <v>378.40999999999991</v>
      </c>
      <c r="L45" s="11">
        <v>40.75</v>
      </c>
      <c r="M45" s="20">
        <f t="shared" ref="M45:M79" si="63">IF(AND(ISNUMBER(G45),ISNUMBER(L45)),MAX(0,G45-L45),"-")</f>
        <v>4.3599999999999994</v>
      </c>
      <c r="N45" s="21" t="str">
        <f t="shared" ref="N45:N79" si="64">IF(B45="open",M45*E45,"-")</f>
        <v>-</v>
      </c>
      <c r="O45" s="1">
        <f t="shared" si="0"/>
        <v>-0.41127348643006245</v>
      </c>
      <c r="P45" s="1" t="str">
        <f t="shared" si="1"/>
        <v/>
      </c>
      <c r="Q45" s="11"/>
      <c r="R45" s="11">
        <f>VLOOKUP(D45,prices!$A$2:$B$19,2)</f>
        <v>9.0500000000000007</v>
      </c>
      <c r="S45" s="1">
        <f t="shared" si="53"/>
        <v>-155.62999999999991</v>
      </c>
      <c r="T45" s="1">
        <f t="shared" ref="T45:T80" si="65">IF(ISNUMBER($E45),IF($B45="closed",($H45-$G45),($R45-$G45)),"")</f>
        <v>-1.9699999999999989</v>
      </c>
      <c r="U45" s="1">
        <f t="shared" si="3"/>
        <v>3563.69</v>
      </c>
      <c r="V45" s="25">
        <f t="shared" ref="V45:V79" si="66">S45/U45</f>
        <v>-4.3671026379960072E-2</v>
      </c>
      <c r="W45" s="1">
        <f t="shared" si="12"/>
        <v>3408.06</v>
      </c>
      <c r="X45" s="6">
        <f t="shared" si="13"/>
        <v>0</v>
      </c>
      <c r="Y45" s="68">
        <v>1</v>
      </c>
      <c r="Z45" s="28" t="str">
        <f t="shared" si="60"/>
        <v>-</v>
      </c>
    </row>
    <row r="46" spans="1:26" ht="15" hidden="1" customHeight="1">
      <c r="A46" t="s">
        <v>6</v>
      </c>
      <c r="B46" t="s">
        <v>26</v>
      </c>
      <c r="C46" s="51">
        <v>148</v>
      </c>
      <c r="D46" t="s">
        <v>86</v>
      </c>
      <c r="E46" s="2">
        <v>41</v>
      </c>
      <c r="F46" s="1"/>
      <c r="G46" s="1">
        <v>29.26</v>
      </c>
      <c r="H46" s="11">
        <v>29.26</v>
      </c>
      <c r="I46" s="20">
        <v>28.29</v>
      </c>
      <c r="J46" s="20">
        <f t="shared" si="61"/>
        <v>0.97000000000000242</v>
      </c>
      <c r="K46" s="2">
        <f t="shared" si="62"/>
        <v>39.770000000000095</v>
      </c>
      <c r="L46" s="11">
        <v>29.28</v>
      </c>
      <c r="M46" s="20">
        <f t="shared" si="63"/>
        <v>0</v>
      </c>
      <c r="N46" s="21" t="str">
        <f t="shared" si="64"/>
        <v>-</v>
      </c>
      <c r="O46" s="1">
        <f t="shared" si="0"/>
        <v>0</v>
      </c>
      <c r="P46" s="1" t="str">
        <f t="shared" si="1"/>
        <v/>
      </c>
      <c r="Q46" s="11">
        <f>VLOOKUP($D46,prices!$A$2:$C$19,3)</f>
        <v>8.4</v>
      </c>
      <c r="R46" s="11">
        <f>VLOOKUP(D46,prices!$A$2:$B$19,2)</f>
        <v>9.0500000000000007</v>
      </c>
      <c r="S46" s="55">
        <f t="shared" si="53"/>
        <v>0</v>
      </c>
      <c r="T46" s="55">
        <f t="shared" si="65"/>
        <v>0</v>
      </c>
      <c r="U46" s="55">
        <f t="shared" si="3"/>
        <v>1199.6600000000001</v>
      </c>
      <c r="V46" s="42">
        <f t="shared" si="66"/>
        <v>0</v>
      </c>
      <c r="W46" s="55">
        <f t="shared" si="12"/>
        <v>1199.6600000000001</v>
      </c>
      <c r="X46" s="48">
        <f t="shared" si="13"/>
        <v>0</v>
      </c>
      <c r="Y46" s="68">
        <v>1</v>
      </c>
      <c r="Z46" s="28" t="str">
        <f t="shared" si="60"/>
        <v>-</v>
      </c>
    </row>
    <row r="47" spans="1:26" ht="15" hidden="1" customHeight="1">
      <c r="A47" t="s">
        <v>23</v>
      </c>
      <c r="B47" t="s">
        <v>26</v>
      </c>
      <c r="C47" s="105">
        <v>147</v>
      </c>
      <c r="D47" t="s">
        <v>86</v>
      </c>
      <c r="E47" s="2">
        <v>149</v>
      </c>
      <c r="F47" s="1"/>
      <c r="G47" s="1">
        <v>29.26</v>
      </c>
      <c r="H47" s="11">
        <v>29.25</v>
      </c>
      <c r="I47" s="20">
        <v>28.29</v>
      </c>
      <c r="J47" s="20">
        <f t="shared" si="61"/>
        <v>0.97000000000000242</v>
      </c>
      <c r="K47" s="2">
        <f t="shared" si="62"/>
        <v>144.53000000000037</v>
      </c>
      <c r="L47" s="11">
        <v>29.28</v>
      </c>
      <c r="M47" s="20">
        <f t="shared" si="63"/>
        <v>0</v>
      </c>
      <c r="N47" s="21" t="str">
        <f t="shared" si="64"/>
        <v>-</v>
      </c>
      <c r="O47" s="1">
        <f t="shared" si="0"/>
        <v>-1.0309278350517049E-2</v>
      </c>
      <c r="P47" s="1" t="str">
        <f t="shared" si="1"/>
        <v/>
      </c>
      <c r="Q47" s="11">
        <f>VLOOKUP($D47,prices!$A$2:$C$19,3)</f>
        <v>8.4</v>
      </c>
      <c r="R47" s="11">
        <f>VLOOKUP(D47,prices!$A$2:$B$19,2)</f>
        <v>9.0500000000000007</v>
      </c>
      <c r="S47" s="55">
        <f t="shared" si="53"/>
        <v>-1.4900000000002329</v>
      </c>
      <c r="T47" s="55">
        <f t="shared" si="65"/>
        <v>-1.0000000000001563E-2</v>
      </c>
      <c r="U47" s="55">
        <f t="shared" si="3"/>
        <v>4359.74</v>
      </c>
      <c r="V47" s="42">
        <f t="shared" si="66"/>
        <v>-3.4176349965828992E-4</v>
      </c>
      <c r="W47" s="55">
        <f t="shared" si="12"/>
        <v>4358.25</v>
      </c>
      <c r="X47" s="48">
        <f t="shared" si="13"/>
        <v>0</v>
      </c>
      <c r="Y47" s="68">
        <v>4</v>
      </c>
      <c r="Z47" s="28" t="str">
        <f t="shared" si="60"/>
        <v>-</v>
      </c>
    </row>
    <row r="48" spans="1:26" ht="15" hidden="1" customHeight="1">
      <c r="A48" t="s">
        <v>23</v>
      </c>
      <c r="B48" t="s">
        <v>26</v>
      </c>
      <c r="C48" s="108">
        <v>204</v>
      </c>
      <c r="D48" t="s">
        <v>112</v>
      </c>
      <c r="E48" s="2">
        <v>105</v>
      </c>
      <c r="F48" s="1"/>
      <c r="G48" s="1">
        <v>26.827999999999999</v>
      </c>
      <c r="H48" s="11">
        <v>24.49</v>
      </c>
      <c r="I48" s="20">
        <v>24.55</v>
      </c>
      <c r="J48" s="20">
        <f t="shared" si="61"/>
        <v>2.2779999999999987</v>
      </c>
      <c r="K48" s="2">
        <f t="shared" si="62"/>
        <v>239.18999999999986</v>
      </c>
      <c r="L48" s="11">
        <v>24.55</v>
      </c>
      <c r="M48" s="20">
        <f t="shared" si="63"/>
        <v>2.2779999999999987</v>
      </c>
      <c r="N48" s="21" t="str">
        <f t="shared" si="64"/>
        <v>-</v>
      </c>
      <c r="O48" s="1">
        <f t="shared" si="0"/>
        <v>-1.0263388937664628</v>
      </c>
      <c r="P48" s="1" t="str">
        <f t="shared" si="1"/>
        <v/>
      </c>
      <c r="Q48" s="11">
        <f>VLOOKUP($D48,prices!$A$2:$C$19,3)</f>
        <v>8.4</v>
      </c>
      <c r="R48" s="11">
        <f>VLOOKUP(D48,prices!$A$2:$B$19,2)</f>
        <v>9.0500000000000007</v>
      </c>
      <c r="S48" s="55">
        <f t="shared" si="53"/>
        <v>-245.49000000000009</v>
      </c>
      <c r="T48" s="55">
        <f t="shared" si="65"/>
        <v>-2.338000000000001</v>
      </c>
      <c r="U48" s="55">
        <f t="shared" si="3"/>
        <v>2816.94</v>
      </c>
      <c r="V48" s="42">
        <f t="shared" si="66"/>
        <v>-8.7147756075741795E-2</v>
      </c>
      <c r="W48" s="55">
        <f t="shared" si="12"/>
        <v>2571.4499999999998</v>
      </c>
      <c r="X48" s="48">
        <f t="shared" si="13"/>
        <v>0</v>
      </c>
      <c r="Y48" s="68">
        <v>4</v>
      </c>
      <c r="Z48" s="28" t="str">
        <f t="shared" ref="Z48" si="67">IF(B48="open",(R48-L48)*E48,"-")</f>
        <v>-</v>
      </c>
    </row>
    <row r="49" spans="1:26" ht="15" hidden="1" customHeight="1">
      <c r="A49" t="s">
        <v>23</v>
      </c>
      <c r="B49" t="s">
        <v>26</v>
      </c>
      <c r="C49" s="108">
        <v>184</v>
      </c>
      <c r="D49" t="s">
        <v>105</v>
      </c>
      <c r="E49" s="2">
        <v>385</v>
      </c>
      <c r="F49" s="1"/>
      <c r="G49" s="1">
        <v>3.7</v>
      </c>
      <c r="H49" s="11">
        <v>2.9769999999999999</v>
      </c>
      <c r="I49" s="20">
        <v>2.63</v>
      </c>
      <c r="J49" s="20">
        <f t="shared" si="61"/>
        <v>1.0700000000000003</v>
      </c>
      <c r="K49" s="2">
        <f t="shared" si="62"/>
        <v>411.9500000000001</v>
      </c>
      <c r="L49" s="11">
        <v>2.98</v>
      </c>
      <c r="M49" s="20">
        <f t="shared" si="63"/>
        <v>0.7200000000000002</v>
      </c>
      <c r="N49" s="21" t="str">
        <f t="shared" si="64"/>
        <v>-</v>
      </c>
      <c r="O49" s="1">
        <f t="shared" si="0"/>
        <v>-0.67570093457943936</v>
      </c>
      <c r="P49" s="1" t="str">
        <f t="shared" si="1"/>
        <v/>
      </c>
      <c r="Q49" s="11">
        <f>VLOOKUP($D49,prices!$A$2:$C$19,3)</f>
        <v>8.4</v>
      </c>
      <c r="R49" s="11">
        <f>VLOOKUP(D49,prices!$A$2:$B$19,2)</f>
        <v>9.0500000000000007</v>
      </c>
      <c r="S49" s="55">
        <f t="shared" si="53"/>
        <v>-278.35500000000013</v>
      </c>
      <c r="T49" s="55">
        <f t="shared" si="65"/>
        <v>-0.72300000000000031</v>
      </c>
      <c r="U49" s="55">
        <f t="shared" si="3"/>
        <v>1424.5</v>
      </c>
      <c r="V49" s="42">
        <f t="shared" si="66"/>
        <v>-0.19540540540540549</v>
      </c>
      <c r="W49" s="55">
        <f t="shared" si="12"/>
        <v>1146.145</v>
      </c>
      <c r="X49" s="48">
        <f t="shared" si="13"/>
        <v>0</v>
      </c>
      <c r="Y49" s="68">
        <v>4</v>
      </c>
      <c r="Z49" s="28" t="str">
        <f t="shared" si="60"/>
        <v>-</v>
      </c>
    </row>
    <row r="50" spans="1:26" ht="15" hidden="1" customHeight="1">
      <c r="A50" t="s">
        <v>6</v>
      </c>
      <c r="B50" t="s">
        <v>26</v>
      </c>
      <c r="C50" s="105">
        <v>185</v>
      </c>
      <c r="D50" t="s">
        <v>105</v>
      </c>
      <c r="E50" s="2">
        <v>124</v>
      </c>
      <c r="F50" s="1"/>
      <c r="G50" s="1">
        <v>3.6970000000000001</v>
      </c>
      <c r="H50" s="11">
        <v>2.97</v>
      </c>
      <c r="I50" s="20">
        <v>2.63</v>
      </c>
      <c r="J50" s="20">
        <f t="shared" si="61"/>
        <v>1.0670000000000002</v>
      </c>
      <c r="K50" s="2">
        <f t="shared" si="62"/>
        <v>132.30800000000002</v>
      </c>
      <c r="L50" s="11">
        <v>2.98</v>
      </c>
      <c r="M50" s="20">
        <f t="shared" si="63"/>
        <v>0.71700000000000008</v>
      </c>
      <c r="N50" s="21" t="str">
        <f t="shared" si="64"/>
        <v>-</v>
      </c>
      <c r="O50" s="1">
        <f t="shared" si="0"/>
        <v>-0.68134957825679454</v>
      </c>
      <c r="P50" s="1" t="str">
        <f t="shared" si="1"/>
        <v/>
      </c>
      <c r="Q50" s="11">
        <f>VLOOKUP($D50,prices!$A$2:$C$19,3)</f>
        <v>8.4</v>
      </c>
      <c r="R50" s="11">
        <f>VLOOKUP(D50,prices!$A$2:$B$19,2)</f>
        <v>9.0500000000000007</v>
      </c>
      <c r="S50" s="55">
        <f t="shared" si="53"/>
        <v>-90.147999999999982</v>
      </c>
      <c r="T50" s="55">
        <f t="shared" si="65"/>
        <v>-0.72699999999999987</v>
      </c>
      <c r="U50" s="55">
        <f t="shared" si="3"/>
        <v>458.428</v>
      </c>
      <c r="V50" s="42">
        <f t="shared" si="66"/>
        <v>-0.1966459291317284</v>
      </c>
      <c r="W50" s="55">
        <f t="shared" si="12"/>
        <v>368.28000000000003</v>
      </c>
      <c r="X50" s="48">
        <f t="shared" si="13"/>
        <v>0</v>
      </c>
      <c r="Y50" s="68">
        <v>4</v>
      </c>
      <c r="Z50" s="28" t="str">
        <f t="shared" ref="Z50" si="68">IF(B50="open",(R50-L50)*E50,"-")</f>
        <v>-</v>
      </c>
    </row>
    <row r="51" spans="1:26" ht="15" hidden="1" customHeight="1">
      <c r="A51" t="s">
        <v>23</v>
      </c>
      <c r="B51" t="s">
        <v>26</v>
      </c>
      <c r="C51" s="51">
        <v>1001</v>
      </c>
      <c r="D51" t="s">
        <v>119</v>
      </c>
      <c r="E51" s="2">
        <v>122</v>
      </c>
      <c r="F51" s="1"/>
      <c r="G51" s="1">
        <v>34.01</v>
      </c>
      <c r="H51" s="11">
        <v>34.43</v>
      </c>
      <c r="I51" s="20">
        <v>30.56</v>
      </c>
      <c r="J51" s="20">
        <f t="shared" si="61"/>
        <v>3.4499999999999993</v>
      </c>
      <c r="K51" s="2">
        <f t="shared" si="62"/>
        <v>420.89999999999992</v>
      </c>
      <c r="L51" s="11">
        <v>33.19</v>
      </c>
      <c r="M51" s="20">
        <f t="shared" si="63"/>
        <v>0.82000000000000028</v>
      </c>
      <c r="N51" s="21" t="str">
        <f t="shared" si="64"/>
        <v>-</v>
      </c>
      <c r="O51" s="1">
        <f t="shared" si="0"/>
        <v>0.12173913043478313</v>
      </c>
      <c r="P51" s="1" t="str">
        <f t="shared" si="1"/>
        <v/>
      </c>
      <c r="Q51" s="11">
        <f>VLOOKUP($D51,prices!$A$2:$C$19,3)</f>
        <v>8.4</v>
      </c>
      <c r="R51" s="11">
        <f>VLOOKUP(D51,prices!$A$2:$B$19,2)</f>
        <v>9.0500000000000007</v>
      </c>
      <c r="S51" s="55">
        <f t="shared" si="53"/>
        <v>51.240000000000208</v>
      </c>
      <c r="T51" s="55">
        <f t="shared" si="65"/>
        <v>0.42000000000000171</v>
      </c>
      <c r="U51" s="55">
        <f t="shared" si="3"/>
        <v>4149.2199999999993</v>
      </c>
      <c r="V51" s="42">
        <f t="shared" si="66"/>
        <v>1.2349309026756888E-2</v>
      </c>
      <c r="W51" s="55">
        <f t="shared" si="12"/>
        <v>4200.46</v>
      </c>
      <c r="X51" s="48">
        <f t="shared" si="13"/>
        <v>0</v>
      </c>
      <c r="Y51" s="68">
        <v>4</v>
      </c>
      <c r="Z51" s="28" t="str">
        <f t="shared" si="60"/>
        <v>-</v>
      </c>
    </row>
    <row r="52" spans="1:26" ht="15" hidden="1" customHeight="1">
      <c r="A52" t="s">
        <v>6</v>
      </c>
      <c r="B52" t="s">
        <v>26</v>
      </c>
      <c r="C52" s="101">
        <v>1004</v>
      </c>
      <c r="D52" t="s">
        <v>119</v>
      </c>
      <c r="E52" s="2">
        <v>40</v>
      </c>
      <c r="F52" s="1"/>
      <c r="G52" s="1">
        <v>34.01</v>
      </c>
      <c r="H52" s="11">
        <v>34.43</v>
      </c>
      <c r="I52" s="20">
        <v>30.56</v>
      </c>
      <c r="J52" s="20">
        <f t="shared" si="61"/>
        <v>3.4499999999999993</v>
      </c>
      <c r="K52" s="2">
        <f t="shared" si="62"/>
        <v>137.99999999999997</v>
      </c>
      <c r="L52" s="11">
        <v>33.19</v>
      </c>
      <c r="M52" s="20">
        <f t="shared" si="63"/>
        <v>0.82000000000000028</v>
      </c>
      <c r="N52" s="21" t="str">
        <f t="shared" si="64"/>
        <v>-</v>
      </c>
      <c r="O52" s="1">
        <f t="shared" si="0"/>
        <v>0.12173913043478313</v>
      </c>
      <c r="P52" s="1" t="str">
        <f t="shared" si="1"/>
        <v/>
      </c>
      <c r="Q52" s="11">
        <f>VLOOKUP($D52,prices!$A$2:$C$19,3)</f>
        <v>8.4</v>
      </c>
      <c r="R52" s="11">
        <f>VLOOKUP(D52,prices!$A$2:$B$19,2)</f>
        <v>9.0500000000000007</v>
      </c>
      <c r="S52" s="55">
        <f t="shared" si="53"/>
        <v>16.800000000000068</v>
      </c>
      <c r="T52" s="55">
        <f t="shared" si="65"/>
        <v>0.42000000000000171</v>
      </c>
      <c r="U52" s="55">
        <f t="shared" si="3"/>
        <v>1360.3999999999999</v>
      </c>
      <c r="V52" s="42">
        <f t="shared" si="66"/>
        <v>1.2349309026756888E-2</v>
      </c>
      <c r="W52" s="55">
        <f t="shared" si="12"/>
        <v>1377.2</v>
      </c>
      <c r="X52" s="48">
        <f t="shared" si="13"/>
        <v>0</v>
      </c>
      <c r="Y52" s="68">
        <v>4</v>
      </c>
      <c r="Z52" s="28" t="str">
        <f t="shared" si="60"/>
        <v>-</v>
      </c>
    </row>
    <row r="53" spans="1:26" ht="15" hidden="1" customHeight="1">
      <c r="A53" t="s">
        <v>23</v>
      </c>
      <c r="B53" t="s">
        <v>26</v>
      </c>
      <c r="C53" s="103">
        <v>1002</v>
      </c>
      <c r="D53" t="s">
        <v>119</v>
      </c>
      <c r="E53" s="2">
        <v>105</v>
      </c>
      <c r="F53" s="1"/>
      <c r="G53" s="1">
        <v>37.840000000000003</v>
      </c>
      <c r="H53" s="11">
        <v>34.42</v>
      </c>
      <c r="I53" s="20">
        <v>33.85</v>
      </c>
      <c r="J53" s="20">
        <f t="shared" si="61"/>
        <v>3.990000000000002</v>
      </c>
      <c r="K53" s="2">
        <f t="shared" si="62"/>
        <v>418.95000000000022</v>
      </c>
      <c r="L53" s="11">
        <v>33.19</v>
      </c>
      <c r="M53" s="20">
        <f t="shared" si="63"/>
        <v>4.6500000000000057</v>
      </c>
      <c r="N53" s="21" t="str">
        <f t="shared" si="64"/>
        <v>-</v>
      </c>
      <c r="O53" s="1">
        <f t="shared" si="0"/>
        <v>-0.8571428571428571</v>
      </c>
      <c r="P53" s="1" t="str">
        <f t="shared" si="1"/>
        <v/>
      </c>
      <c r="Q53" s="11">
        <f>VLOOKUP($D53,prices!$A$2:$C$19,3)</f>
        <v>8.4</v>
      </c>
      <c r="R53" s="11">
        <f>VLOOKUP(D53,prices!$A$2:$B$19,2)</f>
        <v>9.0500000000000007</v>
      </c>
      <c r="S53" s="55">
        <f t="shared" si="53"/>
        <v>-359.10000000000019</v>
      </c>
      <c r="T53" s="55">
        <f t="shared" si="65"/>
        <v>-3.4200000000000017</v>
      </c>
      <c r="U53" s="55">
        <f t="shared" si="3"/>
        <v>3973.2000000000003</v>
      </c>
      <c r="V53" s="42">
        <f t="shared" si="66"/>
        <v>-9.0380549682875302E-2</v>
      </c>
      <c r="W53" s="55">
        <f t="shared" si="12"/>
        <v>3614.1000000000004</v>
      </c>
      <c r="X53" s="48">
        <f t="shared" si="13"/>
        <v>0</v>
      </c>
      <c r="Y53" s="68">
        <v>4</v>
      </c>
      <c r="Z53" s="28" t="str">
        <f t="shared" ref="Z53" si="69">IF(B53="open",(R53-L53)*E53,"-")</f>
        <v>-</v>
      </c>
    </row>
    <row r="54" spans="1:26" ht="15" hidden="1" customHeight="1">
      <c r="A54" t="s">
        <v>23</v>
      </c>
      <c r="B54" t="s">
        <v>26</v>
      </c>
      <c r="C54" s="101">
        <v>1003</v>
      </c>
      <c r="D54" t="s">
        <v>119</v>
      </c>
      <c r="E54" s="2">
        <v>105</v>
      </c>
      <c r="F54" s="1"/>
      <c r="G54" s="1">
        <v>38.15</v>
      </c>
      <c r="H54" s="11">
        <v>34.42</v>
      </c>
      <c r="I54" s="20">
        <v>33.85</v>
      </c>
      <c r="J54" s="20">
        <v>3.98</v>
      </c>
      <c r="K54" s="2">
        <f t="shared" si="62"/>
        <v>417.9</v>
      </c>
      <c r="L54" s="11">
        <v>33.19</v>
      </c>
      <c r="M54" s="20">
        <f t="shared" si="63"/>
        <v>4.9600000000000009</v>
      </c>
      <c r="N54" s="21" t="str">
        <f t="shared" si="64"/>
        <v>-</v>
      </c>
      <c r="O54" s="1">
        <f t="shared" si="0"/>
        <v>-0.93718592964824043</v>
      </c>
      <c r="P54" s="1" t="str">
        <f t="shared" si="1"/>
        <v/>
      </c>
      <c r="Q54" s="11">
        <f>VLOOKUP($D54,prices!$A$2:$C$19,3)</f>
        <v>8.4</v>
      </c>
      <c r="R54" s="11">
        <f>VLOOKUP(D54,prices!$A$2:$B$19,2)</f>
        <v>9.0500000000000007</v>
      </c>
      <c r="S54" s="55">
        <f t="shared" si="53"/>
        <v>-391.64999999999969</v>
      </c>
      <c r="T54" s="55">
        <f t="shared" si="65"/>
        <v>-3.7299999999999969</v>
      </c>
      <c r="U54" s="55">
        <f t="shared" si="3"/>
        <v>4005.75</v>
      </c>
      <c r="V54" s="42">
        <f t="shared" si="66"/>
        <v>-9.7771952817824304E-2</v>
      </c>
      <c r="W54" s="55">
        <f t="shared" si="12"/>
        <v>3614.1000000000004</v>
      </c>
      <c r="X54" s="48">
        <f t="shared" si="13"/>
        <v>0</v>
      </c>
      <c r="Y54" s="68">
        <v>4</v>
      </c>
      <c r="Z54" s="28" t="str">
        <f t="shared" si="60"/>
        <v>-</v>
      </c>
    </row>
    <row r="55" spans="1:26" ht="15" hidden="1" customHeight="1">
      <c r="A55" t="s">
        <v>6</v>
      </c>
      <c r="B55" t="s">
        <v>26</v>
      </c>
      <c r="C55" s="101">
        <v>1005</v>
      </c>
      <c r="D55" t="s">
        <v>119</v>
      </c>
      <c r="E55" s="2">
        <v>35</v>
      </c>
      <c r="F55" s="1"/>
      <c r="G55" s="1">
        <v>37.840000000000003</v>
      </c>
      <c r="H55" s="11">
        <v>34.409999999999997</v>
      </c>
      <c r="I55" s="20">
        <v>33.85</v>
      </c>
      <c r="J55" s="20">
        <f t="shared" ref="J55:J79" si="70">IF(AND(ISNUMBER(G55),ISNUMBER(I55)),G55-I55,"-")</f>
        <v>3.990000000000002</v>
      </c>
      <c r="K55" s="2">
        <f t="shared" si="62"/>
        <v>139.65000000000006</v>
      </c>
      <c r="L55" s="11">
        <v>33.19</v>
      </c>
      <c r="M55" s="20">
        <f t="shared" si="63"/>
        <v>4.6500000000000057</v>
      </c>
      <c r="N55" s="21" t="str">
        <f t="shared" si="64"/>
        <v>-</v>
      </c>
      <c r="O55" s="1">
        <f t="shared" si="0"/>
        <v>-0.85964912280701877</v>
      </c>
      <c r="P55" s="1" t="str">
        <f t="shared" si="1"/>
        <v/>
      </c>
      <c r="Q55" s="11">
        <f>VLOOKUP($D55,prices!$A$2:$C$19,3)</f>
        <v>8.4</v>
      </c>
      <c r="R55" s="11">
        <f>VLOOKUP(D55,prices!$A$2:$B$19,2)</f>
        <v>9.0500000000000007</v>
      </c>
      <c r="S55" s="55">
        <f t="shared" si="53"/>
        <v>-120.05000000000024</v>
      </c>
      <c r="T55" s="55">
        <f t="shared" si="65"/>
        <v>-3.4300000000000068</v>
      </c>
      <c r="U55" s="55">
        <f t="shared" si="3"/>
        <v>1324.4</v>
      </c>
      <c r="V55" s="42">
        <f t="shared" si="66"/>
        <v>-9.0644820295983267E-2</v>
      </c>
      <c r="W55" s="55">
        <f t="shared" si="12"/>
        <v>1204.3499999999999</v>
      </c>
      <c r="X55" s="48">
        <f t="shared" si="13"/>
        <v>0</v>
      </c>
      <c r="Y55" s="68">
        <v>4</v>
      </c>
      <c r="Z55" s="28" t="str">
        <f t="shared" si="60"/>
        <v>-</v>
      </c>
    </row>
    <row r="56" spans="1:26" ht="15" hidden="1" customHeight="1">
      <c r="A56" t="s">
        <v>6</v>
      </c>
      <c r="B56" t="s">
        <v>26</v>
      </c>
      <c r="C56" s="105">
        <v>1006</v>
      </c>
      <c r="D56" t="s">
        <v>119</v>
      </c>
      <c r="E56" s="2">
        <v>33</v>
      </c>
      <c r="F56" s="1"/>
      <c r="G56" s="1">
        <v>38.14</v>
      </c>
      <c r="H56" s="11">
        <v>34.409999999999997</v>
      </c>
      <c r="I56" s="20">
        <v>34.119999999999997</v>
      </c>
      <c r="J56" s="20">
        <f t="shared" si="70"/>
        <v>4.0200000000000031</v>
      </c>
      <c r="K56" s="2">
        <f t="shared" si="62"/>
        <v>132.66000000000011</v>
      </c>
      <c r="L56" s="11">
        <v>33.19</v>
      </c>
      <c r="M56" s="20">
        <f t="shared" si="63"/>
        <v>4.9500000000000028</v>
      </c>
      <c r="N56" s="21" t="str">
        <f t="shared" si="64"/>
        <v>-</v>
      </c>
      <c r="O56" s="1">
        <f t="shared" si="0"/>
        <v>-0.92786069651741321</v>
      </c>
      <c r="P56" s="1" t="str">
        <f t="shared" si="1"/>
        <v/>
      </c>
      <c r="Q56" s="11">
        <f>VLOOKUP($D56,prices!$A$2:$C$19,3)</f>
        <v>8.4</v>
      </c>
      <c r="R56" s="11">
        <f>VLOOKUP(D56,prices!$A$2:$B$19,2)</f>
        <v>9.0500000000000007</v>
      </c>
      <c r="S56" s="55">
        <f t="shared" si="53"/>
        <v>-123.09000000000013</v>
      </c>
      <c r="T56" s="55">
        <f t="shared" si="65"/>
        <v>-3.730000000000004</v>
      </c>
      <c r="U56" s="55">
        <f t="shared" si="3"/>
        <v>1258.6200000000001</v>
      </c>
      <c r="V56" s="42">
        <f t="shared" si="66"/>
        <v>-9.7797587834294805E-2</v>
      </c>
      <c r="W56" s="55">
        <f t="shared" si="12"/>
        <v>1135.53</v>
      </c>
      <c r="X56" s="48">
        <f t="shared" si="13"/>
        <v>0</v>
      </c>
      <c r="Y56" s="68">
        <v>4</v>
      </c>
      <c r="Z56" s="28" t="str">
        <f t="shared" ref="Z56:Z57" si="71">IF(B56="open",(R56-L56)*E56,"-")</f>
        <v>-</v>
      </c>
    </row>
    <row r="57" spans="1:26" ht="15" hidden="1" customHeight="1">
      <c r="A57" t="s">
        <v>23</v>
      </c>
      <c r="B57" t="s">
        <v>26</v>
      </c>
      <c r="C57" s="105">
        <v>1031</v>
      </c>
      <c r="D57" t="s">
        <v>78</v>
      </c>
      <c r="E57" s="2">
        <v>183</v>
      </c>
      <c r="F57" s="1"/>
      <c r="G57" s="1">
        <v>19.7</v>
      </c>
      <c r="H57" s="11">
        <v>17.45</v>
      </c>
      <c r="I57" s="20">
        <v>17.45</v>
      </c>
      <c r="J57" s="20">
        <f t="shared" si="70"/>
        <v>2.25</v>
      </c>
      <c r="K57" s="2">
        <f t="shared" si="62"/>
        <v>411.75</v>
      </c>
      <c r="L57" s="11">
        <v>17.45</v>
      </c>
      <c r="M57" s="20">
        <f t="shared" si="63"/>
        <v>2.25</v>
      </c>
      <c r="N57" s="21" t="str">
        <f t="shared" si="64"/>
        <v>-</v>
      </c>
      <c r="O57" s="1">
        <f t="shared" si="0"/>
        <v>-1</v>
      </c>
      <c r="P57" s="1" t="str">
        <f t="shared" si="1"/>
        <v/>
      </c>
      <c r="Q57" s="11">
        <f>VLOOKUP($D57,prices!$A$2:$C$19,3)</f>
        <v>23.07</v>
      </c>
      <c r="R57" s="11">
        <f>VLOOKUP(D57,prices!$A$2:$B$19,2)</f>
        <v>23.12</v>
      </c>
      <c r="S57" s="55">
        <f t="shared" si="53"/>
        <v>-411.75</v>
      </c>
      <c r="T57" s="55">
        <f t="shared" si="65"/>
        <v>-2.25</v>
      </c>
      <c r="U57" s="55">
        <f t="shared" si="3"/>
        <v>3605.1</v>
      </c>
      <c r="V57" s="42">
        <f t="shared" si="66"/>
        <v>-0.11421319796954316</v>
      </c>
      <c r="W57" s="55">
        <f t="shared" si="12"/>
        <v>3193.35</v>
      </c>
      <c r="X57" s="48">
        <f t="shared" si="13"/>
        <v>0</v>
      </c>
      <c r="Y57" s="68">
        <v>4</v>
      </c>
      <c r="Z57" s="28" t="str">
        <f t="shared" si="71"/>
        <v>-</v>
      </c>
    </row>
    <row r="58" spans="1:26" ht="15" hidden="1" customHeight="1">
      <c r="A58" t="s">
        <v>6</v>
      </c>
      <c r="B58" t="s">
        <v>26</v>
      </c>
      <c r="C58" s="51">
        <v>1030</v>
      </c>
      <c r="D58" t="s">
        <v>78</v>
      </c>
      <c r="E58" s="2">
        <v>55</v>
      </c>
      <c r="F58" s="1"/>
      <c r="G58" s="1">
        <v>19.71</v>
      </c>
      <c r="H58" s="11">
        <v>17.45</v>
      </c>
      <c r="I58" s="20">
        <v>17.45</v>
      </c>
      <c r="J58" s="20">
        <f t="shared" si="70"/>
        <v>2.2600000000000016</v>
      </c>
      <c r="K58" s="2">
        <f t="shared" si="62"/>
        <v>124.30000000000008</v>
      </c>
      <c r="L58" s="11">
        <v>17.45</v>
      </c>
      <c r="M58" s="20">
        <f t="shared" si="63"/>
        <v>2.2600000000000016</v>
      </c>
      <c r="N58" s="21" t="str">
        <f t="shared" si="64"/>
        <v>-</v>
      </c>
      <c r="O58" s="1">
        <f t="shared" si="0"/>
        <v>-1</v>
      </c>
      <c r="P58" s="1" t="str">
        <f t="shared" si="1"/>
        <v/>
      </c>
      <c r="Q58" s="11">
        <f>VLOOKUP($D58,prices!$A$2:$C$19,3)</f>
        <v>23.07</v>
      </c>
      <c r="R58" s="11">
        <f>VLOOKUP(D58,prices!$A$2:$B$19,2)</f>
        <v>23.12</v>
      </c>
      <c r="S58" s="55">
        <f t="shared" si="53"/>
        <v>-124.30000000000008</v>
      </c>
      <c r="T58" s="55">
        <f t="shared" si="65"/>
        <v>-2.2600000000000016</v>
      </c>
      <c r="U58" s="55">
        <f t="shared" si="3"/>
        <v>1084.05</v>
      </c>
      <c r="V58" s="42">
        <f t="shared" si="66"/>
        <v>-0.11466260781329282</v>
      </c>
      <c r="W58" s="55">
        <f t="shared" si="12"/>
        <v>959.75</v>
      </c>
      <c r="X58" s="48">
        <f t="shared" si="13"/>
        <v>0</v>
      </c>
      <c r="Y58" s="68">
        <v>4</v>
      </c>
      <c r="Z58" s="28" t="str">
        <f t="shared" si="60"/>
        <v>-</v>
      </c>
    </row>
    <row r="59" spans="1:26" ht="15" hidden="1" customHeight="1">
      <c r="A59" t="s">
        <v>23</v>
      </c>
      <c r="B59" t="s">
        <v>26</v>
      </c>
      <c r="C59" s="51">
        <v>111</v>
      </c>
      <c r="D59" t="s">
        <v>78</v>
      </c>
      <c r="E59" s="2">
        <v>223</v>
      </c>
      <c r="F59" s="1"/>
      <c r="G59" s="1">
        <v>20.25</v>
      </c>
      <c r="H59" s="11">
        <v>20.16</v>
      </c>
      <c r="I59" s="20">
        <v>18.68</v>
      </c>
      <c r="J59" s="20">
        <f t="shared" si="70"/>
        <v>1.5700000000000003</v>
      </c>
      <c r="K59" s="2">
        <f t="shared" si="62"/>
        <v>350.11000000000007</v>
      </c>
      <c r="L59" s="11">
        <v>20.14</v>
      </c>
      <c r="M59" s="20">
        <f t="shared" si="63"/>
        <v>0.10999999999999943</v>
      </c>
      <c r="N59" s="21" t="str">
        <f t="shared" si="64"/>
        <v>-</v>
      </c>
      <c r="O59" s="1">
        <f t="shared" si="0"/>
        <v>-5.7324840764331107E-2</v>
      </c>
      <c r="P59" s="1" t="str">
        <f t="shared" si="1"/>
        <v/>
      </c>
      <c r="Q59" s="11"/>
      <c r="R59" s="11">
        <f>VLOOKUP(D59,prices!$A$2:$B$19,2)</f>
        <v>23.12</v>
      </c>
      <c r="S59" s="1">
        <f t="shared" si="53"/>
        <v>-20.069999999999968</v>
      </c>
      <c r="T59" s="1">
        <f t="shared" si="65"/>
        <v>-8.9999999999999858E-2</v>
      </c>
      <c r="U59" s="1">
        <f t="shared" si="3"/>
        <v>4515.75</v>
      </c>
      <c r="V59" s="25">
        <f t="shared" si="66"/>
        <v>-4.4444444444444375E-3</v>
      </c>
      <c r="W59" s="1">
        <f t="shared" si="12"/>
        <v>4495.68</v>
      </c>
      <c r="X59" s="6">
        <f t="shared" si="13"/>
        <v>0</v>
      </c>
      <c r="Y59"/>
      <c r="Z59" s="21">
        <v>220.47999999999982</v>
      </c>
    </row>
    <row r="60" spans="1:26" ht="15" hidden="1" customHeight="1">
      <c r="A60" t="s">
        <v>6</v>
      </c>
      <c r="B60" t="s">
        <v>26</v>
      </c>
      <c r="C60" s="51">
        <v>112</v>
      </c>
      <c r="D60" t="s">
        <v>78</v>
      </c>
      <c r="E60" s="2">
        <v>37</v>
      </c>
      <c r="F60" s="1"/>
      <c r="G60" s="1">
        <v>20.25</v>
      </c>
      <c r="H60" s="11">
        <v>20.16</v>
      </c>
      <c r="I60" s="20">
        <v>18.68</v>
      </c>
      <c r="J60" s="20">
        <f t="shared" si="70"/>
        <v>1.5700000000000003</v>
      </c>
      <c r="K60" s="2">
        <f t="shared" si="62"/>
        <v>58.090000000000011</v>
      </c>
      <c r="L60" s="11">
        <v>20.14</v>
      </c>
      <c r="M60" s="20">
        <f t="shared" si="63"/>
        <v>0.10999999999999943</v>
      </c>
      <c r="N60" s="21" t="str">
        <f t="shared" si="64"/>
        <v>-</v>
      </c>
      <c r="O60" s="1">
        <f t="shared" si="0"/>
        <v>-5.7324840764331107E-2</v>
      </c>
      <c r="P60" s="1" t="str">
        <f t="shared" si="1"/>
        <v/>
      </c>
      <c r="Q60" s="11"/>
      <c r="R60" s="11">
        <f>VLOOKUP(D60,prices!$A$2:$B$19,2)</f>
        <v>23.12</v>
      </c>
      <c r="S60" s="1">
        <f t="shared" si="53"/>
        <v>-3.3299999999999947</v>
      </c>
      <c r="T60" s="1">
        <f t="shared" si="65"/>
        <v>-8.9999999999999858E-2</v>
      </c>
      <c r="U60" s="1">
        <f t="shared" si="3"/>
        <v>749.25</v>
      </c>
      <c r="V60" s="25">
        <f t="shared" si="66"/>
        <v>-4.4444444444444375E-3</v>
      </c>
      <c r="W60" s="1">
        <f t="shared" si="12"/>
        <v>745.92</v>
      </c>
      <c r="X60" s="6">
        <f t="shared" si="13"/>
        <v>0</v>
      </c>
      <c r="Y60"/>
      <c r="Z60" s="21">
        <v>66.559999999999945</v>
      </c>
    </row>
    <row r="61" spans="1:26" ht="15" hidden="1" customHeight="1">
      <c r="A61" t="s">
        <v>6</v>
      </c>
      <c r="B61" t="s">
        <v>26</v>
      </c>
      <c r="C61" s="51">
        <v>125</v>
      </c>
      <c r="D61" t="s">
        <v>78</v>
      </c>
      <c r="E61" s="2">
        <v>53</v>
      </c>
      <c r="F61" s="1"/>
      <c r="G61" s="1">
        <v>20.76</v>
      </c>
      <c r="H61" s="11">
        <v>20.149999999999999</v>
      </c>
      <c r="I61" s="20">
        <v>18.68</v>
      </c>
      <c r="J61" s="20">
        <f t="shared" si="70"/>
        <v>2.0800000000000018</v>
      </c>
      <c r="K61" s="2">
        <f t="shared" si="62"/>
        <v>110.24000000000009</v>
      </c>
      <c r="L61" s="11">
        <v>20.14</v>
      </c>
      <c r="M61" s="20">
        <f t="shared" si="63"/>
        <v>0.62000000000000099</v>
      </c>
      <c r="N61" s="21" t="str">
        <f t="shared" si="64"/>
        <v>-</v>
      </c>
      <c r="O61" s="1">
        <f t="shared" si="0"/>
        <v>-0.29326923076923195</v>
      </c>
      <c r="P61" s="1" t="str">
        <f t="shared" si="1"/>
        <v/>
      </c>
      <c r="Q61" s="11"/>
      <c r="R61" s="11">
        <f>VLOOKUP(D61,prices!$A$2:$B$19,2)</f>
        <v>23.12</v>
      </c>
      <c r="S61" s="1">
        <f t="shared" si="53"/>
        <v>-32.330000000000155</v>
      </c>
      <c r="T61" s="1">
        <f t="shared" si="65"/>
        <v>-0.61000000000000298</v>
      </c>
      <c r="U61" s="1">
        <f t="shared" si="3"/>
        <v>1100.28</v>
      </c>
      <c r="V61" s="25">
        <f t="shared" si="66"/>
        <v>-2.9383429672447156E-2</v>
      </c>
      <c r="W61" s="1">
        <f t="shared" si="12"/>
        <v>1067.9499999999998</v>
      </c>
      <c r="X61" s="6">
        <f t="shared" si="13"/>
        <v>0</v>
      </c>
      <c r="Y61"/>
      <c r="Z61" s="21">
        <v>177.06000000000006</v>
      </c>
    </row>
    <row r="62" spans="1:26" ht="15" hidden="1" customHeight="1">
      <c r="A62" t="s">
        <v>6</v>
      </c>
      <c r="B62" t="s">
        <v>26</v>
      </c>
      <c r="C62" s="49">
        <v>127</v>
      </c>
      <c r="D62" t="s">
        <v>78</v>
      </c>
      <c r="E62" s="2">
        <v>48</v>
      </c>
      <c r="F62" s="1"/>
      <c r="G62" s="1">
        <v>20.757999999999999</v>
      </c>
      <c r="H62" s="11">
        <v>20.14</v>
      </c>
      <c r="I62" s="20">
        <v>20.85</v>
      </c>
      <c r="J62" s="20">
        <f t="shared" si="70"/>
        <v>-9.2000000000002302E-2</v>
      </c>
      <c r="K62" s="2">
        <f t="shared" si="62"/>
        <v>-4.4160000000001105</v>
      </c>
      <c r="L62" s="11">
        <v>20.14</v>
      </c>
      <c r="M62" s="20">
        <f t="shared" si="63"/>
        <v>0.61799999999999855</v>
      </c>
      <c r="N62" s="21" t="str">
        <f t="shared" si="64"/>
        <v>-</v>
      </c>
      <c r="O62" s="1">
        <f t="shared" si="0"/>
        <v>6.7173913043476423</v>
      </c>
      <c r="P62" s="1" t="str">
        <f t="shared" si="1"/>
        <v/>
      </c>
      <c r="Q62" s="11"/>
      <c r="R62" s="11">
        <f>VLOOKUP(D62,prices!$A$2:$B$19,2)</f>
        <v>23.12</v>
      </c>
      <c r="S62" s="1">
        <f t="shared" si="53"/>
        <v>-29.66399999999993</v>
      </c>
      <c r="T62" s="1">
        <f t="shared" si="65"/>
        <v>-0.61799999999999855</v>
      </c>
      <c r="U62" s="1">
        <f t="shared" si="3"/>
        <v>996.38400000000001</v>
      </c>
      <c r="V62" s="25">
        <f t="shared" si="66"/>
        <v>-2.9771654301955802E-2</v>
      </c>
      <c r="W62" s="1">
        <f t="shared" si="12"/>
        <v>966.72</v>
      </c>
      <c r="X62" s="6">
        <f t="shared" si="13"/>
        <v>0</v>
      </c>
      <c r="Y62"/>
      <c r="Z62" s="21">
        <v>197.49000000000007</v>
      </c>
    </row>
    <row r="63" spans="1:26" ht="15" hidden="1" customHeight="1">
      <c r="A63" t="s">
        <v>23</v>
      </c>
      <c r="B63" t="s">
        <v>26</v>
      </c>
      <c r="C63" s="50">
        <v>124</v>
      </c>
      <c r="D63" t="s">
        <v>78</v>
      </c>
      <c r="E63" s="2">
        <v>111</v>
      </c>
      <c r="F63" s="1"/>
      <c r="G63" s="1">
        <v>20.757999999999999</v>
      </c>
      <c r="H63" s="11">
        <v>20.14</v>
      </c>
      <c r="I63" s="20">
        <v>19.28</v>
      </c>
      <c r="J63" s="20">
        <f t="shared" si="70"/>
        <v>1.477999999999998</v>
      </c>
      <c r="K63" s="2">
        <f t="shared" si="62"/>
        <v>164.05799999999977</v>
      </c>
      <c r="L63" s="11">
        <v>20.14</v>
      </c>
      <c r="M63" s="20">
        <f t="shared" si="63"/>
        <v>0.61799999999999855</v>
      </c>
      <c r="N63" s="21" t="str">
        <f t="shared" si="64"/>
        <v>-</v>
      </c>
      <c r="O63" s="1">
        <f t="shared" si="0"/>
        <v>-0.41813261163734738</v>
      </c>
      <c r="P63" s="1" t="str">
        <f t="shared" si="1"/>
        <v/>
      </c>
      <c r="Q63" s="11"/>
      <c r="R63" s="11">
        <f>VLOOKUP(D63,prices!$A$2:$B$19,2)</f>
        <v>23.12</v>
      </c>
      <c r="S63" s="1">
        <f t="shared" si="53"/>
        <v>-68.597999999999843</v>
      </c>
      <c r="T63" s="1">
        <f t="shared" si="65"/>
        <v>-0.61799999999999855</v>
      </c>
      <c r="U63" s="1">
        <f t="shared" si="3"/>
        <v>2304.1379999999999</v>
      </c>
      <c r="V63" s="25">
        <f t="shared" si="66"/>
        <v>-2.9771654301955806E-2</v>
      </c>
      <c r="W63" s="1">
        <f t="shared" si="12"/>
        <v>2235.54</v>
      </c>
      <c r="X63" s="6">
        <f t="shared" si="13"/>
        <v>0</v>
      </c>
      <c r="Y63"/>
      <c r="Z63" s="21">
        <v>231.30000000000024</v>
      </c>
    </row>
    <row r="64" spans="1:26" ht="15" hidden="1" customHeight="1">
      <c r="A64" t="s">
        <v>23</v>
      </c>
      <c r="B64" t="s">
        <v>26</v>
      </c>
      <c r="C64" s="50">
        <v>126</v>
      </c>
      <c r="D64" t="s">
        <v>78</v>
      </c>
      <c r="E64" s="2">
        <v>100</v>
      </c>
      <c r="F64" s="1"/>
      <c r="G64" s="1">
        <v>20.757999999999999</v>
      </c>
      <c r="H64" s="11">
        <v>20.14</v>
      </c>
      <c r="I64" s="20">
        <v>19.28</v>
      </c>
      <c r="J64" s="20">
        <f t="shared" si="70"/>
        <v>1.477999999999998</v>
      </c>
      <c r="K64" s="2">
        <f t="shared" si="62"/>
        <v>147.79999999999978</v>
      </c>
      <c r="L64" s="11">
        <v>20.14</v>
      </c>
      <c r="M64" s="20">
        <f t="shared" si="63"/>
        <v>0.61799999999999855</v>
      </c>
      <c r="N64" s="21" t="str">
        <f t="shared" si="64"/>
        <v>-</v>
      </c>
      <c r="O64" s="1">
        <f t="shared" si="0"/>
        <v>-0.41813261163734738</v>
      </c>
      <c r="P64" s="1" t="str">
        <f t="shared" si="1"/>
        <v/>
      </c>
      <c r="Q64" s="11"/>
      <c r="R64" s="11">
        <f>VLOOKUP(D64,prices!$A$2:$B$19,2)</f>
        <v>23.12</v>
      </c>
      <c r="S64" s="1">
        <f t="shared" si="53"/>
        <v>-61.799999999999855</v>
      </c>
      <c r="T64" s="1">
        <f t="shared" si="65"/>
        <v>-0.61799999999999855</v>
      </c>
      <c r="U64" s="1">
        <f t="shared" si="3"/>
        <v>2075.7999999999997</v>
      </c>
      <c r="V64" s="25">
        <f t="shared" si="66"/>
        <v>-2.9771654301955806E-2</v>
      </c>
      <c r="W64" s="1">
        <f t="shared" si="12"/>
        <v>2014</v>
      </c>
      <c r="X64" s="6">
        <f t="shared" si="13"/>
        <v>0</v>
      </c>
      <c r="Y64"/>
      <c r="Z64" s="21">
        <v>206.41500000000028</v>
      </c>
    </row>
    <row r="65" spans="1:26" ht="15" hidden="1" customHeight="1">
      <c r="A65" t="s">
        <v>23</v>
      </c>
      <c r="B65" t="s">
        <v>26</v>
      </c>
      <c r="C65" s="34">
        <v>129</v>
      </c>
      <c r="D65" t="s">
        <v>78</v>
      </c>
      <c r="E65" s="2">
        <v>127</v>
      </c>
      <c r="F65" s="1"/>
      <c r="G65" s="1">
        <v>21.449000000000002</v>
      </c>
      <c r="H65" s="11">
        <v>20.149999999999999</v>
      </c>
      <c r="I65" s="20">
        <v>19.96</v>
      </c>
      <c r="J65" s="20">
        <f t="shared" si="70"/>
        <v>1.4890000000000008</v>
      </c>
      <c r="K65" s="2">
        <f t="shared" si="62"/>
        <v>189.10300000000009</v>
      </c>
      <c r="L65" s="11">
        <v>20.14</v>
      </c>
      <c r="M65" s="20">
        <f t="shared" si="63"/>
        <v>1.3090000000000011</v>
      </c>
      <c r="N65" s="21" t="str">
        <f t="shared" si="64"/>
        <v>-</v>
      </c>
      <c r="O65" s="1">
        <f t="shared" si="0"/>
        <v>-0.87239758226998143</v>
      </c>
      <c r="P65" s="1" t="str">
        <f t="shared" si="1"/>
        <v/>
      </c>
      <c r="Q65" s="11"/>
      <c r="R65" s="11">
        <f>VLOOKUP(D65,prices!$A$2:$B$19,2)</f>
        <v>23.12</v>
      </c>
      <c r="S65" s="1">
        <f t="shared" si="53"/>
        <v>-164.97300000000038</v>
      </c>
      <c r="T65" s="1">
        <f t="shared" si="65"/>
        <v>-1.299000000000003</v>
      </c>
      <c r="U65" s="1">
        <f t="shared" si="3"/>
        <v>2724.0230000000001</v>
      </c>
      <c r="V65" s="25">
        <f t="shared" si="66"/>
        <v>-6.0562263975010626E-2</v>
      </c>
      <c r="W65" s="1">
        <f t="shared" si="12"/>
        <v>2559.0499999999997</v>
      </c>
      <c r="X65" s="6">
        <f t="shared" si="13"/>
        <v>0</v>
      </c>
      <c r="Y65"/>
      <c r="Z65" s="21">
        <v>0</v>
      </c>
    </row>
    <row r="66" spans="1:26" ht="15" hidden="1" customHeight="1">
      <c r="A66" t="s">
        <v>6</v>
      </c>
      <c r="B66" t="s">
        <v>26</v>
      </c>
      <c r="C66" s="10">
        <v>130</v>
      </c>
      <c r="D66" t="s">
        <v>78</v>
      </c>
      <c r="E66" s="2">
        <v>43</v>
      </c>
      <c r="F66" s="1"/>
      <c r="G66" s="1">
        <v>21.449000000000002</v>
      </c>
      <c r="H66" s="11">
        <v>20.149999999999999</v>
      </c>
      <c r="I66" s="20">
        <v>19.96</v>
      </c>
      <c r="J66" s="20">
        <f t="shared" si="70"/>
        <v>1.4890000000000008</v>
      </c>
      <c r="K66" s="2">
        <f t="shared" si="62"/>
        <v>64.027000000000029</v>
      </c>
      <c r="L66" s="11">
        <v>20.14</v>
      </c>
      <c r="M66" s="20">
        <f t="shared" si="63"/>
        <v>1.3090000000000011</v>
      </c>
      <c r="N66" s="21" t="str">
        <f t="shared" si="64"/>
        <v>-</v>
      </c>
      <c r="O66" s="1">
        <f t="shared" si="0"/>
        <v>-0.87239758226998143</v>
      </c>
      <c r="P66" s="1" t="str">
        <f t="shared" si="1"/>
        <v/>
      </c>
      <c r="Q66" s="11"/>
      <c r="R66" s="11">
        <f>VLOOKUP(D66,prices!$A$2:$B$19,2)</f>
        <v>23.12</v>
      </c>
      <c r="S66" s="1">
        <f t="shared" si="53"/>
        <v>-55.857000000000127</v>
      </c>
      <c r="T66" s="1">
        <f t="shared" si="65"/>
        <v>-1.299000000000003</v>
      </c>
      <c r="U66" s="1">
        <f t="shared" si="3"/>
        <v>922.30700000000002</v>
      </c>
      <c r="V66" s="25">
        <f t="shared" si="66"/>
        <v>-6.0562263975010626E-2</v>
      </c>
      <c r="W66" s="1">
        <f t="shared" si="12"/>
        <v>866.44999999999993</v>
      </c>
      <c r="X66" s="6">
        <f t="shared" si="13"/>
        <v>0</v>
      </c>
      <c r="Y66"/>
      <c r="Z66" s="21">
        <v>0</v>
      </c>
    </row>
    <row r="67" spans="1:26" ht="15" hidden="1" customHeight="1">
      <c r="A67" t="s">
        <v>23</v>
      </c>
      <c r="B67" t="s">
        <v>26</v>
      </c>
      <c r="C67" s="16">
        <v>164</v>
      </c>
      <c r="D67" t="s">
        <v>78</v>
      </c>
      <c r="E67" s="2">
        <v>198</v>
      </c>
      <c r="F67" s="1"/>
      <c r="G67" s="1">
        <v>18.600000000000001</v>
      </c>
      <c r="H67" s="11">
        <v>23.03</v>
      </c>
      <c r="I67" s="20">
        <v>16.510000000000002</v>
      </c>
      <c r="J67" s="20">
        <f t="shared" si="70"/>
        <v>2.09</v>
      </c>
      <c r="K67" s="2">
        <f t="shared" si="62"/>
        <v>413.82</v>
      </c>
      <c r="L67" s="11">
        <v>23.05</v>
      </c>
      <c r="M67" s="20">
        <f t="shared" si="63"/>
        <v>0</v>
      </c>
      <c r="N67" s="21" t="str">
        <f t="shared" si="64"/>
        <v>-</v>
      </c>
      <c r="O67" s="1">
        <f t="shared" si="0"/>
        <v>2.1196172248803826</v>
      </c>
      <c r="P67" s="1" t="str">
        <f t="shared" si="1"/>
        <v/>
      </c>
      <c r="Q67" s="11">
        <f>VLOOKUP($D67,prices!$A$2:$C$19,3)</f>
        <v>23.07</v>
      </c>
      <c r="R67" s="11">
        <f>VLOOKUP(D67,prices!$A$2:$B$19,2)</f>
        <v>23.12</v>
      </c>
      <c r="S67" s="55">
        <f t="shared" si="53"/>
        <v>877.14</v>
      </c>
      <c r="T67" s="55">
        <f t="shared" si="65"/>
        <v>4.43</v>
      </c>
      <c r="U67" s="55">
        <f t="shared" si="3"/>
        <v>3682.8</v>
      </c>
      <c r="V67" s="42">
        <f t="shared" si="66"/>
        <v>0.23817204301075268</v>
      </c>
      <c r="W67" s="55">
        <f t="shared" si="12"/>
        <v>4559.9400000000005</v>
      </c>
      <c r="X67" s="48">
        <f t="shared" si="13"/>
        <v>0</v>
      </c>
      <c r="Y67" s="68">
        <v>1</v>
      </c>
      <c r="Z67" s="28" t="str">
        <f t="shared" ref="Z67:Z74" si="72">IF(B67="open",(R67-L67)*E67,"-")</f>
        <v>-</v>
      </c>
    </row>
    <row r="68" spans="1:26" ht="15" hidden="1" customHeight="1">
      <c r="A68" t="s">
        <v>23</v>
      </c>
      <c r="B68" t="s">
        <v>26</v>
      </c>
      <c r="C68" s="50">
        <v>170</v>
      </c>
      <c r="D68" t="s">
        <v>78</v>
      </c>
      <c r="E68" s="2">
        <v>203</v>
      </c>
      <c r="F68" s="1"/>
      <c r="G68" s="1">
        <v>20.6</v>
      </c>
      <c r="H68" s="11">
        <v>23.03</v>
      </c>
      <c r="I68" s="20">
        <v>18.489999999999998</v>
      </c>
      <c r="J68" s="20">
        <f t="shared" si="70"/>
        <v>2.110000000000003</v>
      </c>
      <c r="K68" s="2">
        <f t="shared" si="62"/>
        <v>428.33000000000061</v>
      </c>
      <c r="L68" s="11">
        <v>23.05</v>
      </c>
      <c r="M68" s="20">
        <f t="shared" si="63"/>
        <v>0</v>
      </c>
      <c r="N68" s="21" t="str">
        <f t="shared" si="64"/>
        <v>-</v>
      </c>
      <c r="O68" s="1">
        <f t="shared" si="0"/>
        <v>1.1516587677725101</v>
      </c>
      <c r="P68" s="1" t="str">
        <f t="shared" si="1"/>
        <v/>
      </c>
      <c r="Q68" s="11">
        <f>VLOOKUP($D68,prices!$A$2:$C$19,3)</f>
        <v>23.07</v>
      </c>
      <c r="R68" s="11">
        <f>VLOOKUP(D68,prices!$A$2:$B$19,2)</f>
        <v>23.12</v>
      </c>
      <c r="S68" s="55">
        <f t="shared" si="53"/>
        <v>493.28999999999996</v>
      </c>
      <c r="T68" s="55">
        <f t="shared" si="65"/>
        <v>2.4299999999999997</v>
      </c>
      <c r="U68" s="55">
        <f t="shared" si="3"/>
        <v>4181.8</v>
      </c>
      <c r="V68" s="42">
        <f t="shared" si="66"/>
        <v>0.11796116504854368</v>
      </c>
      <c r="W68" s="55">
        <f t="shared" si="12"/>
        <v>4675.09</v>
      </c>
      <c r="X68" s="48">
        <f t="shared" si="13"/>
        <v>0</v>
      </c>
      <c r="Y68" s="68">
        <v>1</v>
      </c>
      <c r="Z68" s="28" t="str">
        <f t="shared" si="72"/>
        <v>-</v>
      </c>
    </row>
    <row r="69" spans="1:26" ht="15" hidden="1" customHeight="1">
      <c r="A69" t="s">
        <v>23</v>
      </c>
      <c r="B69" t="s">
        <v>26</v>
      </c>
      <c r="C69" s="50">
        <v>174</v>
      </c>
      <c r="D69" t="s">
        <v>78</v>
      </c>
      <c r="E69" s="2">
        <v>170</v>
      </c>
      <c r="F69" s="1"/>
      <c r="G69" s="1">
        <v>20.88</v>
      </c>
      <c r="H69" s="11">
        <v>23.04</v>
      </c>
      <c r="I69" s="20">
        <v>19.48</v>
      </c>
      <c r="J69" s="20">
        <f t="shared" si="70"/>
        <v>1.3999999999999986</v>
      </c>
      <c r="K69" s="2">
        <f t="shared" si="62"/>
        <v>237.99999999999977</v>
      </c>
      <c r="L69" s="11">
        <v>23.05</v>
      </c>
      <c r="M69" s="20">
        <f t="shared" si="63"/>
        <v>0</v>
      </c>
      <c r="N69" s="21" t="str">
        <f t="shared" si="64"/>
        <v>-</v>
      </c>
      <c r="O69" s="1">
        <f t="shared" si="0"/>
        <v>1.5428571428571445</v>
      </c>
      <c r="P69" s="1" t="str">
        <f t="shared" si="1"/>
        <v/>
      </c>
      <c r="Q69" s="11">
        <f>VLOOKUP($D69,prices!$A$2:$C$19,3)</f>
        <v>23.07</v>
      </c>
      <c r="R69" s="11">
        <f>VLOOKUP(D69,prices!$A$2:$B$19,2)</f>
        <v>23.12</v>
      </c>
      <c r="S69" s="55">
        <f t="shared" si="53"/>
        <v>367.20000000000005</v>
      </c>
      <c r="T69" s="55">
        <f t="shared" si="65"/>
        <v>2.16</v>
      </c>
      <c r="U69" s="55">
        <f t="shared" si="3"/>
        <v>3549.6</v>
      </c>
      <c r="V69" s="42">
        <f t="shared" si="66"/>
        <v>0.10344827586206898</v>
      </c>
      <c r="W69" s="55">
        <f t="shared" si="12"/>
        <v>3916.7999999999997</v>
      </c>
      <c r="X69" s="48">
        <f t="shared" si="13"/>
        <v>0</v>
      </c>
      <c r="Y69" s="68">
        <v>1</v>
      </c>
      <c r="Z69" s="28" t="str">
        <f t="shared" si="72"/>
        <v>-</v>
      </c>
    </row>
    <row r="70" spans="1:26" ht="15" hidden="1" customHeight="1">
      <c r="A70" t="s">
        <v>6</v>
      </c>
      <c r="B70" t="s">
        <v>26</v>
      </c>
      <c r="C70" s="51">
        <v>165</v>
      </c>
      <c r="D70" t="s">
        <v>78</v>
      </c>
      <c r="E70" s="2">
        <v>63</v>
      </c>
      <c r="F70" s="1"/>
      <c r="G70" s="1">
        <v>18.600000000000001</v>
      </c>
      <c r="H70" s="11">
        <v>23.03</v>
      </c>
      <c r="I70" s="20">
        <v>16.510000000000002</v>
      </c>
      <c r="J70" s="20">
        <f t="shared" si="70"/>
        <v>2.09</v>
      </c>
      <c r="K70" s="2">
        <f t="shared" si="62"/>
        <v>131.66999999999999</v>
      </c>
      <c r="L70" s="11">
        <v>23.05</v>
      </c>
      <c r="M70" s="20">
        <f t="shared" si="63"/>
        <v>0</v>
      </c>
      <c r="N70" s="21" t="str">
        <f t="shared" si="64"/>
        <v>-</v>
      </c>
      <c r="O70" s="1">
        <f t="shared" si="0"/>
        <v>2.1196172248803826</v>
      </c>
      <c r="P70" s="1" t="str">
        <f t="shared" si="1"/>
        <v/>
      </c>
      <c r="Q70" s="11">
        <f>VLOOKUP($D70,prices!$A$2:$C$19,3)</f>
        <v>23.07</v>
      </c>
      <c r="R70" s="11">
        <f>VLOOKUP(D70,prices!$A$2:$B$19,2)</f>
        <v>23.12</v>
      </c>
      <c r="S70" s="55">
        <f t="shared" si="53"/>
        <v>279.08999999999997</v>
      </c>
      <c r="T70" s="55">
        <f t="shared" si="65"/>
        <v>4.43</v>
      </c>
      <c r="U70" s="55">
        <f t="shared" si="3"/>
        <v>1171.8000000000002</v>
      </c>
      <c r="V70" s="42">
        <f t="shared" si="66"/>
        <v>0.23817204301075262</v>
      </c>
      <c r="W70" s="55">
        <f t="shared" si="12"/>
        <v>1450.89</v>
      </c>
      <c r="X70" s="48">
        <f t="shared" si="13"/>
        <v>0</v>
      </c>
      <c r="Y70" s="68">
        <v>1</v>
      </c>
      <c r="Z70" s="28" t="str">
        <f t="shared" si="72"/>
        <v>-</v>
      </c>
    </row>
    <row r="71" spans="1:26" ht="15" hidden="1" customHeight="1">
      <c r="A71" t="s">
        <v>6</v>
      </c>
      <c r="B71" t="s">
        <v>26</v>
      </c>
      <c r="C71" s="50">
        <v>171</v>
      </c>
      <c r="D71" t="s">
        <v>78</v>
      </c>
      <c r="E71" s="2">
        <v>64</v>
      </c>
      <c r="F71" s="1"/>
      <c r="G71" s="1">
        <v>20.6</v>
      </c>
      <c r="H71" s="11">
        <v>23.03</v>
      </c>
      <c r="I71" s="20">
        <v>18.489999999999998</v>
      </c>
      <c r="J71" s="20">
        <f t="shared" si="70"/>
        <v>2.110000000000003</v>
      </c>
      <c r="K71" s="2">
        <f t="shared" si="62"/>
        <v>135.04000000000019</v>
      </c>
      <c r="L71" s="11">
        <v>23.05</v>
      </c>
      <c r="M71" s="20">
        <f t="shared" si="63"/>
        <v>0</v>
      </c>
      <c r="N71" s="21" t="str">
        <f t="shared" si="64"/>
        <v>-</v>
      </c>
      <c r="O71" s="1">
        <f t="shared" si="0"/>
        <v>1.1516587677725101</v>
      </c>
      <c r="P71" s="1" t="str">
        <f t="shared" si="1"/>
        <v/>
      </c>
      <c r="Q71" s="11">
        <f>VLOOKUP($D71,prices!$A$2:$C$19,3)</f>
        <v>23.07</v>
      </c>
      <c r="R71" s="11">
        <f>VLOOKUP(D71,prices!$A$2:$B$19,2)</f>
        <v>23.12</v>
      </c>
      <c r="S71" s="55">
        <f t="shared" si="53"/>
        <v>155.51999999999998</v>
      </c>
      <c r="T71" s="55">
        <f t="shared" si="65"/>
        <v>2.4299999999999997</v>
      </c>
      <c r="U71" s="55">
        <f t="shared" si="3"/>
        <v>1318.4</v>
      </c>
      <c r="V71" s="42">
        <f t="shared" si="66"/>
        <v>0.11796116504854366</v>
      </c>
      <c r="W71" s="55">
        <f t="shared" si="12"/>
        <v>1473.92</v>
      </c>
      <c r="X71" s="48">
        <f t="shared" si="13"/>
        <v>0</v>
      </c>
      <c r="Y71" s="68">
        <v>1</v>
      </c>
      <c r="Z71" s="28" t="str">
        <f t="shared" si="72"/>
        <v>-</v>
      </c>
    </row>
    <row r="72" spans="1:26" ht="15" hidden="1" customHeight="1">
      <c r="A72" t="s">
        <v>6</v>
      </c>
      <c r="B72" t="s">
        <v>26</v>
      </c>
      <c r="C72" s="16">
        <v>175</v>
      </c>
      <c r="D72" t="s">
        <v>78</v>
      </c>
      <c r="E72" s="2">
        <v>53</v>
      </c>
      <c r="F72" s="1"/>
      <c r="G72" s="1">
        <v>20.88</v>
      </c>
      <c r="H72" s="11">
        <v>23.04</v>
      </c>
      <c r="I72" s="20">
        <v>19.48</v>
      </c>
      <c r="J72" s="20">
        <f t="shared" si="70"/>
        <v>1.3999999999999986</v>
      </c>
      <c r="K72" s="2">
        <f t="shared" si="62"/>
        <v>74.199999999999932</v>
      </c>
      <c r="L72" s="11">
        <v>23.05</v>
      </c>
      <c r="M72" s="20">
        <f t="shared" si="63"/>
        <v>0</v>
      </c>
      <c r="N72" s="21" t="str">
        <f t="shared" si="64"/>
        <v>-</v>
      </c>
      <c r="O72" s="1">
        <f t="shared" si="0"/>
        <v>1.5428571428571445</v>
      </c>
      <c r="P72" s="1" t="str">
        <f t="shared" si="1"/>
        <v/>
      </c>
      <c r="Q72" s="11">
        <f>VLOOKUP($D72,prices!$A$2:$C$19,3)</f>
        <v>23.07</v>
      </c>
      <c r="R72" s="11">
        <f>VLOOKUP(D72,prices!$A$2:$B$19,2)</f>
        <v>23.12</v>
      </c>
      <c r="S72" s="55">
        <f t="shared" si="53"/>
        <v>114.48</v>
      </c>
      <c r="T72" s="55">
        <f t="shared" si="65"/>
        <v>2.16</v>
      </c>
      <c r="U72" s="55">
        <f t="shared" si="3"/>
        <v>1106.6399999999999</v>
      </c>
      <c r="V72" s="42">
        <f t="shared" si="66"/>
        <v>0.10344827586206898</v>
      </c>
      <c r="W72" s="55">
        <f t="shared" si="12"/>
        <v>1221.1199999999999</v>
      </c>
      <c r="X72" s="48">
        <f t="shared" si="13"/>
        <v>0</v>
      </c>
      <c r="Y72" s="68">
        <v>1</v>
      </c>
      <c r="Z72" s="28" t="str">
        <f t="shared" si="72"/>
        <v>-</v>
      </c>
    </row>
    <row r="73" spans="1:26" ht="15" hidden="1" customHeight="1">
      <c r="A73" t="s">
        <v>23</v>
      </c>
      <c r="B73" t="s">
        <v>26</v>
      </c>
      <c r="C73" s="51">
        <v>187</v>
      </c>
      <c r="D73" t="s">
        <v>78</v>
      </c>
      <c r="E73" s="2">
        <v>175</v>
      </c>
      <c r="F73" s="1"/>
      <c r="G73" s="1">
        <v>23.8</v>
      </c>
      <c r="H73" s="11">
        <v>23.04</v>
      </c>
      <c r="I73" s="20">
        <v>21.46</v>
      </c>
      <c r="J73" s="20">
        <f t="shared" si="70"/>
        <v>2.34</v>
      </c>
      <c r="K73" s="2">
        <f t="shared" si="62"/>
        <v>409.5</v>
      </c>
      <c r="L73" s="11">
        <v>23.05</v>
      </c>
      <c r="M73" s="20">
        <f t="shared" si="63"/>
        <v>0.75</v>
      </c>
      <c r="N73" s="21" t="str">
        <f t="shared" si="64"/>
        <v>-</v>
      </c>
      <c r="O73" s="1">
        <f t="shared" si="0"/>
        <v>-0.32478632478632546</v>
      </c>
      <c r="P73" s="1" t="str">
        <f t="shared" si="1"/>
        <v/>
      </c>
      <c r="Q73" s="11">
        <f>VLOOKUP($D73,prices!$A$2:$C$19,3)</f>
        <v>23.07</v>
      </c>
      <c r="R73" s="11">
        <f>VLOOKUP(D73,prices!$A$2:$B$19,2)</f>
        <v>23.12</v>
      </c>
      <c r="S73" s="55">
        <f t="shared" si="53"/>
        <v>-133.00000000000028</v>
      </c>
      <c r="T73" s="55">
        <f t="shared" si="65"/>
        <v>-0.76000000000000156</v>
      </c>
      <c r="U73" s="55">
        <f t="shared" si="3"/>
        <v>4165</v>
      </c>
      <c r="V73" s="42">
        <f t="shared" si="66"/>
        <v>-3.1932773109243764E-2</v>
      </c>
      <c r="W73" s="55">
        <f t="shared" si="12"/>
        <v>4032</v>
      </c>
      <c r="X73" s="48">
        <f t="shared" si="13"/>
        <v>0</v>
      </c>
      <c r="Y73" s="68">
        <v>1</v>
      </c>
      <c r="Z73" s="28" t="str">
        <f t="shared" si="72"/>
        <v>-</v>
      </c>
    </row>
    <row r="74" spans="1:26" ht="15" hidden="1" customHeight="1">
      <c r="A74" t="s">
        <v>6</v>
      </c>
      <c r="B74" t="s">
        <v>26</v>
      </c>
      <c r="C74" s="16">
        <v>186</v>
      </c>
      <c r="D74" t="s">
        <v>78</v>
      </c>
      <c r="E74" s="2">
        <v>49</v>
      </c>
      <c r="F74" s="1"/>
      <c r="G74" s="1">
        <v>23.8</v>
      </c>
      <c r="H74" s="11">
        <v>23.04</v>
      </c>
      <c r="I74" s="20">
        <v>21.46</v>
      </c>
      <c r="J74" s="20">
        <f t="shared" si="70"/>
        <v>2.34</v>
      </c>
      <c r="K74" s="2">
        <f t="shared" si="62"/>
        <v>114.66</v>
      </c>
      <c r="L74" s="11">
        <v>23.05</v>
      </c>
      <c r="M74" s="20">
        <f t="shared" si="63"/>
        <v>0.75</v>
      </c>
      <c r="N74" s="21" t="str">
        <f t="shared" si="64"/>
        <v>-</v>
      </c>
      <c r="O74" s="1">
        <f t="shared" si="0"/>
        <v>-0.32478632478632546</v>
      </c>
      <c r="P74" s="1" t="str">
        <f t="shared" si="1"/>
        <v/>
      </c>
      <c r="Q74" s="11">
        <f>VLOOKUP($D74,prices!$A$2:$C$19,3)</f>
        <v>23.07</v>
      </c>
      <c r="R74" s="11">
        <f>VLOOKUP(D74,prices!$A$2:$B$19,2)</f>
        <v>23.12</v>
      </c>
      <c r="S74" s="55">
        <f t="shared" si="53"/>
        <v>-37.24000000000008</v>
      </c>
      <c r="T74" s="55">
        <f t="shared" si="65"/>
        <v>-0.76000000000000156</v>
      </c>
      <c r="U74" s="55">
        <f t="shared" si="3"/>
        <v>1166.2</v>
      </c>
      <c r="V74" s="42">
        <f t="shared" si="66"/>
        <v>-3.1932773109243764E-2</v>
      </c>
      <c r="W74" s="55">
        <f t="shared" si="12"/>
        <v>1128.96</v>
      </c>
      <c r="X74" s="48">
        <f t="shared" si="13"/>
        <v>0</v>
      </c>
      <c r="Y74" s="68">
        <v>1</v>
      </c>
      <c r="Z74" s="28" t="str">
        <f t="shared" si="72"/>
        <v>-</v>
      </c>
    </row>
    <row r="75" spans="1:26" ht="15" hidden="1" customHeight="1">
      <c r="A75" t="s">
        <v>23</v>
      </c>
      <c r="B75" t="s">
        <v>26</v>
      </c>
      <c r="C75" s="16">
        <v>149</v>
      </c>
      <c r="D75" t="s">
        <v>78</v>
      </c>
      <c r="E75" s="2">
        <v>187</v>
      </c>
      <c r="F75" s="1"/>
      <c r="G75" s="1">
        <v>19.829999999999998</v>
      </c>
      <c r="H75" s="11">
        <v>19.931000000000001</v>
      </c>
      <c r="I75" s="20">
        <v>39.15</v>
      </c>
      <c r="J75" s="20">
        <f t="shared" si="70"/>
        <v>-19.32</v>
      </c>
      <c r="K75" s="2">
        <f t="shared" si="62"/>
        <v>-3612.84</v>
      </c>
      <c r="L75" s="11">
        <v>39.15</v>
      </c>
      <c r="M75" s="20">
        <f t="shared" si="63"/>
        <v>0</v>
      </c>
      <c r="N75" s="21" t="str">
        <f t="shared" si="64"/>
        <v>-</v>
      </c>
      <c r="O75" s="1">
        <f t="shared" si="0"/>
        <v>-5.2277432712216692E-3</v>
      </c>
      <c r="P75" s="1" t="str">
        <f t="shared" si="1"/>
        <v/>
      </c>
      <c r="Q75" s="11">
        <f>VLOOKUP($D75,prices!$A$2:$C$19,3)</f>
        <v>23.07</v>
      </c>
      <c r="R75" s="11">
        <f>VLOOKUP(D75,prices!$A$2:$B$19,2)</f>
        <v>23.12</v>
      </c>
      <c r="S75" s="55">
        <f t="shared" si="53"/>
        <v>18.887000000000494</v>
      </c>
      <c r="T75" s="55">
        <f t="shared" si="65"/>
        <v>0.10100000000000264</v>
      </c>
      <c r="U75" s="55">
        <f t="shared" si="3"/>
        <v>3708.2099999999996</v>
      </c>
      <c r="V75" s="42">
        <f t="shared" si="66"/>
        <v>5.0932929904186916E-3</v>
      </c>
      <c r="W75" s="55">
        <f t="shared" si="12"/>
        <v>3727.0970000000002</v>
      </c>
      <c r="X75" s="48">
        <f t="shared" si="13"/>
        <v>0</v>
      </c>
      <c r="Y75" s="68">
        <v>1</v>
      </c>
    </row>
    <row r="76" spans="1:26" ht="15" hidden="1" customHeight="1">
      <c r="A76" t="s">
        <v>6</v>
      </c>
      <c r="B76" t="s">
        <v>26</v>
      </c>
      <c r="C76" s="34">
        <v>150</v>
      </c>
      <c r="D76" t="s">
        <v>78</v>
      </c>
      <c r="E76" s="2">
        <v>53</v>
      </c>
      <c r="F76" s="1"/>
      <c r="G76" s="1">
        <v>19.82</v>
      </c>
      <c r="H76" s="11">
        <v>19.960999999999999</v>
      </c>
      <c r="I76" s="20">
        <v>39.15</v>
      </c>
      <c r="J76" s="20">
        <f t="shared" si="70"/>
        <v>-19.329999999999998</v>
      </c>
      <c r="K76" s="2">
        <f t="shared" si="62"/>
        <v>-1024.49</v>
      </c>
      <c r="L76" s="11">
        <v>39.15</v>
      </c>
      <c r="M76" s="20">
        <f t="shared" si="63"/>
        <v>0</v>
      </c>
      <c r="N76" s="21" t="str">
        <f t="shared" si="64"/>
        <v>-</v>
      </c>
      <c r="O76" s="1">
        <f t="shared" si="0"/>
        <v>-7.2943610967407266E-3</v>
      </c>
      <c r="P76" s="1" t="str">
        <f t="shared" si="1"/>
        <v/>
      </c>
      <c r="Q76" s="11">
        <f>VLOOKUP($D76,prices!$A$2:$C$19,3)</f>
        <v>23.07</v>
      </c>
      <c r="R76" s="11">
        <f>VLOOKUP(D76,prices!$A$2:$B$19,2)</f>
        <v>23.12</v>
      </c>
      <c r="S76" s="55">
        <f t="shared" si="53"/>
        <v>7.4729999999999066</v>
      </c>
      <c r="T76" s="55">
        <f t="shared" si="65"/>
        <v>0.14099999999999824</v>
      </c>
      <c r="U76" s="55">
        <f t="shared" si="3"/>
        <v>1050.46</v>
      </c>
      <c r="V76" s="42">
        <f t="shared" si="66"/>
        <v>7.1140262361250369E-3</v>
      </c>
      <c r="W76" s="55">
        <f t="shared" si="12"/>
        <v>1057.933</v>
      </c>
      <c r="X76" s="48">
        <f t="shared" si="13"/>
        <v>0</v>
      </c>
      <c r="Y76" s="68">
        <v>1</v>
      </c>
    </row>
    <row r="77" spans="1:26" ht="15" hidden="1" customHeight="1">
      <c r="A77" t="s">
        <v>23</v>
      </c>
      <c r="B77" t="s">
        <v>26</v>
      </c>
      <c r="C77" s="34">
        <v>166</v>
      </c>
      <c r="D77" t="s">
        <v>96</v>
      </c>
      <c r="E77" s="2">
        <v>94</v>
      </c>
      <c r="F77" s="1"/>
      <c r="G77" s="1">
        <v>42.06</v>
      </c>
      <c r="H77" s="11">
        <v>40.911000000000001</v>
      </c>
      <c r="I77" s="20">
        <v>38.76</v>
      </c>
      <c r="J77" s="20">
        <f t="shared" si="70"/>
        <v>3.3000000000000043</v>
      </c>
      <c r="K77" s="2">
        <f t="shared" si="62"/>
        <v>310.20000000000039</v>
      </c>
      <c r="L77" s="11">
        <v>38.76</v>
      </c>
      <c r="M77" s="20">
        <f t="shared" si="63"/>
        <v>3.3000000000000043</v>
      </c>
      <c r="N77" s="21" t="str">
        <f t="shared" si="64"/>
        <v>-</v>
      </c>
      <c r="O77" s="1">
        <f t="shared" ref="O77:O142" si="73">IF(ISNUMBER(H77),(H77-G77)/J77,"")</f>
        <v>-0.34818181818181798</v>
      </c>
      <c r="P77" s="1" t="str">
        <f t="shared" ref="P77:P142" si="74">IF(B77="open",IF(ISNUMBER(R77),(R77-$G77)/$J77,""),"")</f>
        <v/>
      </c>
      <c r="Q77" s="11">
        <f>VLOOKUP($D77,prices!$A$2:$C$19,3)</f>
        <v>23.07</v>
      </c>
      <c r="R77" s="11">
        <f>VLOOKUP(D77,prices!$A$2:$B$19,2)</f>
        <v>23.12</v>
      </c>
      <c r="S77" s="55">
        <f t="shared" si="53"/>
        <v>-108.00600000000009</v>
      </c>
      <c r="T77" s="55">
        <f t="shared" si="65"/>
        <v>-1.1490000000000009</v>
      </c>
      <c r="U77" s="55">
        <f t="shared" ref="U77:U142" si="75">E77*G77</f>
        <v>3953.6400000000003</v>
      </c>
      <c r="V77" s="42">
        <f t="shared" si="66"/>
        <v>-2.731811697574895E-2</v>
      </c>
      <c r="W77" s="55">
        <f t="shared" si="12"/>
        <v>3845.634</v>
      </c>
      <c r="X77" s="48">
        <f t="shared" si="13"/>
        <v>0</v>
      </c>
      <c r="Y77" s="68">
        <v>1</v>
      </c>
      <c r="Z77" s="47"/>
    </row>
    <row r="78" spans="1:26" ht="15" hidden="1" customHeight="1">
      <c r="A78" t="s">
        <v>6</v>
      </c>
      <c r="B78" t="s">
        <v>26</v>
      </c>
      <c r="C78" s="35">
        <v>167</v>
      </c>
      <c r="D78" t="s">
        <v>96</v>
      </c>
      <c r="E78" s="2">
        <v>27</v>
      </c>
      <c r="F78" s="1"/>
      <c r="G78" s="1">
        <v>42.06</v>
      </c>
      <c r="H78" s="11">
        <v>40.911000000000001</v>
      </c>
      <c r="I78" s="20">
        <v>38.76</v>
      </c>
      <c r="J78" s="20">
        <f t="shared" si="70"/>
        <v>3.3000000000000043</v>
      </c>
      <c r="K78" s="2">
        <f t="shared" si="62"/>
        <v>89.100000000000108</v>
      </c>
      <c r="L78" s="11">
        <v>38.76</v>
      </c>
      <c r="M78" s="20">
        <f t="shared" si="63"/>
        <v>3.3000000000000043</v>
      </c>
      <c r="N78" s="21" t="str">
        <f t="shared" si="64"/>
        <v>-</v>
      </c>
      <c r="O78" s="1">
        <f t="shared" si="73"/>
        <v>-0.34818181818181798</v>
      </c>
      <c r="P78" s="1" t="str">
        <f t="shared" si="74"/>
        <v/>
      </c>
      <c r="Q78" s="11">
        <f>VLOOKUP($D78,prices!$A$2:$C$19,3)</f>
        <v>23.07</v>
      </c>
      <c r="R78" s="11">
        <f>VLOOKUP(D78,prices!$A$2:$B$19,2)</f>
        <v>23.12</v>
      </c>
      <c r="S78" s="55">
        <f t="shared" si="53"/>
        <v>-31.023000000000025</v>
      </c>
      <c r="T78" s="55">
        <f t="shared" si="65"/>
        <v>-1.1490000000000009</v>
      </c>
      <c r="U78" s="55">
        <f t="shared" si="75"/>
        <v>1135.6200000000001</v>
      </c>
      <c r="V78" s="42">
        <f t="shared" si="66"/>
        <v>-2.731811697574895E-2</v>
      </c>
      <c r="W78" s="55">
        <f t="shared" si="12"/>
        <v>1104.597</v>
      </c>
      <c r="X78" s="48">
        <f t="shared" si="13"/>
        <v>0</v>
      </c>
      <c r="Y78" s="68">
        <v>1</v>
      </c>
      <c r="Z78" s="47"/>
    </row>
    <row r="79" spans="1:26" ht="15" hidden="1" customHeight="1">
      <c r="A79" t="s">
        <v>23</v>
      </c>
      <c r="B79" t="s">
        <v>51</v>
      </c>
      <c r="C79" s="35">
        <v>97</v>
      </c>
      <c r="D79" t="s">
        <v>35</v>
      </c>
      <c r="E79" s="2">
        <v>341</v>
      </c>
      <c r="F79" s="1">
        <v>10.38</v>
      </c>
      <c r="G79" s="1">
        <v>10.497066999999999</v>
      </c>
      <c r="H79" s="11" t="s">
        <v>29</v>
      </c>
      <c r="I79" s="20">
        <v>9.25</v>
      </c>
      <c r="J79" s="20">
        <f t="shared" si="70"/>
        <v>1.2470669999999995</v>
      </c>
      <c r="K79" s="2">
        <f t="shared" si="62"/>
        <v>425.24984699999982</v>
      </c>
      <c r="L79" s="11">
        <v>9.6199999999999992</v>
      </c>
      <c r="M79" s="20">
        <f t="shared" si="63"/>
        <v>0.87706700000000026</v>
      </c>
      <c r="N79" s="21" t="str">
        <f t="shared" si="64"/>
        <v>-</v>
      </c>
      <c r="O79" s="1" t="str">
        <f t="shared" si="73"/>
        <v/>
      </c>
      <c r="P79" s="1" t="str">
        <f t="shared" si="74"/>
        <v/>
      </c>
      <c r="Q79" s="11"/>
      <c r="R79" s="11">
        <f>VLOOKUP(D79,prices!$A$2:$B$19,2)</f>
        <v>9.84</v>
      </c>
      <c r="S79" s="1">
        <f t="shared" si="53"/>
        <v>-234.43984699999987</v>
      </c>
      <c r="T79" s="1">
        <f t="shared" si="65"/>
        <v>-0.65706699999999962</v>
      </c>
      <c r="U79" s="1">
        <f t="shared" si="75"/>
        <v>3579.499847</v>
      </c>
      <c r="V79" s="25">
        <f t="shared" si="66"/>
        <v>-6.5495140947270963E-2</v>
      </c>
      <c r="W79" s="1">
        <f t="shared" si="12"/>
        <v>3355.44</v>
      </c>
      <c r="X79" s="6">
        <f t="shared" si="13"/>
        <v>0</v>
      </c>
      <c r="Y79"/>
      <c r="Z79" s="28"/>
    </row>
    <row r="80" spans="1:26" ht="15" hidden="1" customHeight="1">
      <c r="A80" t="s">
        <v>23</v>
      </c>
      <c r="B80" t="s">
        <v>26</v>
      </c>
      <c r="C80" s="16">
        <v>8</v>
      </c>
      <c r="D80" t="s">
        <v>31</v>
      </c>
      <c r="E80" s="2">
        <v>32</v>
      </c>
      <c r="F80" s="1"/>
      <c r="G80" s="1">
        <v>75.88</v>
      </c>
      <c r="H80" s="11">
        <v>80.53</v>
      </c>
      <c r="I80" s="1">
        <v>68.38</v>
      </c>
      <c r="J80" s="1">
        <f>IF(AND(ISNUMBER(G80),ISNUMBER(I80)),G80-I80,"")</f>
        <v>7.5</v>
      </c>
      <c r="K80" s="2">
        <f t="shared" si="62"/>
        <v>240</v>
      </c>
      <c r="L80" s="11">
        <v>80.650000000000006</v>
      </c>
      <c r="M80" s="1">
        <f>IF(AND(ISNUMBER(G80),ISNUMBER(L80)),MAX(0,G80-L80),"")</f>
        <v>0</v>
      </c>
      <c r="N80" s="2" t="str">
        <f>IF(B80="open",M80*E80,"")</f>
        <v/>
      </c>
      <c r="O80" s="1">
        <f t="shared" si="73"/>
        <v>0.62000000000000077</v>
      </c>
      <c r="P80" s="1" t="str">
        <f t="shared" si="74"/>
        <v/>
      </c>
      <c r="Q80" s="11">
        <v>80.900000000000006</v>
      </c>
      <c r="R80" s="11">
        <v>83.52</v>
      </c>
      <c r="S80" s="1">
        <f>IF(ISNUMBER($E80),IF($B80="closed",($H80-$G80)*$E80,($R80-$G80)*$E80)-$F80,"")</f>
        <v>148.80000000000018</v>
      </c>
      <c r="T80" s="1">
        <f t="shared" si="65"/>
        <v>4.6500000000000057</v>
      </c>
      <c r="U80" s="1">
        <f t="shared" si="75"/>
        <v>2428.16</v>
      </c>
      <c r="V80" s="1"/>
      <c r="W80" s="1">
        <f t="shared" si="12"/>
        <v>2576.96</v>
      </c>
      <c r="X80" s="6">
        <f t="shared" si="13"/>
        <v>0</v>
      </c>
      <c r="Y80"/>
      <c r="Z80" s="21">
        <v>292.93200000000013</v>
      </c>
    </row>
    <row r="81" spans="1:26" ht="15" hidden="1" customHeight="1">
      <c r="A81" t="s">
        <v>6</v>
      </c>
      <c r="B81" t="s">
        <v>26</v>
      </c>
      <c r="C81" s="16">
        <v>-1</v>
      </c>
      <c r="D81" t="s">
        <v>7</v>
      </c>
      <c r="E81" s="2">
        <v>60</v>
      </c>
      <c r="F81" s="1">
        <v>1.07</v>
      </c>
      <c r="G81" s="1">
        <v>55.96</v>
      </c>
      <c r="H81" s="11">
        <v>55.75</v>
      </c>
      <c r="I81" s="1">
        <v>53.48</v>
      </c>
      <c r="J81" s="1">
        <f>IF(AND(ISNUMBER(G81),ISNUMBER(I81)),G81-I81,"")</f>
        <v>2.480000000000004</v>
      </c>
      <c r="K81" s="2" t="str">
        <f>IF((B81="open"),E81*J81,"-")</f>
        <v>-</v>
      </c>
      <c r="L81" s="11">
        <f>U81</f>
        <v>3357.6</v>
      </c>
      <c r="M81" s="1">
        <f>IF(AND(ISNUMBER(G81),ISNUMBER(L81)),MAX(0,G81-L81),"")</f>
        <v>0</v>
      </c>
      <c r="N81" s="2" t="str">
        <f>IF(B81="open",M81*E81,"")</f>
        <v/>
      </c>
      <c r="O81" s="1">
        <f t="shared" si="73"/>
        <v>-8.4677419354838912E-2</v>
      </c>
      <c r="P81" s="1" t="str">
        <f t="shared" si="74"/>
        <v/>
      </c>
      <c r="Q81" s="11"/>
      <c r="R81" s="11">
        <v>55.75</v>
      </c>
      <c r="S81" s="1">
        <f>IF(ISNUMBER(E81),IF(B81="closed",(H81-G81)*E81,(R81-G81)*E81),"")</f>
        <v>-12.600000000000051</v>
      </c>
      <c r="T81" s="19">
        <v>160.63999999999999</v>
      </c>
      <c r="U81" s="1">
        <f t="shared" si="75"/>
        <v>3357.6</v>
      </c>
      <c r="V81">
        <v>53.48</v>
      </c>
      <c r="W81" s="1">
        <f t="shared" si="12"/>
        <v>3345</v>
      </c>
      <c r="X81" s="6">
        <f t="shared" si="13"/>
        <v>0</v>
      </c>
      <c r="Y81"/>
      <c r="Z81" s="21">
        <v>92.904000000000039</v>
      </c>
    </row>
    <row r="82" spans="1:26" ht="15" hidden="1" customHeight="1">
      <c r="A82" t="s">
        <v>23</v>
      </c>
      <c r="B82" t="s">
        <v>26</v>
      </c>
      <c r="C82" s="49">
        <v>35</v>
      </c>
      <c r="D82" t="s">
        <v>7</v>
      </c>
      <c r="E82" s="2">
        <v>47</v>
      </c>
      <c r="F82" s="1">
        <v>1.05</v>
      </c>
      <c r="G82" s="1">
        <v>45.03</v>
      </c>
      <c r="H82" s="11">
        <v>48.31</v>
      </c>
      <c r="I82" s="20">
        <v>39.549999999999997</v>
      </c>
      <c r="J82" s="20">
        <f t="shared" ref="J82:J97" si="76">IF(AND(ISNUMBER(G82),ISNUMBER(I82)),G82-I82,"-")</f>
        <v>5.480000000000004</v>
      </c>
      <c r="K82" s="2">
        <f t="shared" ref="K82:K97" si="77">IFERROR(E82*J82,"-")</f>
        <v>257.56000000000017</v>
      </c>
      <c r="L82" s="11">
        <v>39.79</v>
      </c>
      <c r="M82" s="20">
        <f t="shared" ref="M82:M97" si="78">IF(AND(ISNUMBER(G82),ISNUMBER(L82)),MAX(0,G82-L82),"-")</f>
        <v>5.240000000000002</v>
      </c>
      <c r="N82" s="21" t="str">
        <f t="shared" ref="N82:N97" si="79">IF(B82="open",M82*E82,"-")</f>
        <v>-</v>
      </c>
      <c r="O82" s="1">
        <f t="shared" si="73"/>
        <v>0.59854014598540128</v>
      </c>
      <c r="P82" s="1" t="str">
        <f t="shared" si="74"/>
        <v/>
      </c>
      <c r="Q82" s="11"/>
      <c r="R82" s="11">
        <v>49.22</v>
      </c>
      <c r="S82" s="1">
        <f t="shared" ref="S82:S113" si="80">IF(ISNUMBER(E82),IF(B82="closed",(H82-G82)*E82,(R82-G82)*E82)-F82,"")</f>
        <v>153.11000000000004</v>
      </c>
      <c r="T82" s="1">
        <f t="shared" ref="T82:T97" si="81">IF(ISNUMBER($E82),IF($B82="closed",($H82-$G82),($R82-$G82)),"")</f>
        <v>3.2800000000000011</v>
      </c>
      <c r="U82" s="1">
        <f t="shared" si="75"/>
        <v>2116.41</v>
      </c>
      <c r="V82" s="25">
        <f t="shared" ref="V82:V97" si="82">S82/U82</f>
        <v>7.2344205517834465E-2</v>
      </c>
      <c r="W82" s="1">
        <f t="shared" si="12"/>
        <v>2270.5700000000002</v>
      </c>
      <c r="X82" s="6">
        <f t="shared" si="13"/>
        <v>0</v>
      </c>
      <c r="Y82"/>
      <c r="Z82" s="21">
        <v>421.98100000000005</v>
      </c>
    </row>
    <row r="83" spans="1:26" ht="15" hidden="1" customHeight="1">
      <c r="A83" t="s">
        <v>23</v>
      </c>
      <c r="B83" t="s">
        <v>26</v>
      </c>
      <c r="C83" s="49">
        <v>36</v>
      </c>
      <c r="D83" t="s">
        <v>7</v>
      </c>
      <c r="E83" s="2">
        <v>45</v>
      </c>
      <c r="F83" s="1">
        <v>1.05</v>
      </c>
      <c r="G83" s="1">
        <v>45.04</v>
      </c>
      <c r="H83" s="11">
        <v>48.31</v>
      </c>
      <c r="I83" s="20">
        <v>39.549999999999997</v>
      </c>
      <c r="J83" s="20">
        <f t="shared" si="76"/>
        <v>5.490000000000002</v>
      </c>
      <c r="K83" s="2">
        <f t="shared" si="77"/>
        <v>247.0500000000001</v>
      </c>
      <c r="L83" s="11">
        <v>39.79</v>
      </c>
      <c r="M83" s="20">
        <f t="shared" si="78"/>
        <v>5.25</v>
      </c>
      <c r="N83" s="21" t="str">
        <f t="shared" si="79"/>
        <v>-</v>
      </c>
      <c r="O83" s="1">
        <f t="shared" si="73"/>
        <v>0.59562841530054678</v>
      </c>
      <c r="P83" s="1" t="str">
        <f t="shared" si="74"/>
        <v/>
      </c>
      <c r="Q83" s="11"/>
      <c r="R83" s="11">
        <f>R82</f>
        <v>49.22</v>
      </c>
      <c r="S83" s="1">
        <f t="shared" si="80"/>
        <v>146.10000000000014</v>
      </c>
      <c r="T83" s="1">
        <f t="shared" si="81"/>
        <v>3.2700000000000031</v>
      </c>
      <c r="U83" s="1">
        <f t="shared" si="75"/>
        <v>2026.8</v>
      </c>
      <c r="V83" s="25">
        <f t="shared" si="82"/>
        <v>7.208407341622268E-2</v>
      </c>
      <c r="W83" s="1">
        <f t="shared" si="12"/>
        <v>2173.9500000000003</v>
      </c>
      <c r="X83" s="6">
        <f t="shared" si="13"/>
        <v>0</v>
      </c>
      <c r="Y83"/>
      <c r="Z83" s="21">
        <v>135.19999999999999</v>
      </c>
    </row>
    <row r="84" spans="1:26" ht="15" hidden="1" customHeight="1">
      <c r="A84" t="s">
        <v>23</v>
      </c>
      <c r="B84" t="s">
        <v>26</v>
      </c>
      <c r="C84" s="74">
        <v>57</v>
      </c>
      <c r="D84" t="s">
        <v>7</v>
      </c>
      <c r="E84" s="2">
        <v>32</v>
      </c>
      <c r="F84" s="1">
        <v>1</v>
      </c>
      <c r="G84" s="1">
        <v>51.74</v>
      </c>
      <c r="H84" s="11">
        <v>62.55</v>
      </c>
      <c r="I84" s="20">
        <v>45.35</v>
      </c>
      <c r="J84" s="20">
        <f t="shared" si="76"/>
        <v>6.3900000000000006</v>
      </c>
      <c r="K84" s="2">
        <f t="shared" si="77"/>
        <v>204.48000000000002</v>
      </c>
      <c r="L84" s="11">
        <v>62.74</v>
      </c>
      <c r="M84" s="20">
        <f t="shared" si="78"/>
        <v>0</v>
      </c>
      <c r="N84" s="21" t="str">
        <f t="shared" si="79"/>
        <v>-</v>
      </c>
      <c r="O84" s="1">
        <f t="shared" si="73"/>
        <v>1.6917057902973387</v>
      </c>
      <c r="P84" s="1" t="str">
        <f t="shared" si="74"/>
        <v/>
      </c>
      <c r="Q84" s="11"/>
      <c r="R84" s="11">
        <f>VLOOKUP(D84,prices!$A$2:$B$7,2)</f>
        <v>23.12</v>
      </c>
      <c r="S84" s="1">
        <f t="shared" si="80"/>
        <v>344.91999999999985</v>
      </c>
      <c r="T84" s="1">
        <f t="shared" si="81"/>
        <v>10.809999999999995</v>
      </c>
      <c r="U84" s="1">
        <f t="shared" si="75"/>
        <v>1655.68</v>
      </c>
      <c r="V84" s="25">
        <f t="shared" si="82"/>
        <v>0.20832528024739069</v>
      </c>
      <c r="W84" s="1">
        <f t="shared" si="12"/>
        <v>2001.6</v>
      </c>
      <c r="X84" s="6">
        <f t="shared" si="13"/>
        <v>0</v>
      </c>
      <c r="Y84"/>
      <c r="Z84" s="21">
        <v>660.00000000000011</v>
      </c>
    </row>
    <row r="85" spans="1:26" ht="15" hidden="1" customHeight="1">
      <c r="A85" t="s">
        <v>23</v>
      </c>
      <c r="B85" t="s">
        <v>26</v>
      </c>
      <c r="C85" s="80">
        <v>115</v>
      </c>
      <c r="D85" t="s">
        <v>7</v>
      </c>
      <c r="E85" s="2">
        <v>59</v>
      </c>
      <c r="F85" s="1"/>
      <c r="G85" s="1">
        <v>66.400000000000006</v>
      </c>
      <c r="H85" s="11">
        <v>67.5</v>
      </c>
      <c r="I85" s="20">
        <v>60.95</v>
      </c>
      <c r="J85" s="20">
        <f t="shared" si="76"/>
        <v>5.4500000000000028</v>
      </c>
      <c r="K85" s="2">
        <f t="shared" si="77"/>
        <v>321.55000000000018</v>
      </c>
      <c r="L85" s="11">
        <v>60.95</v>
      </c>
      <c r="M85" s="20">
        <f t="shared" si="78"/>
        <v>5.4500000000000028</v>
      </c>
      <c r="N85" s="21" t="str">
        <f t="shared" si="79"/>
        <v>-</v>
      </c>
      <c r="O85" s="1">
        <f t="shared" si="73"/>
        <v>0.20183486238531995</v>
      </c>
      <c r="P85" s="1" t="str">
        <f t="shared" si="74"/>
        <v/>
      </c>
      <c r="Q85" s="11"/>
      <c r="R85" s="11">
        <f>VLOOKUP(D85,prices!$A$2:$B$19,2)</f>
        <v>23.12</v>
      </c>
      <c r="S85" s="1">
        <f t="shared" si="80"/>
        <v>64.899999999999665</v>
      </c>
      <c r="T85" s="1">
        <f t="shared" si="81"/>
        <v>1.0999999999999943</v>
      </c>
      <c r="U85" s="1">
        <f t="shared" si="75"/>
        <v>3917.6000000000004</v>
      </c>
      <c r="V85" s="25">
        <f t="shared" si="82"/>
        <v>1.6566265060240878E-2</v>
      </c>
      <c r="W85" s="1">
        <f t="shared" si="12"/>
        <v>3982.5</v>
      </c>
      <c r="X85" s="6">
        <f t="shared" si="13"/>
        <v>0</v>
      </c>
      <c r="Y85"/>
      <c r="Z85" s="21">
        <v>0</v>
      </c>
    </row>
    <row r="86" spans="1:26" hidden="1">
      <c r="A86" t="s">
        <v>23</v>
      </c>
      <c r="B86" t="s">
        <v>26</v>
      </c>
      <c r="C86" s="80">
        <v>117</v>
      </c>
      <c r="D86" t="s">
        <v>7</v>
      </c>
      <c r="E86" s="2">
        <v>59</v>
      </c>
      <c r="F86" s="1"/>
      <c r="G86" s="1">
        <v>67.28</v>
      </c>
      <c r="H86" s="11">
        <v>68.64</v>
      </c>
      <c r="I86" s="20">
        <v>61.76</v>
      </c>
      <c r="J86" s="20">
        <f t="shared" si="76"/>
        <v>5.5200000000000031</v>
      </c>
      <c r="K86" s="2">
        <f t="shared" si="77"/>
        <v>325.68000000000018</v>
      </c>
      <c r="L86" s="11">
        <v>62.89</v>
      </c>
      <c r="M86" s="20">
        <f t="shared" si="78"/>
        <v>4.3900000000000006</v>
      </c>
      <c r="N86" s="21" t="str">
        <f t="shared" si="79"/>
        <v>-</v>
      </c>
      <c r="O86" s="1">
        <f t="shared" si="73"/>
        <v>0.24637681159420266</v>
      </c>
      <c r="P86" s="1" t="str">
        <f t="shared" si="74"/>
        <v/>
      </c>
      <c r="Q86" s="11"/>
      <c r="R86" s="11">
        <f>VLOOKUP(D86,prices!$A$2:$B$19,2)</f>
        <v>23.12</v>
      </c>
      <c r="S86" s="1">
        <f t="shared" si="80"/>
        <v>80.239999999999966</v>
      </c>
      <c r="T86" s="1">
        <f t="shared" si="81"/>
        <v>1.3599999999999994</v>
      </c>
      <c r="U86" s="1">
        <f t="shared" si="75"/>
        <v>3969.52</v>
      </c>
      <c r="V86" s="25">
        <f t="shared" si="82"/>
        <v>2.0214030915576685E-2</v>
      </c>
      <c r="W86" s="1">
        <f t="shared" si="12"/>
        <v>4049.76</v>
      </c>
      <c r="X86" s="6">
        <f t="shared" si="13"/>
        <v>0</v>
      </c>
      <c r="Y86"/>
      <c r="Z86" s="21">
        <v>0</v>
      </c>
    </row>
    <row r="87" spans="1:26" hidden="1">
      <c r="A87" t="s">
        <v>6</v>
      </c>
      <c r="B87" t="s">
        <v>26</v>
      </c>
      <c r="C87" s="80">
        <v>83</v>
      </c>
      <c r="D87" t="s">
        <v>7</v>
      </c>
      <c r="E87" s="2">
        <v>31</v>
      </c>
      <c r="F87" s="1">
        <v>1</v>
      </c>
      <c r="G87" s="1">
        <v>64.180000000000007</v>
      </c>
      <c r="H87" s="11">
        <v>67.5</v>
      </c>
      <c r="I87" s="20">
        <v>28.84</v>
      </c>
      <c r="J87" s="20">
        <f t="shared" si="76"/>
        <v>35.340000000000003</v>
      </c>
      <c r="K87" s="2">
        <f t="shared" si="77"/>
        <v>1095.5400000000002</v>
      </c>
      <c r="L87" s="11">
        <v>59.62</v>
      </c>
      <c r="M87" s="20">
        <f t="shared" si="78"/>
        <v>4.5600000000000094</v>
      </c>
      <c r="N87" s="21" t="str">
        <f t="shared" si="79"/>
        <v>-</v>
      </c>
      <c r="O87" s="1">
        <f t="shared" si="73"/>
        <v>9.3944538766270319E-2</v>
      </c>
      <c r="P87" s="1" t="str">
        <f t="shared" si="74"/>
        <v/>
      </c>
      <c r="Q87" s="11"/>
      <c r="R87" s="11">
        <f>VLOOKUP(D87,prices!$A$2:$B$19,2)</f>
        <v>23.12</v>
      </c>
      <c r="S87" s="1">
        <f t="shared" si="80"/>
        <v>101.91999999999979</v>
      </c>
      <c r="T87" s="1">
        <f t="shared" si="81"/>
        <v>3.3199999999999932</v>
      </c>
      <c r="U87" s="1">
        <f t="shared" si="75"/>
        <v>1989.5800000000002</v>
      </c>
      <c r="V87" s="25">
        <f t="shared" si="82"/>
        <v>5.1226892107881956E-2</v>
      </c>
      <c r="W87" s="1">
        <f t="shared" si="12"/>
        <v>2092.5</v>
      </c>
      <c r="X87" s="6">
        <f t="shared" si="13"/>
        <v>0</v>
      </c>
      <c r="Y87"/>
      <c r="Z87" s="21">
        <v>0</v>
      </c>
    </row>
    <row r="88" spans="1:26" hidden="1">
      <c r="A88" t="s">
        <v>6</v>
      </c>
      <c r="B88" t="s">
        <v>26</v>
      </c>
      <c r="C88" s="92">
        <v>87</v>
      </c>
      <c r="D88" t="s">
        <v>7</v>
      </c>
      <c r="E88" s="2">
        <v>31</v>
      </c>
      <c r="F88" s="1">
        <v>64.19</v>
      </c>
      <c r="G88" s="37">
        <v>64.09</v>
      </c>
      <c r="H88" s="11">
        <v>67.5</v>
      </c>
      <c r="I88" s="20">
        <v>28.84</v>
      </c>
      <c r="J88" s="20">
        <f t="shared" si="76"/>
        <v>35.25</v>
      </c>
      <c r="K88" s="2">
        <f t="shared" si="77"/>
        <v>1092.75</v>
      </c>
      <c r="L88" s="11">
        <v>59.62</v>
      </c>
      <c r="M88" s="20">
        <f t="shared" si="78"/>
        <v>4.470000000000006</v>
      </c>
      <c r="N88" s="21" t="str">
        <f t="shared" si="79"/>
        <v>-</v>
      </c>
      <c r="O88" s="1">
        <f t="shared" si="73"/>
        <v>9.6737588652482179E-2</v>
      </c>
      <c r="P88" s="1" t="str">
        <f t="shared" si="74"/>
        <v/>
      </c>
      <c r="Q88" s="11"/>
      <c r="R88" s="11">
        <f>VLOOKUP(D88,prices!$A$2:$B$19,2)</f>
        <v>23.12</v>
      </c>
      <c r="S88" s="1">
        <f t="shared" si="80"/>
        <v>41.519999999999897</v>
      </c>
      <c r="T88" s="1">
        <f t="shared" si="81"/>
        <v>3.4099999999999966</v>
      </c>
      <c r="U88" s="1">
        <f t="shared" si="75"/>
        <v>1986.7900000000002</v>
      </c>
      <c r="V88" s="25">
        <f t="shared" si="82"/>
        <v>2.089803149804453E-2</v>
      </c>
      <c r="W88" s="1">
        <f t="shared" ref="W88:W153" si="83">IF(B88="closed",H88*E88,R88*E88)</f>
        <v>2092.5</v>
      </c>
      <c r="X88" s="6">
        <f t="shared" ref="X88:X153" si="84">IF(B88="open",(R88-Q88)*E88,0)</f>
        <v>0</v>
      </c>
      <c r="Y88"/>
      <c r="Z88" s="21">
        <v>0</v>
      </c>
    </row>
    <row r="89" spans="1:26" hidden="1">
      <c r="A89" t="s">
        <v>23</v>
      </c>
      <c r="B89" t="s">
        <v>26</v>
      </c>
      <c r="C89" s="92">
        <v>120</v>
      </c>
      <c r="D89" t="s">
        <v>7</v>
      </c>
      <c r="E89" s="2">
        <v>51</v>
      </c>
      <c r="F89" s="1"/>
      <c r="G89" s="1">
        <v>68.86</v>
      </c>
      <c r="H89" s="11">
        <v>69.010000000000005</v>
      </c>
      <c r="I89" s="20">
        <v>63.24</v>
      </c>
      <c r="J89" s="20">
        <f t="shared" si="76"/>
        <v>5.6199999999999974</v>
      </c>
      <c r="K89" s="2">
        <f t="shared" si="77"/>
        <v>286.61999999999989</v>
      </c>
      <c r="L89" s="11">
        <v>63.24</v>
      </c>
      <c r="M89" s="20">
        <f t="shared" si="78"/>
        <v>5.6199999999999974</v>
      </c>
      <c r="N89" s="21" t="str">
        <f t="shared" si="79"/>
        <v>-</v>
      </c>
      <c r="O89" s="1">
        <f t="shared" si="73"/>
        <v>2.6690391459075757E-2</v>
      </c>
      <c r="P89" s="1" t="str">
        <f t="shared" si="74"/>
        <v/>
      </c>
      <c r="Q89" s="11"/>
      <c r="R89" s="11">
        <f>VLOOKUP(D89,prices!$A$2:$B$19,2)</f>
        <v>23.12</v>
      </c>
      <c r="S89" s="1">
        <f t="shared" si="80"/>
        <v>7.6500000000002899</v>
      </c>
      <c r="T89" s="1">
        <f t="shared" si="81"/>
        <v>0.15000000000000568</v>
      </c>
      <c r="U89" s="1">
        <f t="shared" si="75"/>
        <v>3511.86</v>
      </c>
      <c r="V89" s="25">
        <f t="shared" si="82"/>
        <v>2.1783328492594495E-3</v>
      </c>
      <c r="W89" s="1">
        <f t="shared" si="83"/>
        <v>3519.51</v>
      </c>
      <c r="X89" s="6">
        <f t="shared" si="84"/>
        <v>0</v>
      </c>
      <c r="Y89"/>
      <c r="Z89" s="21">
        <v>0</v>
      </c>
    </row>
    <row r="90" spans="1:26" hidden="1">
      <c r="A90" t="s">
        <v>23</v>
      </c>
      <c r="B90" t="s">
        <v>26</v>
      </c>
      <c r="C90" s="92">
        <v>121</v>
      </c>
      <c r="D90" t="s">
        <v>7</v>
      </c>
      <c r="E90" s="2">
        <v>46</v>
      </c>
      <c r="F90" s="1"/>
      <c r="G90" s="1">
        <v>68.97</v>
      </c>
      <c r="H90" s="11">
        <v>69.010000000000005</v>
      </c>
      <c r="I90" s="20">
        <v>63.33</v>
      </c>
      <c r="J90" s="20">
        <f t="shared" si="76"/>
        <v>5.6400000000000006</v>
      </c>
      <c r="K90" s="2">
        <f t="shared" si="77"/>
        <v>259.44000000000005</v>
      </c>
      <c r="L90" s="11">
        <v>63.33</v>
      </c>
      <c r="M90" s="20">
        <f t="shared" si="78"/>
        <v>5.6400000000000006</v>
      </c>
      <c r="N90" s="21" t="str">
        <f t="shared" si="79"/>
        <v>-</v>
      </c>
      <c r="O90" s="1">
        <f t="shared" si="73"/>
        <v>7.092198581561392E-3</v>
      </c>
      <c r="P90" s="1" t="str">
        <f t="shared" si="74"/>
        <v/>
      </c>
      <c r="Q90" s="11"/>
      <c r="R90" s="11">
        <f>VLOOKUP(D90,prices!$A$2:$B$19,2)</f>
        <v>23.12</v>
      </c>
      <c r="S90" s="1">
        <f t="shared" si="80"/>
        <v>1.8400000000002876</v>
      </c>
      <c r="T90" s="1">
        <f t="shared" si="81"/>
        <v>4.0000000000006253E-2</v>
      </c>
      <c r="U90" s="1">
        <f t="shared" si="75"/>
        <v>3172.62</v>
      </c>
      <c r="V90" s="25">
        <f t="shared" si="82"/>
        <v>5.799623024504314E-4</v>
      </c>
      <c r="W90" s="1">
        <f t="shared" si="83"/>
        <v>3174.46</v>
      </c>
      <c r="X90" s="6">
        <f t="shared" si="84"/>
        <v>0</v>
      </c>
      <c r="Y90"/>
      <c r="Z90" s="21">
        <v>212.84999999999994</v>
      </c>
    </row>
    <row r="91" spans="1:26" hidden="1">
      <c r="A91" t="s">
        <v>23</v>
      </c>
      <c r="B91" t="s">
        <v>26</v>
      </c>
      <c r="C91" s="76">
        <v>122</v>
      </c>
      <c r="D91" t="s">
        <v>7</v>
      </c>
      <c r="E91" s="2">
        <v>42</v>
      </c>
      <c r="F91" s="1"/>
      <c r="G91" s="1">
        <v>68.97</v>
      </c>
      <c r="H91" s="11">
        <v>69</v>
      </c>
      <c r="I91" s="20">
        <v>63.33</v>
      </c>
      <c r="J91" s="20">
        <f t="shared" si="76"/>
        <v>5.6400000000000006</v>
      </c>
      <c r="K91" s="2">
        <f t="shared" si="77"/>
        <v>236.88000000000002</v>
      </c>
      <c r="L91" s="11">
        <v>63.33</v>
      </c>
      <c r="M91" s="20">
        <f t="shared" si="78"/>
        <v>5.6400000000000006</v>
      </c>
      <c r="N91" s="21" t="str">
        <f t="shared" si="79"/>
        <v>-</v>
      </c>
      <c r="O91" s="1">
        <f t="shared" si="73"/>
        <v>5.3191489361704139E-3</v>
      </c>
      <c r="P91" s="1" t="str">
        <f t="shared" si="74"/>
        <v/>
      </c>
      <c r="Q91" s="11"/>
      <c r="R91" s="11">
        <f>VLOOKUP(D91,prices!$A$2:$B$19,2)</f>
        <v>23.12</v>
      </c>
      <c r="S91" s="1">
        <f t="shared" si="80"/>
        <v>1.2600000000000477</v>
      </c>
      <c r="T91" s="1">
        <f t="shared" si="81"/>
        <v>3.0000000000001137E-2</v>
      </c>
      <c r="U91" s="1">
        <f t="shared" si="75"/>
        <v>2896.74</v>
      </c>
      <c r="V91" s="25">
        <f t="shared" si="82"/>
        <v>4.3497172683777208E-4</v>
      </c>
      <c r="W91" s="1">
        <f t="shared" si="83"/>
        <v>2898</v>
      </c>
      <c r="X91" s="6">
        <f t="shared" si="84"/>
        <v>0</v>
      </c>
      <c r="Y91"/>
      <c r="Z91" s="21"/>
    </row>
    <row r="92" spans="1:26" hidden="1">
      <c r="A92" t="s">
        <v>23</v>
      </c>
      <c r="B92" t="s">
        <v>26</v>
      </c>
      <c r="C92" s="77">
        <v>123</v>
      </c>
      <c r="D92" t="s">
        <v>7</v>
      </c>
      <c r="E92" s="2">
        <v>37</v>
      </c>
      <c r="F92" s="1"/>
      <c r="G92" s="1">
        <v>68.92</v>
      </c>
      <c r="H92" s="11">
        <v>69</v>
      </c>
      <c r="I92" s="20">
        <v>63.33</v>
      </c>
      <c r="J92" s="20">
        <f t="shared" si="76"/>
        <v>5.5900000000000034</v>
      </c>
      <c r="K92" s="2">
        <f t="shared" si="77"/>
        <v>206.83000000000013</v>
      </c>
      <c r="L92" s="11">
        <v>63.33</v>
      </c>
      <c r="M92" s="20">
        <f t="shared" si="78"/>
        <v>5.5900000000000034</v>
      </c>
      <c r="N92" s="21" t="str">
        <f t="shared" si="79"/>
        <v>-</v>
      </c>
      <c r="O92" s="1">
        <f t="shared" si="73"/>
        <v>1.43112701252233E-2</v>
      </c>
      <c r="P92" s="1" t="str">
        <f t="shared" si="74"/>
        <v/>
      </c>
      <c r="Q92" s="11"/>
      <c r="R92" s="11">
        <f>VLOOKUP(D92,prices!$A$2:$B$19,2)</f>
        <v>23.12</v>
      </c>
      <c r="S92" s="1">
        <f t="shared" si="80"/>
        <v>2.9599999999999369</v>
      </c>
      <c r="T92" s="1">
        <f t="shared" si="81"/>
        <v>7.9999999999998295E-2</v>
      </c>
      <c r="U92" s="1">
        <f t="shared" si="75"/>
        <v>2550.04</v>
      </c>
      <c r="V92" s="25">
        <f t="shared" si="82"/>
        <v>1.1607661056296909E-3</v>
      </c>
      <c r="W92" s="1">
        <f t="shared" si="83"/>
        <v>2553</v>
      </c>
      <c r="X92" s="6">
        <f t="shared" si="84"/>
        <v>0</v>
      </c>
      <c r="Y92"/>
      <c r="Z92" s="21">
        <v>-2487</v>
      </c>
    </row>
    <row r="93" spans="1:26" hidden="1">
      <c r="A93" t="s">
        <v>23</v>
      </c>
      <c r="B93" t="s">
        <v>26</v>
      </c>
      <c r="C93" s="74">
        <v>128</v>
      </c>
      <c r="D93" t="s">
        <v>7</v>
      </c>
      <c r="E93" s="2">
        <v>51</v>
      </c>
      <c r="F93" s="1"/>
      <c r="G93" s="1">
        <v>69.262</v>
      </c>
      <c r="H93" s="11">
        <v>64.47</v>
      </c>
      <c r="I93" s="20">
        <v>63.65</v>
      </c>
      <c r="J93" s="20">
        <f t="shared" si="76"/>
        <v>5.6120000000000019</v>
      </c>
      <c r="K93" s="2">
        <f t="shared" si="77"/>
        <v>286.2120000000001</v>
      </c>
      <c r="L93" s="11">
        <v>64.47</v>
      </c>
      <c r="M93" s="20">
        <f t="shared" si="78"/>
        <v>4.7920000000000016</v>
      </c>
      <c r="N93" s="21" t="str">
        <f t="shared" si="79"/>
        <v>-</v>
      </c>
      <c r="O93" s="1">
        <f t="shared" si="73"/>
        <v>-0.8538845331432644</v>
      </c>
      <c r="P93" s="1" t="str">
        <f t="shared" si="74"/>
        <v/>
      </c>
      <c r="Q93" s="11"/>
      <c r="R93" s="11">
        <f>VLOOKUP(D93,prices!$A$2:$B$19,2)</f>
        <v>23.12</v>
      </c>
      <c r="S93" s="1">
        <f t="shared" si="80"/>
        <v>-244.39200000000008</v>
      </c>
      <c r="T93" s="1">
        <f t="shared" si="81"/>
        <v>-4.7920000000000016</v>
      </c>
      <c r="U93" s="1">
        <f t="shared" si="75"/>
        <v>3532.3620000000001</v>
      </c>
      <c r="V93" s="25">
        <f t="shared" si="82"/>
        <v>-6.9186566948687619E-2</v>
      </c>
      <c r="W93" s="1">
        <f t="shared" si="83"/>
        <v>3287.97</v>
      </c>
      <c r="X93" s="6">
        <f t="shared" si="84"/>
        <v>0</v>
      </c>
      <c r="Y93"/>
      <c r="Z93" s="21"/>
    </row>
    <row r="94" spans="1:26" hidden="1">
      <c r="A94" t="s">
        <v>23</v>
      </c>
      <c r="B94" t="s">
        <v>26</v>
      </c>
      <c r="C94" s="76">
        <v>216</v>
      </c>
      <c r="D94" t="s">
        <v>116</v>
      </c>
      <c r="E94" s="2">
        <v>273</v>
      </c>
      <c r="F94" s="1"/>
      <c r="G94" s="1">
        <v>16.149999999999999</v>
      </c>
      <c r="H94" s="11">
        <v>16.579999999999998</v>
      </c>
      <c r="I94" s="20">
        <v>14.69</v>
      </c>
      <c r="J94" s="20">
        <f t="shared" si="76"/>
        <v>1.4599999999999991</v>
      </c>
      <c r="K94" s="2">
        <f t="shared" si="77"/>
        <v>398.57999999999976</v>
      </c>
      <c r="L94" s="11">
        <v>14.69</v>
      </c>
      <c r="M94" s="20">
        <f t="shared" si="78"/>
        <v>1.4599999999999991</v>
      </c>
      <c r="N94" s="21" t="str">
        <f t="shared" si="79"/>
        <v>-</v>
      </c>
      <c r="O94" s="1">
        <f t="shared" si="73"/>
        <v>0.29452054794520549</v>
      </c>
      <c r="P94" s="1" t="str">
        <f t="shared" si="74"/>
        <v/>
      </c>
      <c r="Q94" s="11">
        <f>VLOOKUP($D94,prices!$A$2:$C$19,3)</f>
        <v>23.07</v>
      </c>
      <c r="R94" s="11">
        <f>VLOOKUP(D94,prices!$A$2:$B$19,2)</f>
        <v>23.12</v>
      </c>
      <c r="S94" s="55">
        <f t="shared" si="80"/>
        <v>117.38999999999993</v>
      </c>
      <c r="T94" s="55">
        <f t="shared" si="81"/>
        <v>0.42999999999999972</v>
      </c>
      <c r="U94" s="55">
        <f t="shared" si="75"/>
        <v>4408.95</v>
      </c>
      <c r="V94" s="42">
        <f t="shared" si="82"/>
        <v>2.6625386996904008E-2</v>
      </c>
      <c r="W94" s="55">
        <f t="shared" si="83"/>
        <v>4526.3399999999992</v>
      </c>
      <c r="X94" s="48">
        <f t="shared" si="84"/>
        <v>0</v>
      </c>
      <c r="Y94" s="68">
        <v>1</v>
      </c>
      <c r="Z94" s="28" t="str">
        <f>IF(B94="open",(R94-L94)*E94,"-")</f>
        <v>-</v>
      </c>
    </row>
    <row r="95" spans="1:26" hidden="1">
      <c r="A95" t="s">
        <v>6</v>
      </c>
      <c r="B95" t="s">
        <v>26</v>
      </c>
      <c r="C95" s="77">
        <v>215</v>
      </c>
      <c r="D95" t="s">
        <v>116</v>
      </c>
      <c r="E95" s="2">
        <v>83</v>
      </c>
      <c r="F95" s="1"/>
      <c r="G95" s="1">
        <v>16.149999999999999</v>
      </c>
      <c r="H95" s="11">
        <v>16.579999999999998</v>
      </c>
      <c r="I95" s="20">
        <v>14.69</v>
      </c>
      <c r="J95" s="20">
        <f t="shared" si="76"/>
        <v>1.4599999999999991</v>
      </c>
      <c r="K95" s="2">
        <f t="shared" si="77"/>
        <v>121.17999999999992</v>
      </c>
      <c r="L95" s="11">
        <v>14.69</v>
      </c>
      <c r="M95" s="20">
        <f t="shared" si="78"/>
        <v>1.4599999999999991</v>
      </c>
      <c r="N95" s="21" t="str">
        <f t="shared" si="79"/>
        <v>-</v>
      </c>
      <c r="O95" s="1">
        <f t="shared" si="73"/>
        <v>0.29452054794520549</v>
      </c>
      <c r="P95" s="1" t="str">
        <f t="shared" si="74"/>
        <v/>
      </c>
      <c r="Q95" s="11">
        <f>VLOOKUP($D95,prices!$A$2:$C$19,3)</f>
        <v>23.07</v>
      </c>
      <c r="R95" s="11">
        <f>VLOOKUP(D95,prices!$A$2:$B$19,2)</f>
        <v>23.12</v>
      </c>
      <c r="S95" s="55">
        <f t="shared" si="80"/>
        <v>35.689999999999976</v>
      </c>
      <c r="T95" s="55">
        <f t="shared" si="81"/>
        <v>0.42999999999999972</v>
      </c>
      <c r="U95" s="55">
        <f t="shared" si="75"/>
        <v>1340.4499999999998</v>
      </c>
      <c r="V95" s="42">
        <f t="shared" si="82"/>
        <v>2.6625386996904012E-2</v>
      </c>
      <c r="W95" s="55">
        <f t="shared" si="83"/>
        <v>1376.1399999999999</v>
      </c>
      <c r="X95" s="48">
        <f t="shared" si="84"/>
        <v>0</v>
      </c>
      <c r="Y95" s="68">
        <v>1</v>
      </c>
      <c r="Z95" s="28" t="str">
        <f>IF(B95="open",(R95-L95)*E95,"-")</f>
        <v>-</v>
      </c>
    </row>
    <row r="96" spans="1:26" hidden="1">
      <c r="A96" t="s">
        <v>23</v>
      </c>
      <c r="B96" t="s">
        <v>26</v>
      </c>
      <c r="C96" s="82">
        <v>168</v>
      </c>
      <c r="D96" t="s">
        <v>97</v>
      </c>
      <c r="E96" s="2">
        <v>167</v>
      </c>
      <c r="F96" s="1"/>
      <c r="G96" s="1">
        <v>21.065999999999999</v>
      </c>
      <c r="H96" s="11">
        <v>19.809999999999999</v>
      </c>
      <c r="I96" s="20">
        <v>19.809999999999999</v>
      </c>
      <c r="J96" s="20">
        <f t="shared" si="76"/>
        <v>1.2560000000000002</v>
      </c>
      <c r="K96" s="2">
        <f t="shared" si="77"/>
        <v>209.75200000000004</v>
      </c>
      <c r="L96" s="11">
        <v>19.809999999999999</v>
      </c>
      <c r="M96" s="20">
        <f t="shared" si="78"/>
        <v>1.2560000000000002</v>
      </c>
      <c r="N96" s="21" t="str">
        <f t="shared" si="79"/>
        <v>-</v>
      </c>
      <c r="O96" s="1">
        <f t="shared" si="73"/>
        <v>-1</v>
      </c>
      <c r="P96" s="1" t="str">
        <f t="shared" si="74"/>
        <v/>
      </c>
      <c r="Q96" s="11">
        <f>VLOOKUP($D96,prices!$A$2:$C$19,3)</f>
        <v>23.07</v>
      </c>
      <c r="R96" s="11">
        <f>VLOOKUP(D96,prices!$A$2:$B$19,2)</f>
        <v>23.12</v>
      </c>
      <c r="S96" s="55">
        <f t="shared" si="80"/>
        <v>-209.75200000000004</v>
      </c>
      <c r="T96" s="55">
        <f t="shared" si="81"/>
        <v>-1.2560000000000002</v>
      </c>
      <c r="U96" s="55">
        <f t="shared" si="75"/>
        <v>3518.0219999999999</v>
      </c>
      <c r="V96" s="42">
        <f t="shared" si="82"/>
        <v>-5.9622139941137388E-2</v>
      </c>
      <c r="W96" s="55">
        <f t="shared" si="83"/>
        <v>3308.27</v>
      </c>
      <c r="X96" s="48">
        <f t="shared" si="84"/>
        <v>0</v>
      </c>
      <c r="Y96" s="68">
        <v>4</v>
      </c>
    </row>
    <row r="97" spans="1:26" hidden="1">
      <c r="A97" t="s">
        <v>6</v>
      </c>
      <c r="B97" t="s">
        <v>26</v>
      </c>
      <c r="C97" s="82">
        <v>169</v>
      </c>
      <c r="D97" t="s">
        <v>97</v>
      </c>
      <c r="E97" s="2">
        <v>55</v>
      </c>
      <c r="F97" s="1"/>
      <c r="G97" s="1">
        <v>21.065999999999999</v>
      </c>
      <c r="H97" s="11">
        <v>19.814</v>
      </c>
      <c r="I97" s="20">
        <v>19.809999999999999</v>
      </c>
      <c r="J97" s="20">
        <f t="shared" si="76"/>
        <v>1.2560000000000002</v>
      </c>
      <c r="K97" s="2">
        <f t="shared" si="77"/>
        <v>69.080000000000013</v>
      </c>
      <c r="L97" s="11">
        <v>19.809999999999999</v>
      </c>
      <c r="M97" s="20">
        <f t="shared" si="78"/>
        <v>1.2560000000000002</v>
      </c>
      <c r="N97" s="21" t="str">
        <f t="shared" si="79"/>
        <v>-</v>
      </c>
      <c r="O97" s="1">
        <f t="shared" si="73"/>
        <v>-0.99681528662420271</v>
      </c>
      <c r="P97" s="1" t="str">
        <f t="shared" si="74"/>
        <v/>
      </c>
      <c r="Q97" s="11">
        <f>VLOOKUP($D97,prices!$A$2:$C$19,3)</f>
        <v>23.07</v>
      </c>
      <c r="R97" s="11">
        <f>VLOOKUP(D97,prices!$A$2:$B$19,2)</f>
        <v>23.12</v>
      </c>
      <c r="S97" s="55">
        <f t="shared" si="80"/>
        <v>-68.859999999999943</v>
      </c>
      <c r="T97" s="55">
        <f t="shared" si="81"/>
        <v>-1.2519999999999989</v>
      </c>
      <c r="U97" s="55">
        <f t="shared" si="75"/>
        <v>1158.6299999999999</v>
      </c>
      <c r="V97" s="42">
        <f t="shared" si="82"/>
        <v>-5.9432260514573204E-2</v>
      </c>
      <c r="W97" s="55">
        <f t="shared" si="83"/>
        <v>1089.77</v>
      </c>
      <c r="X97" s="48">
        <f t="shared" si="84"/>
        <v>0</v>
      </c>
      <c r="Y97" s="68">
        <v>4</v>
      </c>
    </row>
    <row r="98" spans="1:26" hidden="1">
      <c r="A98" t="s">
        <v>6</v>
      </c>
      <c r="B98" t="s">
        <v>26</v>
      </c>
      <c r="C98" s="74">
        <v>-1</v>
      </c>
      <c r="D98" t="s">
        <v>35</v>
      </c>
      <c r="E98" s="2">
        <v>600</v>
      </c>
      <c r="F98" s="1">
        <v>2.7</v>
      </c>
      <c r="G98" s="1">
        <v>10.978</v>
      </c>
      <c r="H98" s="17">
        <v>10.8</v>
      </c>
      <c r="I98" s="1">
        <v>10.8</v>
      </c>
      <c r="J98" s="1">
        <f>IF(AND(ISNUMBER(G98),ISNUMBER(I98)),G98-I98,"")</f>
        <v>0.17799999999999905</v>
      </c>
      <c r="K98" s="2" t="str">
        <f>IF((B98="open"),E98*J98,"-")</f>
        <v>-</v>
      </c>
      <c r="L98" s="11">
        <f>U98</f>
        <v>6586.8</v>
      </c>
      <c r="M98" s="1">
        <f>IF(AND(ISNUMBER(G98),ISNUMBER(L98)),MAX(0,G98-L98),"")</f>
        <v>0</v>
      </c>
      <c r="N98" s="2" t="str">
        <f>IF(B98="open",M98*E98,"")</f>
        <v/>
      </c>
      <c r="O98" s="1">
        <f t="shared" si="73"/>
        <v>-1</v>
      </c>
      <c r="P98" s="1" t="str">
        <f t="shared" si="74"/>
        <v/>
      </c>
      <c r="Q98" s="11"/>
      <c r="R98" s="11">
        <v>10.8</v>
      </c>
      <c r="S98" s="1">
        <f t="shared" si="80"/>
        <v>-109.49999999999943</v>
      </c>
      <c r="T98" s="18"/>
      <c r="U98" s="1">
        <f t="shared" si="75"/>
        <v>6586.8</v>
      </c>
      <c r="V98"/>
      <c r="W98" s="1">
        <f t="shared" si="83"/>
        <v>6480</v>
      </c>
      <c r="X98" s="6">
        <f t="shared" si="84"/>
        <v>0</v>
      </c>
      <c r="Y98"/>
      <c r="Z98" s="21">
        <v>0</v>
      </c>
    </row>
    <row r="99" spans="1:26" ht="15" hidden="1" customHeight="1">
      <c r="A99" t="s">
        <v>23</v>
      </c>
      <c r="B99" t="s">
        <v>26</v>
      </c>
      <c r="C99" s="74">
        <v>22</v>
      </c>
      <c r="D99" t="s">
        <v>35</v>
      </c>
      <c r="E99" s="2">
        <v>342</v>
      </c>
      <c r="F99" s="1">
        <v>0</v>
      </c>
      <c r="G99" s="1">
        <v>11.08</v>
      </c>
      <c r="H99" s="11">
        <v>11.11</v>
      </c>
      <c r="I99" s="1">
        <v>10.17</v>
      </c>
      <c r="J99" s="1">
        <f t="shared" ref="J99:J132" si="85">IF(AND(ISNUMBER(G99),ISNUMBER(I99)),G99-I99,"-")</f>
        <v>0.91000000000000014</v>
      </c>
      <c r="K99" s="2">
        <f t="shared" ref="K99:K132" si="86">IFERROR(E99*J99,"-")</f>
        <v>311.22000000000003</v>
      </c>
      <c r="L99" s="11">
        <v>11.11</v>
      </c>
      <c r="M99" s="1">
        <f t="shared" ref="M99:M132" si="87">IF(AND(ISNUMBER(G99),ISNUMBER(L99)),MAX(0,G99-L99),"-")</f>
        <v>0</v>
      </c>
      <c r="N99" s="2" t="str">
        <f t="shared" ref="N99:N132" si="88">IF(B99="open",M99*E99,"-")</f>
        <v>-</v>
      </c>
      <c r="O99" s="1">
        <f t="shared" si="73"/>
        <v>3.296703296703226E-2</v>
      </c>
      <c r="P99" s="1" t="str">
        <f t="shared" si="74"/>
        <v/>
      </c>
      <c r="Q99" s="11">
        <v>11.36</v>
      </c>
      <c r="R99" s="11">
        <v>11.36</v>
      </c>
      <c r="S99" s="1">
        <f t="shared" si="80"/>
        <v>10.259999999999781</v>
      </c>
      <c r="T99" s="1">
        <f t="shared" ref="T99:T132" si="89">IF(ISNUMBER($E99),IF($B99="closed",($H99-$G99),($R99-$G99)),"")</f>
        <v>2.9999999999999361E-2</v>
      </c>
      <c r="U99" s="1">
        <f t="shared" si="75"/>
        <v>3789.36</v>
      </c>
      <c r="V99"/>
      <c r="W99" s="1">
        <f t="shared" si="83"/>
        <v>3799.62</v>
      </c>
      <c r="X99" s="6">
        <f t="shared" si="84"/>
        <v>0</v>
      </c>
      <c r="Y99"/>
      <c r="Z99" s="21"/>
    </row>
    <row r="100" spans="1:26" ht="15" hidden="1" customHeight="1">
      <c r="A100" t="s">
        <v>23</v>
      </c>
      <c r="B100" t="s">
        <v>26</v>
      </c>
      <c r="C100" s="78">
        <v>28</v>
      </c>
      <c r="D100" t="s">
        <v>35</v>
      </c>
      <c r="E100" s="2">
        <v>315</v>
      </c>
      <c r="F100" s="1"/>
      <c r="G100" s="1">
        <v>9.5939999999999994</v>
      </c>
      <c r="H100" s="11">
        <v>10.38</v>
      </c>
      <c r="I100" s="20">
        <v>7.89</v>
      </c>
      <c r="J100" s="20">
        <f t="shared" si="85"/>
        <v>1.7039999999999997</v>
      </c>
      <c r="K100" s="2">
        <f t="shared" si="86"/>
        <v>536.75999999999988</v>
      </c>
      <c r="L100" s="11">
        <v>9.6199999999999992</v>
      </c>
      <c r="M100" s="20">
        <f t="shared" si="87"/>
        <v>0</v>
      </c>
      <c r="N100" s="21" t="str">
        <f t="shared" si="88"/>
        <v>-</v>
      </c>
      <c r="O100" s="1">
        <f t="shared" si="73"/>
        <v>0.4612676056338037</v>
      </c>
      <c r="P100" s="1" t="str">
        <f t="shared" si="74"/>
        <v/>
      </c>
      <c r="Q100" s="11"/>
      <c r="R100" s="11">
        <f>VLOOKUP(D100,prices!$A$2:$B$19,2)</f>
        <v>9.84</v>
      </c>
      <c r="S100" s="1">
        <f t="shared" si="80"/>
        <v>247.59000000000043</v>
      </c>
      <c r="T100" s="1">
        <f t="shared" si="89"/>
        <v>0.78600000000000136</v>
      </c>
      <c r="U100" s="1">
        <f t="shared" si="75"/>
        <v>3022.1099999999997</v>
      </c>
      <c r="V100" s="25">
        <f t="shared" ref="V100:V133" si="90">S100/U100</f>
        <v>8.192620387742354E-2</v>
      </c>
      <c r="W100" s="1">
        <f t="shared" si="83"/>
        <v>3269.7000000000003</v>
      </c>
      <c r="X100" s="6">
        <f t="shared" si="84"/>
        <v>0</v>
      </c>
      <c r="Y100"/>
      <c r="Z100" s="21"/>
    </row>
    <row r="101" spans="1:26" hidden="1">
      <c r="A101" t="s">
        <v>23</v>
      </c>
      <c r="B101" t="s">
        <v>26</v>
      </c>
      <c r="C101" s="95">
        <v>70</v>
      </c>
      <c r="D101" t="s">
        <v>35</v>
      </c>
      <c r="E101" s="2">
        <v>110</v>
      </c>
      <c r="F101" s="1"/>
      <c r="G101" s="1">
        <v>8.7899999999999991</v>
      </c>
      <c r="H101" s="11">
        <v>10.381</v>
      </c>
      <c r="I101" s="20">
        <v>7.82</v>
      </c>
      <c r="J101" s="20">
        <f t="shared" si="85"/>
        <v>0.96999999999999886</v>
      </c>
      <c r="K101" s="2">
        <f t="shared" si="86"/>
        <v>106.69999999999987</v>
      </c>
      <c r="L101" s="11">
        <v>9.6199999999999992</v>
      </c>
      <c r="M101" s="20">
        <f t="shared" si="87"/>
        <v>0</v>
      </c>
      <c r="N101" s="21" t="str">
        <f t="shared" si="88"/>
        <v>-</v>
      </c>
      <c r="O101" s="1">
        <f t="shared" si="73"/>
        <v>1.6402061855670134</v>
      </c>
      <c r="P101" s="1" t="str">
        <f t="shared" si="74"/>
        <v/>
      </c>
      <c r="Q101" s="11"/>
      <c r="R101" s="11">
        <f>VLOOKUP(D101,prices!$A$2:$B$19,2)</f>
        <v>9.84</v>
      </c>
      <c r="S101" s="1">
        <f t="shared" si="80"/>
        <v>175.0100000000001</v>
      </c>
      <c r="T101" s="1">
        <f t="shared" si="89"/>
        <v>1.5910000000000011</v>
      </c>
      <c r="U101" s="1">
        <f t="shared" si="75"/>
        <v>966.89999999999986</v>
      </c>
      <c r="V101" s="25">
        <f t="shared" si="90"/>
        <v>0.18100113765642789</v>
      </c>
      <c r="W101" s="1">
        <f t="shared" si="83"/>
        <v>1141.9100000000001</v>
      </c>
      <c r="X101" s="6">
        <f t="shared" si="84"/>
        <v>0</v>
      </c>
      <c r="Y101"/>
      <c r="Z101" s="21"/>
    </row>
    <row r="102" spans="1:26" hidden="1">
      <c r="A102" t="s">
        <v>23</v>
      </c>
      <c r="B102" t="s">
        <v>26</v>
      </c>
      <c r="C102" s="95">
        <v>74</v>
      </c>
      <c r="D102" t="s">
        <v>35</v>
      </c>
      <c r="E102" s="2">
        <v>167</v>
      </c>
      <c r="F102" s="1"/>
      <c r="G102" s="1">
        <v>8.81</v>
      </c>
      <c r="H102" s="11">
        <v>10.381</v>
      </c>
      <c r="I102" s="20">
        <v>7.86</v>
      </c>
      <c r="J102" s="20">
        <f t="shared" si="85"/>
        <v>0.95000000000000018</v>
      </c>
      <c r="K102" s="2">
        <f t="shared" si="86"/>
        <v>158.65000000000003</v>
      </c>
      <c r="L102" s="11">
        <v>9.6199999999999992</v>
      </c>
      <c r="M102" s="20">
        <f t="shared" si="87"/>
        <v>0</v>
      </c>
      <c r="N102" s="21" t="str">
        <f t="shared" si="88"/>
        <v>-</v>
      </c>
      <c r="O102" s="1">
        <f t="shared" si="73"/>
        <v>1.6536842105263152</v>
      </c>
      <c r="P102" s="1" t="str">
        <f t="shared" si="74"/>
        <v/>
      </c>
      <c r="Q102" s="11"/>
      <c r="R102" s="11">
        <f>VLOOKUP(D102,prices!$A$2:$B$19,2)</f>
        <v>9.84</v>
      </c>
      <c r="S102" s="1">
        <f t="shared" si="80"/>
        <v>262.35699999999997</v>
      </c>
      <c r="T102" s="1">
        <f t="shared" si="89"/>
        <v>1.5709999999999997</v>
      </c>
      <c r="U102" s="1">
        <f t="shared" si="75"/>
        <v>1471.27</v>
      </c>
      <c r="V102" s="25">
        <f t="shared" si="90"/>
        <v>0.17832009080590236</v>
      </c>
      <c r="W102" s="1">
        <f t="shared" si="83"/>
        <v>1733.627</v>
      </c>
      <c r="X102" s="6">
        <f t="shared" si="84"/>
        <v>0</v>
      </c>
      <c r="Y102"/>
      <c r="Z102" s="21"/>
    </row>
    <row r="103" spans="1:26" hidden="1">
      <c r="A103" t="s">
        <v>23</v>
      </c>
      <c r="B103" t="s">
        <v>26</v>
      </c>
      <c r="C103" s="94">
        <v>89</v>
      </c>
      <c r="D103" t="s">
        <v>35</v>
      </c>
      <c r="E103" s="2">
        <v>220</v>
      </c>
      <c r="F103" s="1">
        <v>1</v>
      </c>
      <c r="G103" s="1">
        <v>10.086</v>
      </c>
      <c r="H103" s="11">
        <v>10.38</v>
      </c>
      <c r="I103" s="20">
        <v>7.86</v>
      </c>
      <c r="J103" s="20">
        <f t="shared" si="85"/>
        <v>2.226</v>
      </c>
      <c r="K103" s="2">
        <f t="shared" si="86"/>
        <v>489.71999999999997</v>
      </c>
      <c r="L103" s="11">
        <v>9.6199999999999992</v>
      </c>
      <c r="M103" s="20">
        <f t="shared" si="87"/>
        <v>0.46600000000000108</v>
      </c>
      <c r="N103" s="21" t="str">
        <f t="shared" si="88"/>
        <v>-</v>
      </c>
      <c r="O103" s="1">
        <f t="shared" si="73"/>
        <v>0.13207547169811343</v>
      </c>
      <c r="P103" s="1" t="str">
        <f t="shared" si="74"/>
        <v/>
      </c>
      <c r="Q103" s="11"/>
      <c r="R103" s="11">
        <f>VLOOKUP(D103,prices!$A$2:$B$19,2)</f>
        <v>9.84</v>
      </c>
      <c r="S103" s="1">
        <f t="shared" si="80"/>
        <v>63.680000000000106</v>
      </c>
      <c r="T103" s="1">
        <f t="shared" si="89"/>
        <v>0.29400000000000048</v>
      </c>
      <c r="U103" s="1">
        <f t="shared" si="75"/>
        <v>2218.92</v>
      </c>
      <c r="V103" s="25">
        <f t="shared" si="90"/>
        <v>2.8698646188235765E-2</v>
      </c>
      <c r="W103" s="1">
        <f t="shared" si="83"/>
        <v>2283.6000000000004</v>
      </c>
      <c r="X103" s="6">
        <f t="shared" si="84"/>
        <v>0</v>
      </c>
      <c r="Y103"/>
      <c r="Z103" s="28">
        <v>14654.917000000005</v>
      </c>
    </row>
    <row r="104" spans="1:26" hidden="1">
      <c r="A104" t="s">
        <v>6</v>
      </c>
      <c r="B104" t="s">
        <v>26</v>
      </c>
      <c r="C104" s="79">
        <v>90</v>
      </c>
      <c r="D104" t="s">
        <v>35</v>
      </c>
      <c r="E104" s="2">
        <v>178</v>
      </c>
      <c r="F104" s="1"/>
      <c r="G104" s="1">
        <v>10.09</v>
      </c>
      <c r="H104" s="11">
        <v>10.381</v>
      </c>
      <c r="I104" s="20">
        <v>9.0399999999999991</v>
      </c>
      <c r="J104" s="20">
        <f t="shared" si="85"/>
        <v>1.0500000000000007</v>
      </c>
      <c r="K104" s="2">
        <f t="shared" si="86"/>
        <v>186.90000000000012</v>
      </c>
      <c r="L104" s="11">
        <v>9.6199999999999992</v>
      </c>
      <c r="M104" s="20">
        <f t="shared" si="87"/>
        <v>0.47000000000000064</v>
      </c>
      <c r="N104" s="21" t="str">
        <f t="shared" si="88"/>
        <v>-</v>
      </c>
      <c r="O104" s="1">
        <f t="shared" si="73"/>
        <v>0.2771428571428573</v>
      </c>
      <c r="P104" s="1" t="str">
        <f t="shared" si="74"/>
        <v/>
      </c>
      <c r="Q104" s="11"/>
      <c r="R104" s="11">
        <f>VLOOKUP(D104,prices!$A$2:$B$19,2)</f>
        <v>9.84</v>
      </c>
      <c r="S104" s="1">
        <f t="shared" si="80"/>
        <v>51.798000000000066</v>
      </c>
      <c r="T104" s="1">
        <f t="shared" si="89"/>
        <v>0.29100000000000037</v>
      </c>
      <c r="U104" s="1">
        <f t="shared" si="75"/>
        <v>1796.02</v>
      </c>
      <c r="V104" s="25">
        <f t="shared" si="90"/>
        <v>2.8840436075322138E-2</v>
      </c>
      <c r="W104" s="1">
        <f t="shared" si="83"/>
        <v>1847.818</v>
      </c>
      <c r="X104" s="6">
        <f t="shared" si="84"/>
        <v>0</v>
      </c>
      <c r="Y104"/>
    </row>
    <row r="105" spans="1:26" hidden="1">
      <c r="A105" t="s">
        <v>6</v>
      </c>
      <c r="B105" t="s">
        <v>26</v>
      </c>
      <c r="C105" s="94">
        <v>98</v>
      </c>
      <c r="D105" t="s">
        <v>35</v>
      </c>
      <c r="E105" s="2">
        <v>131</v>
      </c>
      <c r="F105" s="1"/>
      <c r="G105" s="1">
        <v>10.46</v>
      </c>
      <c r="H105" s="11">
        <v>10.381</v>
      </c>
      <c r="I105" s="20">
        <v>9.25</v>
      </c>
      <c r="J105" s="20">
        <f t="shared" si="85"/>
        <v>1.2100000000000009</v>
      </c>
      <c r="K105" s="2">
        <f t="shared" si="86"/>
        <v>158.5100000000001</v>
      </c>
      <c r="L105" s="11">
        <v>9.6199999999999992</v>
      </c>
      <c r="M105" s="20">
        <f t="shared" si="87"/>
        <v>0.84000000000000163</v>
      </c>
      <c r="N105" s="21" t="str">
        <f t="shared" si="88"/>
        <v>-</v>
      </c>
      <c r="O105" s="1">
        <f t="shared" si="73"/>
        <v>-6.5289256198347578E-2</v>
      </c>
      <c r="P105" s="1" t="str">
        <f t="shared" si="74"/>
        <v/>
      </c>
      <c r="Q105" s="11"/>
      <c r="R105" s="11">
        <f>VLOOKUP(D105,prices!$A$2:$B$19,2)</f>
        <v>9.84</v>
      </c>
      <c r="S105" s="1">
        <f t="shared" si="80"/>
        <v>-10.349000000000082</v>
      </c>
      <c r="T105" s="1">
        <f t="shared" si="89"/>
        <v>-7.9000000000000625E-2</v>
      </c>
      <c r="U105" s="1">
        <f t="shared" si="75"/>
        <v>1370.2600000000002</v>
      </c>
      <c r="V105" s="25">
        <f t="shared" si="90"/>
        <v>-7.5525812619503451E-3</v>
      </c>
      <c r="W105" s="1">
        <f t="shared" si="83"/>
        <v>1359.9110000000001</v>
      </c>
      <c r="X105" s="6">
        <f t="shared" si="84"/>
        <v>0</v>
      </c>
      <c r="Y105"/>
    </row>
    <row r="106" spans="1:26" hidden="1">
      <c r="A106" t="s">
        <v>23</v>
      </c>
      <c r="B106" t="s">
        <v>26</v>
      </c>
      <c r="C106" s="79">
        <v>180</v>
      </c>
      <c r="D106" t="s">
        <v>35</v>
      </c>
      <c r="E106" s="2">
        <v>309</v>
      </c>
      <c r="F106" s="1"/>
      <c r="G106" s="1">
        <v>10.368</v>
      </c>
      <c r="H106" s="11">
        <v>11.08</v>
      </c>
      <c r="I106" s="20">
        <v>9.42</v>
      </c>
      <c r="J106" s="20">
        <f t="shared" si="85"/>
        <v>0.9480000000000004</v>
      </c>
      <c r="K106" s="2">
        <f t="shared" si="86"/>
        <v>292.93200000000013</v>
      </c>
      <c r="L106" s="11">
        <v>10.7</v>
      </c>
      <c r="M106" s="20">
        <f t="shared" si="87"/>
        <v>0</v>
      </c>
      <c r="N106" s="21" t="str">
        <f t="shared" si="88"/>
        <v>-</v>
      </c>
      <c r="O106" s="1">
        <f t="shared" si="73"/>
        <v>0.75105485232067448</v>
      </c>
      <c r="P106" s="1" t="str">
        <f t="shared" si="74"/>
        <v/>
      </c>
      <c r="Q106" s="11">
        <f>VLOOKUP($D106,prices!$A$2:$C$19,3)</f>
        <v>9.84</v>
      </c>
      <c r="R106" s="11">
        <f>VLOOKUP(D106,prices!$A$2:$B$19,2)</f>
        <v>9.84</v>
      </c>
      <c r="S106" s="55">
        <f t="shared" si="80"/>
        <v>220.00799999999992</v>
      </c>
      <c r="T106" s="55">
        <f t="shared" si="89"/>
        <v>0.71199999999999974</v>
      </c>
      <c r="U106" s="55">
        <f t="shared" si="75"/>
        <v>3203.712</v>
      </c>
      <c r="V106" s="42">
        <f t="shared" si="90"/>
        <v>6.8672839506172811E-2</v>
      </c>
      <c r="W106" s="55">
        <f t="shared" si="83"/>
        <v>3423.72</v>
      </c>
      <c r="X106" s="48">
        <f t="shared" si="84"/>
        <v>0</v>
      </c>
      <c r="Y106" s="68">
        <v>1</v>
      </c>
      <c r="Z106" s="28" t="str">
        <f>IF(B106="open",(R106-L106)*E106,"-")</f>
        <v>-</v>
      </c>
    </row>
    <row r="107" spans="1:26" ht="15" hidden="1" customHeight="1">
      <c r="A107" t="s">
        <v>23</v>
      </c>
      <c r="B107" t="s">
        <v>26</v>
      </c>
      <c r="C107" s="78">
        <v>210</v>
      </c>
      <c r="D107" t="s">
        <v>35</v>
      </c>
      <c r="E107" s="2">
        <v>185</v>
      </c>
      <c r="F107" s="1"/>
      <c r="G107" s="1">
        <v>11.603999999999999</v>
      </c>
      <c r="H107" s="11">
        <v>11.08</v>
      </c>
      <c r="I107" s="20">
        <v>10.34</v>
      </c>
      <c r="J107" s="20">
        <f t="shared" si="85"/>
        <v>1.2639999999999993</v>
      </c>
      <c r="K107" s="2">
        <f t="shared" si="86"/>
        <v>233.83999999999989</v>
      </c>
      <c r="L107" s="11">
        <v>10.4</v>
      </c>
      <c r="M107" s="20">
        <f t="shared" si="87"/>
        <v>1.2039999999999988</v>
      </c>
      <c r="N107" s="21" t="str">
        <f t="shared" si="88"/>
        <v>-</v>
      </c>
      <c r="O107" s="1">
        <f t="shared" si="73"/>
        <v>-0.414556962025316</v>
      </c>
      <c r="P107" s="1" t="str">
        <f t="shared" si="74"/>
        <v/>
      </c>
      <c r="Q107" s="11">
        <f>VLOOKUP($D107,prices!$A$2:$C$19,3)</f>
        <v>9.84</v>
      </c>
      <c r="R107" s="11">
        <f>VLOOKUP(D107,prices!$A$2:$B$19,2)</f>
        <v>9.84</v>
      </c>
      <c r="S107" s="55">
        <f t="shared" si="80"/>
        <v>-96.939999999999841</v>
      </c>
      <c r="T107" s="55">
        <f t="shared" si="89"/>
        <v>-0.52399999999999913</v>
      </c>
      <c r="U107" s="55">
        <f t="shared" si="75"/>
        <v>2146.7399999999998</v>
      </c>
      <c r="V107" s="42">
        <f t="shared" si="90"/>
        <v>-4.5156842468114376E-2</v>
      </c>
      <c r="W107" s="55">
        <f t="shared" si="83"/>
        <v>2049.8000000000002</v>
      </c>
      <c r="X107" s="48">
        <f t="shared" si="84"/>
        <v>0</v>
      </c>
      <c r="Y107" s="68">
        <v>1</v>
      </c>
      <c r="Z107" s="28" t="str">
        <f>IF(B107="open",(R107-L107)*E107,"-")</f>
        <v>-</v>
      </c>
    </row>
    <row r="108" spans="1:26" hidden="1">
      <c r="A108" t="s">
        <v>6</v>
      </c>
      <c r="B108" t="s">
        <v>26</v>
      </c>
      <c r="C108" s="58">
        <v>181</v>
      </c>
      <c r="D108" t="s">
        <v>35</v>
      </c>
      <c r="E108" s="2">
        <v>98</v>
      </c>
      <c r="F108" s="1"/>
      <c r="G108" s="1">
        <v>10.368</v>
      </c>
      <c r="H108" s="11">
        <v>11.08</v>
      </c>
      <c r="I108" s="20">
        <v>9.42</v>
      </c>
      <c r="J108" s="20">
        <f t="shared" si="85"/>
        <v>0.9480000000000004</v>
      </c>
      <c r="K108" s="2">
        <f t="shared" si="86"/>
        <v>92.904000000000039</v>
      </c>
      <c r="L108" s="11">
        <v>10.7</v>
      </c>
      <c r="M108" s="20">
        <f t="shared" si="87"/>
        <v>0</v>
      </c>
      <c r="N108" s="21" t="str">
        <f t="shared" si="88"/>
        <v>-</v>
      </c>
      <c r="O108" s="1">
        <f t="shared" si="73"/>
        <v>0.75105485232067448</v>
      </c>
      <c r="P108" s="1" t="str">
        <f t="shared" si="74"/>
        <v/>
      </c>
      <c r="Q108" s="11">
        <f>VLOOKUP($D108,prices!$A$2:$C$19,3)</f>
        <v>9.84</v>
      </c>
      <c r="R108" s="11">
        <f>VLOOKUP(D108,prices!$A$2:$B$19,2)</f>
        <v>9.84</v>
      </c>
      <c r="S108" s="55">
        <f t="shared" si="80"/>
        <v>69.775999999999982</v>
      </c>
      <c r="T108" s="55">
        <f t="shared" si="89"/>
        <v>0.71199999999999974</v>
      </c>
      <c r="U108" s="55">
        <f t="shared" si="75"/>
        <v>1016.0640000000001</v>
      </c>
      <c r="V108" s="42">
        <f t="shared" si="90"/>
        <v>6.8672839506172811E-2</v>
      </c>
      <c r="W108" s="55">
        <f t="shared" si="83"/>
        <v>1085.8399999999999</v>
      </c>
      <c r="X108" s="48">
        <f t="shared" si="84"/>
        <v>0</v>
      </c>
      <c r="Y108" s="68">
        <v>1</v>
      </c>
      <c r="Z108" s="28" t="str">
        <f>IF(B108="open",(R108-L108)*E108,"-")</f>
        <v>-</v>
      </c>
    </row>
    <row r="109" spans="1:26" ht="15" hidden="1" customHeight="1">
      <c r="A109" t="s">
        <v>6</v>
      </c>
      <c r="B109" t="s">
        <v>26</v>
      </c>
      <c r="C109" s="58">
        <v>211</v>
      </c>
      <c r="D109" t="s">
        <v>35</v>
      </c>
      <c r="E109" s="2">
        <v>68</v>
      </c>
      <c r="F109" s="1"/>
      <c r="G109" s="1">
        <v>11.6</v>
      </c>
      <c r="H109" s="11">
        <v>11.08</v>
      </c>
      <c r="I109" s="20">
        <v>10.34</v>
      </c>
      <c r="J109" s="20">
        <f t="shared" si="85"/>
        <v>1.2599999999999998</v>
      </c>
      <c r="K109" s="2">
        <f t="shared" si="86"/>
        <v>85.679999999999978</v>
      </c>
      <c r="L109" s="11">
        <v>10.4</v>
      </c>
      <c r="M109" s="20">
        <f t="shared" si="87"/>
        <v>1.1999999999999993</v>
      </c>
      <c r="N109" s="21" t="str">
        <f t="shared" si="88"/>
        <v>-</v>
      </c>
      <c r="O109" s="1">
        <f t="shared" si="73"/>
        <v>-0.41269841269841245</v>
      </c>
      <c r="P109" s="1" t="str">
        <f t="shared" si="74"/>
        <v/>
      </c>
      <c r="Q109" s="11">
        <f>VLOOKUP($D109,prices!$A$2:$C$19,3)</f>
        <v>9.84</v>
      </c>
      <c r="R109" s="11">
        <f>VLOOKUP(D109,prices!$A$2:$B$19,2)</f>
        <v>9.84</v>
      </c>
      <c r="S109" s="55">
        <f t="shared" si="80"/>
        <v>-35.359999999999971</v>
      </c>
      <c r="T109" s="55">
        <f t="shared" si="89"/>
        <v>-0.51999999999999957</v>
      </c>
      <c r="U109" s="55">
        <f t="shared" si="75"/>
        <v>788.8</v>
      </c>
      <c r="V109" s="42">
        <f t="shared" si="90"/>
        <v>-4.4827586206896516E-2</v>
      </c>
      <c r="W109" s="55">
        <f t="shared" si="83"/>
        <v>753.44</v>
      </c>
      <c r="X109" s="48">
        <f t="shared" si="84"/>
        <v>0</v>
      </c>
      <c r="Y109" s="68">
        <v>1</v>
      </c>
      <c r="Z109" s="28" t="str">
        <f>IF(B109="open",(R109-L109)*E109,"-")</f>
        <v>-</v>
      </c>
    </row>
    <row r="110" spans="1:26" ht="15" hidden="1" customHeight="1">
      <c r="A110" t="s">
        <v>23</v>
      </c>
      <c r="B110" t="s">
        <v>26</v>
      </c>
      <c r="C110" s="58">
        <v>143</v>
      </c>
      <c r="D110" t="s">
        <v>35</v>
      </c>
      <c r="E110" s="2">
        <v>325</v>
      </c>
      <c r="F110" s="1"/>
      <c r="G110" s="1">
        <v>10.64</v>
      </c>
      <c r="H110" s="11">
        <v>9.6329999999999991</v>
      </c>
      <c r="I110" s="20">
        <v>9.3800000000000008</v>
      </c>
      <c r="J110" s="20">
        <f t="shared" si="85"/>
        <v>1.2599999999999998</v>
      </c>
      <c r="K110" s="2">
        <f t="shared" si="86"/>
        <v>409.49999999999994</v>
      </c>
      <c r="L110" s="11">
        <v>9.65</v>
      </c>
      <c r="M110" s="20">
        <f t="shared" si="87"/>
        <v>0.99000000000000021</v>
      </c>
      <c r="N110" s="21" t="str">
        <f t="shared" si="88"/>
        <v>-</v>
      </c>
      <c r="O110" s="1">
        <f t="shared" si="73"/>
        <v>-0.79920634920635047</v>
      </c>
      <c r="P110" s="1" t="str">
        <f t="shared" si="74"/>
        <v/>
      </c>
      <c r="Q110" s="11">
        <f>VLOOKUP($D110,prices!$A$2:$C$19,3)</f>
        <v>9.84</v>
      </c>
      <c r="R110" s="11">
        <f>VLOOKUP(D110,prices!$A$2:$B$19,2)</f>
        <v>9.84</v>
      </c>
      <c r="S110" s="55">
        <f t="shared" si="80"/>
        <v>-327.27500000000049</v>
      </c>
      <c r="T110" s="55">
        <f t="shared" si="89"/>
        <v>-1.0070000000000014</v>
      </c>
      <c r="U110" s="55">
        <f t="shared" si="75"/>
        <v>3458</v>
      </c>
      <c r="V110" s="42">
        <f t="shared" si="90"/>
        <v>-9.4642857142857278E-2</v>
      </c>
      <c r="W110" s="55">
        <f t="shared" si="83"/>
        <v>3130.7249999999999</v>
      </c>
      <c r="X110" s="48">
        <f t="shared" si="84"/>
        <v>0</v>
      </c>
      <c r="Y110" s="68">
        <v>1</v>
      </c>
    </row>
    <row r="111" spans="1:26" ht="15" hidden="1" customHeight="1">
      <c r="A111" t="s">
        <v>6</v>
      </c>
      <c r="B111" t="s">
        <v>26</v>
      </c>
      <c r="C111" s="56">
        <v>144</v>
      </c>
      <c r="D111" t="s">
        <v>35</v>
      </c>
      <c r="E111" s="2">
        <v>102</v>
      </c>
      <c r="F111" s="1"/>
      <c r="G111" s="1">
        <v>10.64</v>
      </c>
      <c r="H111" s="11">
        <v>9.6270000000000007</v>
      </c>
      <c r="I111" s="20">
        <v>9.3800000000000008</v>
      </c>
      <c r="J111" s="20">
        <f t="shared" si="85"/>
        <v>1.2599999999999998</v>
      </c>
      <c r="K111" s="2">
        <f t="shared" si="86"/>
        <v>128.51999999999998</v>
      </c>
      <c r="L111" s="11">
        <v>9.65</v>
      </c>
      <c r="M111" s="20">
        <f t="shared" si="87"/>
        <v>0.99000000000000021</v>
      </c>
      <c r="N111" s="21" t="str">
        <f t="shared" si="88"/>
        <v>-</v>
      </c>
      <c r="O111" s="1">
        <f t="shared" si="73"/>
        <v>-0.803968253968254</v>
      </c>
      <c r="P111" s="1" t="str">
        <f t="shared" si="74"/>
        <v/>
      </c>
      <c r="Q111" s="11">
        <f>VLOOKUP($D111,prices!$A$2:$C$19,3)</f>
        <v>9.84</v>
      </c>
      <c r="R111" s="11">
        <f>VLOOKUP(D111,prices!$A$2:$B$19,2)</f>
        <v>9.84</v>
      </c>
      <c r="S111" s="55">
        <f t="shared" si="80"/>
        <v>-103.32599999999999</v>
      </c>
      <c r="T111" s="55">
        <f t="shared" si="89"/>
        <v>-1.0129999999999999</v>
      </c>
      <c r="U111" s="55">
        <f t="shared" si="75"/>
        <v>1085.28</v>
      </c>
      <c r="V111" s="42">
        <f t="shared" si="90"/>
        <v>-9.5206766917293226E-2</v>
      </c>
      <c r="W111" s="55">
        <f t="shared" si="83"/>
        <v>981.95400000000006</v>
      </c>
      <c r="X111" s="48">
        <f t="shared" si="84"/>
        <v>0</v>
      </c>
      <c r="Y111" s="68">
        <v>1</v>
      </c>
    </row>
    <row r="112" spans="1:26" ht="15" hidden="1" customHeight="1">
      <c r="A112" t="s">
        <v>23</v>
      </c>
      <c r="B112" t="s">
        <v>26</v>
      </c>
      <c r="C112" s="56">
        <v>1007</v>
      </c>
      <c r="D112" t="s">
        <v>35</v>
      </c>
      <c r="E112" s="2">
        <v>564</v>
      </c>
      <c r="F112" s="1"/>
      <c r="G112" s="1">
        <v>11.1198</v>
      </c>
      <c r="H112" s="11">
        <v>11.07</v>
      </c>
      <c r="I112" s="20">
        <v>10.38</v>
      </c>
      <c r="J112" s="20">
        <f t="shared" si="85"/>
        <v>0.7397999999999989</v>
      </c>
      <c r="K112" s="2">
        <f t="shared" si="86"/>
        <v>417.2471999999994</v>
      </c>
      <c r="L112" s="11">
        <v>11.26</v>
      </c>
      <c r="M112" s="20">
        <f t="shared" si="87"/>
        <v>0</v>
      </c>
      <c r="N112" s="21" t="str">
        <f t="shared" si="88"/>
        <v>-</v>
      </c>
      <c r="O112" s="1">
        <f t="shared" si="73"/>
        <v>-6.7315490673154191E-2</v>
      </c>
      <c r="P112" s="1" t="str">
        <f t="shared" si="74"/>
        <v/>
      </c>
      <c r="Q112" s="11">
        <f>VLOOKUP($D112,prices!$A$2:$C$19,3)</f>
        <v>9.84</v>
      </c>
      <c r="R112" s="11">
        <f>VLOOKUP(D112,prices!$A$2:$B$19,2)</f>
        <v>9.84</v>
      </c>
      <c r="S112" s="55">
        <f t="shared" si="80"/>
        <v>-28.087199999999662</v>
      </c>
      <c r="T112" s="55">
        <f t="shared" si="89"/>
        <v>-4.97999999999994E-2</v>
      </c>
      <c r="U112" s="55">
        <f t="shared" si="75"/>
        <v>6271.5671999999995</v>
      </c>
      <c r="V112" s="42">
        <f t="shared" si="90"/>
        <v>-4.4784978147088443E-3</v>
      </c>
      <c r="W112" s="55">
        <f t="shared" si="83"/>
        <v>6243.4800000000005</v>
      </c>
      <c r="X112" s="48">
        <f t="shared" si="84"/>
        <v>0</v>
      </c>
      <c r="Y112" s="68">
        <v>1</v>
      </c>
      <c r="Z112" s="29"/>
    </row>
    <row r="113" spans="1:25" ht="15" hidden="1" customHeight="1">
      <c r="A113" t="s">
        <v>6</v>
      </c>
      <c r="B113" t="s">
        <v>26</v>
      </c>
      <c r="C113" s="61">
        <v>1012</v>
      </c>
      <c r="D113" t="s">
        <v>35</v>
      </c>
      <c r="E113" s="2">
        <v>186</v>
      </c>
      <c r="F113" s="1"/>
      <c r="G113" s="1">
        <v>11.1198</v>
      </c>
      <c r="H113" s="11">
        <v>11.07</v>
      </c>
      <c r="I113" s="20">
        <v>10.38</v>
      </c>
      <c r="J113" s="20">
        <f t="shared" si="85"/>
        <v>0.7397999999999989</v>
      </c>
      <c r="K113" s="2">
        <f t="shared" si="86"/>
        <v>137.6027999999998</v>
      </c>
      <c r="L113" s="11">
        <v>11.26</v>
      </c>
      <c r="M113" s="20">
        <f t="shared" si="87"/>
        <v>0</v>
      </c>
      <c r="N113" s="21" t="str">
        <f t="shared" si="88"/>
        <v>-</v>
      </c>
      <c r="O113" s="1">
        <f t="shared" si="73"/>
        <v>-6.7315490673154191E-2</v>
      </c>
      <c r="P113" s="1" t="str">
        <f t="shared" si="74"/>
        <v/>
      </c>
      <c r="Q113" s="11">
        <f>VLOOKUP($D113,prices!$A$2:$C$19,3)</f>
        <v>9.84</v>
      </c>
      <c r="R113" s="11">
        <f>VLOOKUP(D113,prices!$A$2:$B$19,2)</f>
        <v>9.84</v>
      </c>
      <c r="S113" s="55">
        <f t="shared" si="80"/>
        <v>-9.2627999999998885</v>
      </c>
      <c r="T113" s="55">
        <f t="shared" si="89"/>
        <v>-4.97999999999994E-2</v>
      </c>
      <c r="U113" s="55">
        <f t="shared" si="75"/>
        <v>2068.2828</v>
      </c>
      <c r="V113" s="42">
        <f t="shared" si="90"/>
        <v>-4.4784978147088435E-3</v>
      </c>
      <c r="W113" s="55">
        <f t="shared" si="83"/>
        <v>2059.02</v>
      </c>
      <c r="X113" s="48">
        <f t="shared" si="84"/>
        <v>0</v>
      </c>
      <c r="Y113" s="68">
        <v>1</v>
      </c>
    </row>
    <row r="114" spans="1:25" ht="15" hidden="1" customHeight="1">
      <c r="A114" t="s">
        <v>23</v>
      </c>
      <c r="B114" t="s">
        <v>26</v>
      </c>
      <c r="C114" s="61">
        <v>1008</v>
      </c>
      <c r="D114" t="s">
        <v>35</v>
      </c>
      <c r="E114" s="2">
        <v>288</v>
      </c>
      <c r="F114" s="1"/>
      <c r="G114" s="1">
        <v>11.94</v>
      </c>
      <c r="H114" s="11">
        <v>11.07</v>
      </c>
      <c r="I114" s="20">
        <v>10.51</v>
      </c>
      <c r="J114" s="20">
        <f t="shared" si="85"/>
        <v>1.4299999999999997</v>
      </c>
      <c r="K114" s="2">
        <f t="shared" si="86"/>
        <v>411.83999999999992</v>
      </c>
      <c r="L114" s="11">
        <v>11.26</v>
      </c>
      <c r="M114" s="20">
        <f t="shared" si="87"/>
        <v>0.67999999999999972</v>
      </c>
      <c r="N114" s="21" t="str">
        <f t="shared" si="88"/>
        <v>-</v>
      </c>
      <c r="O114" s="1">
        <f t="shared" si="73"/>
        <v>-0.608391608391608</v>
      </c>
      <c r="P114" s="1" t="str">
        <f t="shared" si="74"/>
        <v/>
      </c>
      <c r="Q114" s="11">
        <f>VLOOKUP($D114,prices!$A$2:$C$19,3)</f>
        <v>9.84</v>
      </c>
      <c r="R114" s="11">
        <f>VLOOKUP(D114,prices!$A$2:$B$19,2)</f>
        <v>9.84</v>
      </c>
      <c r="S114" s="55">
        <f t="shared" ref="S114:S147" si="91">IF(ISNUMBER(E114),IF(B114="closed",(H114-G114)*E114,(R114-G114)*E114)-F114,"")</f>
        <v>-250.55999999999977</v>
      </c>
      <c r="T114" s="55">
        <f t="shared" si="89"/>
        <v>-0.86999999999999922</v>
      </c>
      <c r="U114" s="55">
        <f t="shared" si="75"/>
        <v>3438.72</v>
      </c>
      <c r="V114" s="42">
        <f t="shared" si="90"/>
        <v>-7.2864321608040142E-2</v>
      </c>
      <c r="W114" s="55">
        <f t="shared" si="83"/>
        <v>3188.16</v>
      </c>
      <c r="X114" s="48">
        <f t="shared" si="84"/>
        <v>0</v>
      </c>
      <c r="Y114" s="68">
        <v>4</v>
      </c>
    </row>
    <row r="115" spans="1:25" ht="15" hidden="1" customHeight="1">
      <c r="A115" t="s">
        <v>6</v>
      </c>
      <c r="B115" t="s">
        <v>26</v>
      </c>
      <c r="C115" s="49">
        <v>1013</v>
      </c>
      <c r="D115" t="s">
        <v>35</v>
      </c>
      <c r="E115" s="2">
        <v>87</v>
      </c>
      <c r="F115" s="1"/>
      <c r="G115" s="1">
        <v>11.94</v>
      </c>
      <c r="H115" s="11">
        <v>11.07</v>
      </c>
      <c r="I115" s="20">
        <v>10.51</v>
      </c>
      <c r="J115" s="20">
        <f t="shared" si="85"/>
        <v>1.4299999999999997</v>
      </c>
      <c r="K115" s="2">
        <f t="shared" si="86"/>
        <v>124.40999999999997</v>
      </c>
      <c r="L115" s="11">
        <v>11.26</v>
      </c>
      <c r="M115" s="20">
        <f t="shared" si="87"/>
        <v>0.67999999999999972</v>
      </c>
      <c r="N115" s="21" t="str">
        <f t="shared" si="88"/>
        <v>-</v>
      </c>
      <c r="O115" s="1">
        <f t="shared" si="73"/>
        <v>-0.608391608391608</v>
      </c>
      <c r="P115" s="1" t="str">
        <f t="shared" si="74"/>
        <v/>
      </c>
      <c r="Q115" s="11">
        <f>VLOOKUP($D115,prices!$A$2:$C$19,3)</f>
        <v>9.84</v>
      </c>
      <c r="R115" s="11">
        <f>VLOOKUP(D115,prices!$A$2:$B$19,2)</f>
        <v>9.84</v>
      </c>
      <c r="S115" s="55">
        <f t="shared" si="91"/>
        <v>-75.689999999999927</v>
      </c>
      <c r="T115" s="55">
        <f t="shared" si="89"/>
        <v>-0.86999999999999922</v>
      </c>
      <c r="U115" s="55">
        <f t="shared" si="75"/>
        <v>1038.78</v>
      </c>
      <c r="V115" s="42">
        <f t="shared" si="90"/>
        <v>-7.2864321608040128E-2</v>
      </c>
      <c r="W115" s="55">
        <f t="shared" si="83"/>
        <v>963.09</v>
      </c>
      <c r="X115" s="48">
        <f t="shared" si="84"/>
        <v>0</v>
      </c>
      <c r="Y115" s="68">
        <v>4</v>
      </c>
    </row>
    <row r="116" spans="1:25" ht="15" hidden="1" customHeight="1">
      <c r="A116" t="s">
        <v>23</v>
      </c>
      <c r="B116" t="s">
        <v>26</v>
      </c>
      <c r="C116" s="49">
        <v>1009</v>
      </c>
      <c r="D116" t="s">
        <v>35</v>
      </c>
      <c r="E116" s="2">
        <v>288</v>
      </c>
      <c r="F116" s="1"/>
      <c r="G116" s="1">
        <v>12.519</v>
      </c>
      <c r="H116" s="11">
        <v>11.058</v>
      </c>
      <c r="I116" s="20">
        <v>11.08</v>
      </c>
      <c r="J116" s="20">
        <f t="shared" si="85"/>
        <v>1.4390000000000001</v>
      </c>
      <c r="K116" s="2">
        <f t="shared" si="86"/>
        <v>414.43200000000002</v>
      </c>
      <c r="L116" s="11">
        <v>11.26</v>
      </c>
      <c r="M116" s="20">
        <f t="shared" si="87"/>
        <v>1.2590000000000003</v>
      </c>
      <c r="N116" s="21" t="str">
        <f t="shared" si="88"/>
        <v>-</v>
      </c>
      <c r="O116" s="1">
        <f t="shared" si="73"/>
        <v>-1.0152883947185547</v>
      </c>
      <c r="P116" s="1" t="str">
        <f t="shared" si="74"/>
        <v/>
      </c>
      <c r="Q116" s="11">
        <f>VLOOKUP($D116,prices!$A$2:$C$19,3)</f>
        <v>9.84</v>
      </c>
      <c r="R116" s="11">
        <f>VLOOKUP(D116,prices!$A$2:$B$19,2)</f>
        <v>9.84</v>
      </c>
      <c r="S116" s="55">
        <f t="shared" si="91"/>
        <v>-420.76800000000009</v>
      </c>
      <c r="T116" s="55">
        <f t="shared" si="89"/>
        <v>-1.4610000000000003</v>
      </c>
      <c r="U116" s="55">
        <f t="shared" si="75"/>
        <v>3605.4720000000002</v>
      </c>
      <c r="V116" s="42">
        <f t="shared" si="90"/>
        <v>-0.11670261202971485</v>
      </c>
      <c r="W116" s="55">
        <f t="shared" si="83"/>
        <v>3184.7039999999997</v>
      </c>
      <c r="X116" s="48">
        <f t="shared" si="84"/>
        <v>0</v>
      </c>
      <c r="Y116"/>
    </row>
    <row r="117" spans="1:25" ht="15" hidden="1" customHeight="1">
      <c r="A117" t="s">
        <v>6</v>
      </c>
      <c r="B117" t="s">
        <v>26</v>
      </c>
      <c r="C117" s="49">
        <v>1014</v>
      </c>
      <c r="D117" t="s">
        <v>35</v>
      </c>
      <c r="E117" s="2">
        <v>95</v>
      </c>
      <c r="F117" s="1"/>
      <c r="G117" s="1">
        <v>12.519</v>
      </c>
      <c r="H117" s="11">
        <v>11.058</v>
      </c>
      <c r="I117" s="20">
        <v>11.08</v>
      </c>
      <c r="J117" s="20">
        <f t="shared" si="85"/>
        <v>1.4390000000000001</v>
      </c>
      <c r="K117" s="2">
        <f t="shared" si="86"/>
        <v>136.70500000000001</v>
      </c>
      <c r="L117" s="11">
        <v>11.26</v>
      </c>
      <c r="M117" s="20">
        <f t="shared" si="87"/>
        <v>1.2590000000000003</v>
      </c>
      <c r="N117" s="21" t="str">
        <f t="shared" si="88"/>
        <v>-</v>
      </c>
      <c r="O117" s="1">
        <f t="shared" si="73"/>
        <v>-1.0152883947185547</v>
      </c>
      <c r="P117" s="1" t="str">
        <f t="shared" si="74"/>
        <v/>
      </c>
      <c r="Q117" s="11">
        <f>VLOOKUP($D117,prices!$A$2:$C$19,3)</f>
        <v>9.84</v>
      </c>
      <c r="R117" s="11">
        <f>VLOOKUP(D117,prices!$A$2:$B$19,2)</f>
        <v>9.84</v>
      </c>
      <c r="S117" s="55">
        <f t="shared" si="91"/>
        <v>-138.79500000000002</v>
      </c>
      <c r="T117" s="55">
        <f t="shared" si="89"/>
        <v>-1.4610000000000003</v>
      </c>
      <c r="U117" s="55">
        <f t="shared" si="75"/>
        <v>1189.3050000000001</v>
      </c>
      <c r="V117" s="42">
        <f t="shared" si="90"/>
        <v>-0.11670261202971484</v>
      </c>
      <c r="W117" s="55">
        <f t="shared" si="83"/>
        <v>1050.51</v>
      </c>
      <c r="X117" s="48">
        <f t="shared" si="84"/>
        <v>0</v>
      </c>
      <c r="Y117"/>
    </row>
    <row r="118" spans="1:25" ht="15" hidden="1" customHeight="1">
      <c r="A118" t="s">
        <v>23</v>
      </c>
      <c r="B118" t="s">
        <v>26</v>
      </c>
      <c r="C118" s="59">
        <v>1010</v>
      </c>
      <c r="D118" t="s">
        <v>35</v>
      </c>
      <c r="E118" s="2">
        <v>200</v>
      </c>
      <c r="F118" s="1"/>
      <c r="G118" s="1">
        <v>9.59</v>
      </c>
      <c r="H118" s="11">
        <v>11.058</v>
      </c>
      <c r="I118" s="20">
        <v>8.5</v>
      </c>
      <c r="J118" s="20">
        <f t="shared" si="85"/>
        <v>1.0899999999999999</v>
      </c>
      <c r="K118" s="2">
        <f t="shared" si="86"/>
        <v>217.99999999999997</v>
      </c>
      <c r="L118" s="11">
        <v>11.26</v>
      </c>
      <c r="M118" s="20">
        <f t="shared" si="87"/>
        <v>0</v>
      </c>
      <c r="N118" s="21" t="str">
        <f t="shared" si="88"/>
        <v>-</v>
      </c>
      <c r="O118" s="1">
        <f t="shared" si="73"/>
        <v>1.3467889908256883</v>
      </c>
      <c r="P118" s="1" t="str">
        <f t="shared" si="74"/>
        <v/>
      </c>
      <c r="Q118" s="11">
        <f>VLOOKUP($D118,prices!$A$2:$C$19,3)</f>
        <v>9.84</v>
      </c>
      <c r="R118" s="11">
        <f>VLOOKUP(D118,prices!$A$2:$B$19,2)</f>
        <v>9.84</v>
      </c>
      <c r="S118" s="55">
        <f t="shared" si="91"/>
        <v>293.60000000000002</v>
      </c>
      <c r="T118" s="55">
        <f t="shared" si="89"/>
        <v>1.468</v>
      </c>
      <c r="U118" s="55">
        <f t="shared" si="75"/>
        <v>1918</v>
      </c>
      <c r="V118" s="42">
        <f t="shared" si="90"/>
        <v>0.15307612095933265</v>
      </c>
      <c r="W118" s="55">
        <f t="shared" si="83"/>
        <v>2211.6</v>
      </c>
      <c r="X118" s="48">
        <f t="shared" si="84"/>
        <v>0</v>
      </c>
      <c r="Y118"/>
    </row>
    <row r="119" spans="1:25" ht="15" hidden="1" customHeight="1">
      <c r="A119" t="s">
        <v>23</v>
      </c>
      <c r="B119" t="s">
        <v>26</v>
      </c>
      <c r="C119" s="59">
        <v>1011</v>
      </c>
      <c r="D119" t="s">
        <v>35</v>
      </c>
      <c r="E119" s="2">
        <v>274</v>
      </c>
      <c r="F119" s="1"/>
      <c r="G119" s="1">
        <v>12.85</v>
      </c>
      <c r="H119" s="11">
        <v>11.058</v>
      </c>
      <c r="I119" s="20">
        <v>11.34</v>
      </c>
      <c r="J119" s="20">
        <f t="shared" si="85"/>
        <v>1.5099999999999998</v>
      </c>
      <c r="K119" s="2">
        <f t="shared" si="86"/>
        <v>413.73999999999995</v>
      </c>
      <c r="L119" s="11">
        <v>11.26</v>
      </c>
      <c r="M119" s="20">
        <f t="shared" si="87"/>
        <v>1.5899999999999999</v>
      </c>
      <c r="N119" s="21" t="str">
        <f t="shared" si="88"/>
        <v>-</v>
      </c>
      <c r="O119" s="1">
        <f t="shared" si="73"/>
        <v>-1.1867549668874173</v>
      </c>
      <c r="P119" s="1" t="str">
        <f t="shared" si="74"/>
        <v/>
      </c>
      <c r="Q119" s="11">
        <f>VLOOKUP($D119,prices!$A$2:$C$19,3)</f>
        <v>9.84</v>
      </c>
      <c r="R119" s="11">
        <f>VLOOKUP(D119,prices!$A$2:$B$19,2)</f>
        <v>9.84</v>
      </c>
      <c r="S119" s="55">
        <f t="shared" si="91"/>
        <v>-491.00799999999992</v>
      </c>
      <c r="T119" s="55">
        <f t="shared" si="89"/>
        <v>-1.7919999999999998</v>
      </c>
      <c r="U119" s="55">
        <f t="shared" si="75"/>
        <v>3520.9</v>
      </c>
      <c r="V119" s="42">
        <f t="shared" si="90"/>
        <v>-0.13945525291828792</v>
      </c>
      <c r="W119" s="55">
        <f t="shared" si="83"/>
        <v>3029.8919999999998</v>
      </c>
      <c r="X119" s="48">
        <f t="shared" si="84"/>
        <v>0</v>
      </c>
      <c r="Y119"/>
    </row>
    <row r="120" spans="1:25" ht="15" hidden="1" customHeight="1">
      <c r="A120" t="s">
        <v>6</v>
      </c>
      <c r="B120" t="s">
        <v>26</v>
      </c>
      <c r="C120" s="49">
        <v>1015</v>
      </c>
      <c r="D120" t="s">
        <v>35</v>
      </c>
      <c r="E120" s="2">
        <v>91</v>
      </c>
      <c r="F120" s="1"/>
      <c r="G120" s="1">
        <v>12.85</v>
      </c>
      <c r="H120" s="11">
        <v>11.058</v>
      </c>
      <c r="I120" s="20">
        <v>11.34</v>
      </c>
      <c r="J120" s="20">
        <f t="shared" si="85"/>
        <v>1.5099999999999998</v>
      </c>
      <c r="K120" s="2">
        <f t="shared" si="86"/>
        <v>137.40999999999997</v>
      </c>
      <c r="L120" s="11">
        <v>11.26</v>
      </c>
      <c r="M120" s="20">
        <f t="shared" si="87"/>
        <v>1.5899999999999999</v>
      </c>
      <c r="N120" s="21" t="str">
        <f t="shared" si="88"/>
        <v>-</v>
      </c>
      <c r="O120" s="1">
        <f t="shared" si="73"/>
        <v>-1.1867549668874173</v>
      </c>
      <c r="P120" s="1" t="str">
        <f t="shared" si="74"/>
        <v/>
      </c>
      <c r="Q120" s="11">
        <f>VLOOKUP($D120,prices!$A$2:$C$19,3)</f>
        <v>9.84</v>
      </c>
      <c r="R120" s="11">
        <f>VLOOKUP(D120,prices!$A$2:$B$19,2)</f>
        <v>9.84</v>
      </c>
      <c r="S120" s="55">
        <f t="shared" si="91"/>
        <v>-163.07199999999997</v>
      </c>
      <c r="T120" s="55">
        <f t="shared" si="89"/>
        <v>-1.7919999999999998</v>
      </c>
      <c r="U120" s="55">
        <f t="shared" si="75"/>
        <v>1169.3499999999999</v>
      </c>
      <c r="V120" s="42">
        <f t="shared" si="90"/>
        <v>-0.13945525291828792</v>
      </c>
      <c r="W120" s="55">
        <f t="shared" si="83"/>
        <v>1006.278</v>
      </c>
      <c r="X120" s="48">
        <f t="shared" si="84"/>
        <v>0</v>
      </c>
      <c r="Y120"/>
    </row>
    <row r="121" spans="1:25" ht="15" customHeight="1">
      <c r="A121" t="s">
        <v>23</v>
      </c>
      <c r="B121" t="s">
        <v>25</v>
      </c>
      <c r="C121" s="109">
        <v>1059</v>
      </c>
      <c r="D121" t="s">
        <v>78</v>
      </c>
      <c r="E121" s="2">
        <v>158</v>
      </c>
      <c r="F121" s="1"/>
      <c r="G121" s="1">
        <v>20.018999999999998</v>
      </c>
      <c r="H121" s="11" t="s">
        <v>29</v>
      </c>
      <c r="I121" s="20">
        <v>17.53</v>
      </c>
      <c r="J121" s="20">
        <f t="shared" si="85"/>
        <v>2.4889999999999972</v>
      </c>
      <c r="K121" s="2">
        <f t="shared" si="86"/>
        <v>393.26199999999955</v>
      </c>
      <c r="L121" s="11">
        <v>19.55</v>
      </c>
      <c r="M121" s="20">
        <f t="shared" si="87"/>
        <v>0.46899999999999764</v>
      </c>
      <c r="N121" s="21">
        <f t="shared" si="88"/>
        <v>74.101999999999634</v>
      </c>
      <c r="O121" s="1" t="str">
        <f t="shared" si="73"/>
        <v/>
      </c>
      <c r="P121" s="1">
        <f t="shared" si="74"/>
        <v>1.2458818802732046</v>
      </c>
      <c r="Q121" s="11">
        <f>VLOOKUP($D121,prices!$A$2:$C$19,3)</f>
        <v>23.07</v>
      </c>
      <c r="R121" s="11">
        <f>VLOOKUP(D121,prices!$A$2:$B$19,2)</f>
        <v>23.12</v>
      </c>
      <c r="S121" s="55">
        <f t="shared" si="91"/>
        <v>489.95800000000042</v>
      </c>
      <c r="T121" s="55">
        <f t="shared" si="89"/>
        <v>3.1010000000000026</v>
      </c>
      <c r="U121" s="55">
        <f t="shared" si="75"/>
        <v>3163.002</v>
      </c>
      <c r="V121" s="42">
        <f t="shared" si="90"/>
        <v>0.15490284229981532</v>
      </c>
      <c r="W121" s="55">
        <f t="shared" si="83"/>
        <v>3652.96</v>
      </c>
      <c r="X121" s="48">
        <f t="shared" si="84"/>
        <v>7.9000000000001123</v>
      </c>
      <c r="Y121"/>
    </row>
    <row r="122" spans="1:25" ht="15" customHeight="1">
      <c r="A122" t="s">
        <v>6</v>
      </c>
      <c r="B122" t="s">
        <v>25</v>
      </c>
      <c r="C122" s="109">
        <v>1060</v>
      </c>
      <c r="D122" t="s">
        <v>78</v>
      </c>
      <c r="E122" s="2">
        <v>46</v>
      </c>
      <c r="F122" s="1"/>
      <c r="G122" s="1">
        <v>20.018999999999998</v>
      </c>
      <c r="H122" s="11" t="s">
        <v>29</v>
      </c>
      <c r="I122" s="20">
        <v>17.53</v>
      </c>
      <c r="J122" s="20">
        <f t="shared" ref="J122" si="92">IF(AND(ISNUMBER(G122),ISNUMBER(I122)),G122-I122,"-")</f>
        <v>2.4889999999999972</v>
      </c>
      <c r="K122" s="2">
        <f t="shared" ref="K122" si="93">IFERROR(E122*J122,"-")</f>
        <v>114.49399999999987</v>
      </c>
      <c r="L122" s="11">
        <v>19.55</v>
      </c>
      <c r="M122" s="20">
        <f t="shared" ref="M122" si="94">IF(AND(ISNUMBER(G122),ISNUMBER(L122)),MAX(0,G122-L122),"-")</f>
        <v>0.46899999999999764</v>
      </c>
      <c r="N122" s="21">
        <f t="shared" ref="N122" si="95">IF(B122="open",M122*E122,"-")</f>
        <v>21.573999999999891</v>
      </c>
      <c r="O122" s="1" t="str">
        <f t="shared" ref="O122" si="96">IF(ISNUMBER(H122),(H122-G122)/J122,"")</f>
        <v/>
      </c>
      <c r="P122" s="1">
        <f t="shared" ref="P122" si="97">IF(B122="open",IF(ISNUMBER(R122),(R122-$G122)/$J122,""),"")</f>
        <v>1.2458818802732046</v>
      </c>
      <c r="Q122" s="11">
        <f>VLOOKUP($D122,prices!$A$2:$C$19,3)</f>
        <v>23.07</v>
      </c>
      <c r="R122" s="11">
        <f>VLOOKUP(D122,prices!$A$2:$B$19,2)</f>
        <v>23.12</v>
      </c>
      <c r="S122" s="55">
        <f t="shared" ref="S122" si="98">IF(ISNUMBER(E122),IF(B122="closed",(H122-G122)*E122,(R122-G122)*E122)-F122,"")</f>
        <v>142.64600000000013</v>
      </c>
      <c r="T122" s="55">
        <f t="shared" si="89"/>
        <v>3.1010000000000026</v>
      </c>
      <c r="U122" s="55">
        <f t="shared" ref="U122" si="99">E122*G122</f>
        <v>920.87399999999991</v>
      </c>
      <c r="V122" s="42">
        <f t="shared" ref="V122" si="100">S122/U122</f>
        <v>0.15490284229981532</v>
      </c>
      <c r="W122" s="55">
        <f t="shared" ref="W122" si="101">IF(B122="closed",H122*E122,R122*E122)</f>
        <v>1063.52</v>
      </c>
      <c r="X122" s="48">
        <f t="shared" ref="X122" si="102">IF(B122="open",(R122-Q122)*E122,0)</f>
        <v>2.3000000000000327</v>
      </c>
      <c r="Y122"/>
    </row>
    <row r="123" spans="1:25" ht="15" hidden="1" customHeight="1">
      <c r="A123" t="s">
        <v>23</v>
      </c>
      <c r="B123" t="s">
        <v>26</v>
      </c>
      <c r="C123" s="26">
        <v>1029</v>
      </c>
      <c r="D123" t="s">
        <v>35</v>
      </c>
      <c r="E123" s="2">
        <v>266</v>
      </c>
      <c r="F123" s="1"/>
      <c r="G123" s="1">
        <v>9.41</v>
      </c>
      <c r="H123" s="11">
        <v>9.41</v>
      </c>
      <c r="I123" s="20">
        <v>7.74</v>
      </c>
      <c r="J123" s="20">
        <f t="shared" si="85"/>
        <v>1.67</v>
      </c>
      <c r="K123" s="2">
        <f t="shared" si="86"/>
        <v>444.21999999999997</v>
      </c>
      <c r="L123" s="11">
        <v>9.41</v>
      </c>
      <c r="M123" s="20">
        <f t="shared" si="87"/>
        <v>0</v>
      </c>
      <c r="N123" s="21" t="str">
        <f t="shared" si="88"/>
        <v>-</v>
      </c>
      <c r="O123" s="1">
        <f t="shared" si="73"/>
        <v>0</v>
      </c>
      <c r="P123" s="1" t="str">
        <f t="shared" si="74"/>
        <v/>
      </c>
      <c r="Q123" s="11">
        <f>VLOOKUP($D123,prices!$A$2:$C$19,3)</f>
        <v>9.84</v>
      </c>
      <c r="R123" s="11">
        <f>VLOOKUP(D123,prices!$A$2:$B$19,2)</f>
        <v>9.84</v>
      </c>
      <c r="S123" s="55">
        <f t="shared" si="91"/>
        <v>0</v>
      </c>
      <c r="T123" s="55">
        <f t="shared" si="89"/>
        <v>0</v>
      </c>
      <c r="U123" s="55">
        <f t="shared" si="75"/>
        <v>2503.06</v>
      </c>
      <c r="V123" s="42">
        <f t="shared" si="90"/>
        <v>0</v>
      </c>
      <c r="W123" s="55">
        <f t="shared" si="83"/>
        <v>2503.06</v>
      </c>
      <c r="X123" s="48">
        <f t="shared" si="84"/>
        <v>0</v>
      </c>
      <c r="Y123"/>
    </row>
    <row r="124" spans="1:25" ht="15" hidden="1" customHeight="1">
      <c r="A124" t="s">
        <v>6</v>
      </c>
      <c r="B124" t="s">
        <v>26</v>
      </c>
      <c r="C124" s="75">
        <v>1028</v>
      </c>
      <c r="D124" t="s">
        <v>35</v>
      </c>
      <c r="E124" s="2">
        <v>80</v>
      </c>
      <c r="F124" s="1"/>
      <c r="G124" s="1">
        <v>9.41</v>
      </c>
      <c r="H124" s="11">
        <v>9.41</v>
      </c>
      <c r="I124" s="20">
        <v>7.74</v>
      </c>
      <c r="J124" s="20">
        <f t="shared" si="85"/>
        <v>1.67</v>
      </c>
      <c r="K124" s="2">
        <f t="shared" si="86"/>
        <v>133.6</v>
      </c>
      <c r="L124" s="11">
        <v>9.41</v>
      </c>
      <c r="M124" s="20">
        <f t="shared" si="87"/>
        <v>0</v>
      </c>
      <c r="N124" s="21" t="str">
        <f t="shared" si="88"/>
        <v>-</v>
      </c>
      <c r="O124" s="1">
        <f t="shared" si="73"/>
        <v>0</v>
      </c>
      <c r="P124" s="1" t="str">
        <f t="shared" si="74"/>
        <v/>
      </c>
      <c r="Q124" s="11">
        <f>VLOOKUP($D124,prices!$A$2:$C$19,3)</f>
        <v>9.84</v>
      </c>
      <c r="R124" s="11">
        <f>VLOOKUP(D124,prices!$A$2:$B$19,2)</f>
        <v>9.84</v>
      </c>
      <c r="S124" s="55">
        <f t="shared" si="91"/>
        <v>0</v>
      </c>
      <c r="T124" s="55">
        <f t="shared" si="89"/>
        <v>0</v>
      </c>
      <c r="U124" s="55">
        <f t="shared" si="75"/>
        <v>752.8</v>
      </c>
      <c r="V124" s="42">
        <f t="shared" si="90"/>
        <v>0</v>
      </c>
      <c r="W124" s="55">
        <f t="shared" si="83"/>
        <v>752.8</v>
      </c>
      <c r="X124" s="48">
        <f t="shared" si="84"/>
        <v>0</v>
      </c>
      <c r="Y124"/>
    </row>
    <row r="125" spans="1:25" ht="15" hidden="1" customHeight="1">
      <c r="A125" t="s">
        <v>23</v>
      </c>
      <c r="B125" t="s">
        <v>26</v>
      </c>
      <c r="C125" s="75">
        <v>178</v>
      </c>
      <c r="D125" t="s">
        <v>102</v>
      </c>
      <c r="E125" s="2">
        <v>630</v>
      </c>
      <c r="F125" s="1"/>
      <c r="G125" s="1">
        <v>4.9170600000000002</v>
      </c>
      <c r="H125" s="11">
        <v>5.3</v>
      </c>
      <c r="I125" s="20">
        <v>4.3600000000000003</v>
      </c>
      <c r="J125" s="20">
        <f t="shared" si="85"/>
        <v>0.55705999999999989</v>
      </c>
      <c r="K125" s="2">
        <f t="shared" si="86"/>
        <v>350.94779999999992</v>
      </c>
      <c r="L125" s="11">
        <v>4.3600000000000003</v>
      </c>
      <c r="M125" s="20">
        <f t="shared" si="87"/>
        <v>0.55705999999999989</v>
      </c>
      <c r="N125" s="21" t="str">
        <f t="shared" si="88"/>
        <v>-</v>
      </c>
      <c r="O125" s="1">
        <f t="shared" si="73"/>
        <v>0.68743043837288564</v>
      </c>
      <c r="P125" s="1" t="str">
        <f t="shared" si="74"/>
        <v/>
      </c>
      <c r="Q125" s="11">
        <f>VLOOKUP($D125,prices!$A$2:$C$19,3)</f>
        <v>9.84</v>
      </c>
      <c r="R125" s="11">
        <f>VLOOKUP(D125,prices!$A$2:$B$19,2)</f>
        <v>9.84</v>
      </c>
      <c r="S125" s="55">
        <f t="shared" si="91"/>
        <v>241.25219999999976</v>
      </c>
      <c r="T125" s="55">
        <f t="shared" si="89"/>
        <v>0.38293999999999961</v>
      </c>
      <c r="U125" s="55">
        <f t="shared" si="75"/>
        <v>3097.7478000000001</v>
      </c>
      <c r="V125" s="42">
        <f t="shared" si="90"/>
        <v>7.7879871305210763E-2</v>
      </c>
      <c r="W125" s="55">
        <f t="shared" si="83"/>
        <v>3339</v>
      </c>
      <c r="X125" s="48">
        <f t="shared" si="84"/>
        <v>0</v>
      </c>
      <c r="Y125"/>
    </row>
    <row r="126" spans="1:25" hidden="1">
      <c r="A126" t="s">
        <v>6</v>
      </c>
      <c r="B126" t="s">
        <v>26</v>
      </c>
      <c r="C126" s="96">
        <v>179</v>
      </c>
      <c r="D126" t="s">
        <v>102</v>
      </c>
      <c r="E126" s="2">
        <v>207</v>
      </c>
      <c r="F126" s="1"/>
      <c r="G126" s="1">
        <v>4.9089999999999998</v>
      </c>
      <c r="H126" s="11">
        <v>5.19</v>
      </c>
      <c r="I126" s="20">
        <v>4.3600000000000003</v>
      </c>
      <c r="J126" s="20">
        <f t="shared" si="85"/>
        <v>0.54899999999999949</v>
      </c>
      <c r="K126" s="2">
        <f t="shared" si="86"/>
        <v>113.64299999999989</v>
      </c>
      <c r="L126" s="11">
        <v>4.3600000000000003</v>
      </c>
      <c r="M126" s="20">
        <f t="shared" si="87"/>
        <v>0.54899999999999949</v>
      </c>
      <c r="N126" s="21" t="str">
        <f t="shared" si="88"/>
        <v>-</v>
      </c>
      <c r="O126" s="1">
        <f t="shared" si="73"/>
        <v>0.51183970856102157</v>
      </c>
      <c r="P126" s="1" t="str">
        <f t="shared" si="74"/>
        <v/>
      </c>
      <c r="Q126" s="11">
        <f>VLOOKUP($D126,prices!$A$2:$C$19,3)</f>
        <v>9.84</v>
      </c>
      <c r="R126" s="11">
        <f>VLOOKUP(D126,prices!$A$2:$B$19,2)</f>
        <v>9.84</v>
      </c>
      <c r="S126" s="55">
        <f t="shared" si="91"/>
        <v>58.167000000000122</v>
      </c>
      <c r="T126" s="55">
        <f t="shared" si="89"/>
        <v>0.28100000000000058</v>
      </c>
      <c r="U126" s="55">
        <f t="shared" si="75"/>
        <v>1016.163</v>
      </c>
      <c r="V126" s="42">
        <f t="shared" si="90"/>
        <v>5.7241800774088532E-2</v>
      </c>
      <c r="W126" s="55">
        <f t="shared" si="83"/>
        <v>1074.3300000000002</v>
      </c>
      <c r="X126" s="48">
        <f t="shared" si="84"/>
        <v>0</v>
      </c>
      <c r="Y126"/>
    </row>
    <row r="127" spans="1:25" hidden="1">
      <c r="A127" t="s">
        <v>23</v>
      </c>
      <c r="B127" t="s">
        <v>26</v>
      </c>
      <c r="C127" s="96">
        <v>158</v>
      </c>
      <c r="D127" t="s">
        <v>93</v>
      </c>
      <c r="E127" s="2">
        <v>556</v>
      </c>
      <c r="F127" s="1"/>
      <c r="G127" s="1">
        <v>1.7430000000000001</v>
      </c>
      <c r="H127" s="11">
        <v>1.381</v>
      </c>
      <c r="I127" s="20">
        <v>1.38</v>
      </c>
      <c r="J127" s="20">
        <f t="shared" si="85"/>
        <v>0.36300000000000021</v>
      </c>
      <c r="K127" s="2">
        <f t="shared" si="86"/>
        <v>201.82800000000012</v>
      </c>
      <c r="L127" s="11">
        <v>1.38</v>
      </c>
      <c r="M127" s="20">
        <f t="shared" si="87"/>
        <v>0.36300000000000021</v>
      </c>
      <c r="N127" s="21" t="str">
        <f t="shared" si="88"/>
        <v>-</v>
      </c>
      <c r="O127" s="1">
        <f t="shared" si="73"/>
        <v>-0.99724517906336052</v>
      </c>
      <c r="P127" s="1" t="str">
        <f t="shared" si="74"/>
        <v/>
      </c>
      <c r="Q127" s="11">
        <f>VLOOKUP($D127,prices!$A$2:$C$19,3)</f>
        <v>9.84</v>
      </c>
      <c r="R127" s="11">
        <f>VLOOKUP(D127,prices!$A$2:$B$19,2)</f>
        <v>9.84</v>
      </c>
      <c r="S127" s="55">
        <f t="shared" si="91"/>
        <v>-201.27200000000005</v>
      </c>
      <c r="T127" s="55">
        <f t="shared" si="89"/>
        <v>-0.3620000000000001</v>
      </c>
      <c r="U127" s="55">
        <f t="shared" si="75"/>
        <v>969.10800000000006</v>
      </c>
      <c r="V127" s="42">
        <f t="shared" si="90"/>
        <v>-0.20768789443488242</v>
      </c>
      <c r="W127" s="55">
        <f t="shared" si="83"/>
        <v>767.83600000000001</v>
      </c>
      <c r="X127" s="48">
        <f t="shared" si="84"/>
        <v>0</v>
      </c>
      <c r="Y127"/>
    </row>
    <row r="128" spans="1:25" hidden="1">
      <c r="A128" t="s">
        <v>6</v>
      </c>
      <c r="B128" t="s">
        <v>26</v>
      </c>
      <c r="C128" s="83">
        <v>159</v>
      </c>
      <c r="D128" t="s">
        <v>93</v>
      </c>
      <c r="E128" s="2">
        <v>176</v>
      </c>
      <c r="F128" s="1"/>
      <c r="G128" s="1">
        <v>1.75</v>
      </c>
      <c r="H128" s="11">
        <v>1.381</v>
      </c>
      <c r="I128" s="20">
        <v>1.38</v>
      </c>
      <c r="J128" s="20">
        <f t="shared" si="85"/>
        <v>0.37000000000000011</v>
      </c>
      <c r="K128" s="2">
        <f t="shared" si="86"/>
        <v>65.120000000000019</v>
      </c>
      <c r="L128" s="11">
        <v>1.38</v>
      </c>
      <c r="M128" s="20">
        <f t="shared" si="87"/>
        <v>0.37000000000000011</v>
      </c>
      <c r="N128" s="21" t="str">
        <f t="shared" si="88"/>
        <v>-</v>
      </c>
      <c r="O128" s="1">
        <f t="shared" si="73"/>
        <v>-0.99729729729729699</v>
      </c>
      <c r="P128" s="1" t="str">
        <f t="shared" si="74"/>
        <v/>
      </c>
      <c r="Q128" s="11">
        <f>VLOOKUP($D128,prices!$A$2:$C$19,3)</f>
        <v>9.84</v>
      </c>
      <c r="R128" s="11">
        <f>VLOOKUP(D128,prices!$A$2:$B$19,2)</f>
        <v>9.84</v>
      </c>
      <c r="S128" s="55">
        <f t="shared" si="91"/>
        <v>-64.944000000000003</v>
      </c>
      <c r="T128" s="55">
        <f t="shared" si="89"/>
        <v>-0.36899999999999999</v>
      </c>
      <c r="U128" s="55">
        <f t="shared" si="75"/>
        <v>308</v>
      </c>
      <c r="V128" s="42">
        <f t="shared" si="90"/>
        <v>-0.21085714285714285</v>
      </c>
      <c r="W128" s="55">
        <f t="shared" si="83"/>
        <v>243.05600000000001</v>
      </c>
      <c r="X128" s="48">
        <f t="shared" si="84"/>
        <v>0</v>
      </c>
      <c r="Y128"/>
    </row>
    <row r="129" spans="1:26" hidden="1">
      <c r="A129" t="s">
        <v>23</v>
      </c>
      <c r="B129" t="s">
        <v>26</v>
      </c>
      <c r="C129" s="92">
        <v>39</v>
      </c>
      <c r="D129" t="s">
        <v>42</v>
      </c>
      <c r="E129" s="2">
        <v>73</v>
      </c>
      <c r="F129" s="1">
        <v>1.04</v>
      </c>
      <c r="G129" s="1">
        <v>22.64</v>
      </c>
      <c r="H129" s="11">
        <v>27.27</v>
      </c>
      <c r="I129" s="20">
        <v>20.51</v>
      </c>
      <c r="J129" s="20">
        <f t="shared" si="85"/>
        <v>2.129999999999999</v>
      </c>
      <c r="K129" s="2">
        <f t="shared" si="86"/>
        <v>155.48999999999992</v>
      </c>
      <c r="L129" s="11">
        <v>27.39</v>
      </c>
      <c r="M129" s="20">
        <f t="shared" si="87"/>
        <v>0</v>
      </c>
      <c r="N129" s="21" t="str">
        <f t="shared" si="88"/>
        <v>-</v>
      </c>
      <c r="O129" s="1">
        <f t="shared" si="73"/>
        <v>2.1737089201877939</v>
      </c>
      <c r="P129" s="1" t="str">
        <f t="shared" si="74"/>
        <v/>
      </c>
      <c r="Q129" s="11"/>
      <c r="R129" s="11">
        <f>VLOOKUP(D129,prices!$A$2:$B$19,2)</f>
        <v>9.84</v>
      </c>
      <c r="S129" s="1">
        <f t="shared" si="91"/>
        <v>336.94999999999993</v>
      </c>
      <c r="T129" s="1">
        <f t="shared" si="89"/>
        <v>4.629999999999999</v>
      </c>
      <c r="U129" s="1">
        <f t="shared" si="75"/>
        <v>1652.72</v>
      </c>
      <c r="V129" s="25">
        <f t="shared" si="90"/>
        <v>0.20387603465801826</v>
      </c>
      <c r="W129" s="1">
        <f t="shared" si="83"/>
        <v>1990.71</v>
      </c>
      <c r="X129" s="6">
        <f t="shared" si="84"/>
        <v>0</v>
      </c>
      <c r="Y129"/>
    </row>
    <row r="130" spans="1:26" hidden="1">
      <c r="A130" t="s">
        <v>23</v>
      </c>
      <c r="B130" t="s">
        <v>26</v>
      </c>
      <c r="C130" s="92">
        <v>106</v>
      </c>
      <c r="D130" t="s">
        <v>74</v>
      </c>
      <c r="E130" s="2">
        <v>163</v>
      </c>
      <c r="F130" s="1"/>
      <c r="G130" s="1">
        <v>22.74</v>
      </c>
      <c r="H130" s="11">
        <v>22.21</v>
      </c>
      <c r="I130" s="20">
        <v>21.52</v>
      </c>
      <c r="J130" s="20">
        <f t="shared" si="85"/>
        <v>1.2199999999999989</v>
      </c>
      <c r="K130" s="2">
        <f t="shared" si="86"/>
        <v>198.85999999999981</v>
      </c>
      <c r="L130" s="11">
        <v>22.22</v>
      </c>
      <c r="M130" s="20">
        <f t="shared" si="87"/>
        <v>0.51999999999999957</v>
      </c>
      <c r="N130" s="21" t="str">
        <f t="shared" si="88"/>
        <v>-</v>
      </c>
      <c r="O130" s="1">
        <f t="shared" si="73"/>
        <v>-0.43442622950819515</v>
      </c>
      <c r="P130" s="1" t="str">
        <f t="shared" si="74"/>
        <v/>
      </c>
      <c r="Q130" s="11"/>
      <c r="R130" s="11">
        <f>VLOOKUP(D130,prices!$A$2:$B$19,2)</f>
        <v>9.84</v>
      </c>
      <c r="S130" s="1">
        <f t="shared" si="91"/>
        <v>-86.389999999999603</v>
      </c>
      <c r="T130" s="1">
        <f t="shared" si="89"/>
        <v>-0.52999999999999758</v>
      </c>
      <c r="U130" s="1">
        <f t="shared" si="75"/>
        <v>3706.62</v>
      </c>
      <c r="V130" s="25">
        <f t="shared" si="90"/>
        <v>-2.3306948109058822E-2</v>
      </c>
      <c r="W130" s="1">
        <f t="shared" si="83"/>
        <v>3620.23</v>
      </c>
      <c r="X130" s="6">
        <f t="shared" si="84"/>
        <v>0</v>
      </c>
      <c r="Y130"/>
    </row>
    <row r="131" spans="1:26" hidden="1">
      <c r="A131" t="s">
        <v>6</v>
      </c>
      <c r="B131" t="s">
        <v>26</v>
      </c>
      <c r="C131" s="83">
        <v>107</v>
      </c>
      <c r="D131" t="s">
        <v>74</v>
      </c>
      <c r="E131" s="2">
        <v>39</v>
      </c>
      <c r="F131" s="1"/>
      <c r="G131" s="1">
        <v>22.74</v>
      </c>
      <c r="H131" s="11">
        <v>22.21</v>
      </c>
      <c r="I131" s="20">
        <v>21.52</v>
      </c>
      <c r="J131" s="20">
        <f t="shared" si="85"/>
        <v>1.2199999999999989</v>
      </c>
      <c r="K131" s="2">
        <f t="shared" si="86"/>
        <v>47.579999999999956</v>
      </c>
      <c r="L131" s="11">
        <v>22.22</v>
      </c>
      <c r="M131" s="20">
        <f t="shared" si="87"/>
        <v>0.51999999999999957</v>
      </c>
      <c r="N131" s="21" t="str">
        <f t="shared" si="88"/>
        <v>-</v>
      </c>
      <c r="O131" s="1">
        <f t="shared" si="73"/>
        <v>-0.43442622950819515</v>
      </c>
      <c r="P131" s="1" t="str">
        <f t="shared" si="74"/>
        <v/>
      </c>
      <c r="Q131" s="11"/>
      <c r="R131" s="11">
        <f>VLOOKUP(D131,prices!$A$2:$B$19,2)</f>
        <v>9.84</v>
      </c>
      <c r="S131" s="1">
        <f t="shared" si="91"/>
        <v>-20.669999999999906</v>
      </c>
      <c r="T131" s="1">
        <f t="shared" si="89"/>
        <v>-0.52999999999999758</v>
      </c>
      <c r="U131" s="1">
        <f t="shared" si="75"/>
        <v>886.8599999999999</v>
      </c>
      <c r="V131" s="25">
        <f t="shared" si="90"/>
        <v>-2.3306948109058822E-2</v>
      </c>
      <c r="W131" s="1">
        <f t="shared" si="83"/>
        <v>866.19</v>
      </c>
      <c r="X131" s="6">
        <f t="shared" si="84"/>
        <v>0</v>
      </c>
      <c r="Y131"/>
    </row>
    <row r="132" spans="1:26" hidden="1">
      <c r="A132" t="s">
        <v>23</v>
      </c>
      <c r="B132" t="s">
        <v>26</v>
      </c>
      <c r="C132" s="16">
        <v>30</v>
      </c>
      <c r="D132" t="s">
        <v>43</v>
      </c>
      <c r="E132" s="2">
        <v>585</v>
      </c>
      <c r="F132" s="1">
        <v>2.95</v>
      </c>
      <c r="G132" s="1">
        <v>1.4750000000000001</v>
      </c>
      <c r="H132" s="11">
        <v>2.56</v>
      </c>
      <c r="I132" s="20">
        <v>1.1499999999999999</v>
      </c>
      <c r="J132" s="20">
        <f t="shared" si="85"/>
        <v>0.32500000000000018</v>
      </c>
      <c r="K132" s="2">
        <f t="shared" si="86"/>
        <v>190.12500000000011</v>
      </c>
      <c r="L132" s="11">
        <v>2.2599999999999998</v>
      </c>
      <c r="M132" s="20">
        <f t="shared" si="87"/>
        <v>0</v>
      </c>
      <c r="N132" s="21" t="str">
        <f t="shared" si="88"/>
        <v>-</v>
      </c>
      <c r="O132" s="1">
        <f t="shared" si="73"/>
        <v>3.3384615384615364</v>
      </c>
      <c r="P132" s="1" t="str">
        <f t="shared" si="74"/>
        <v/>
      </c>
      <c r="Q132" s="11"/>
      <c r="R132" s="11">
        <f>VLOOKUP(D132,prices!$A$2:$B$19,2)</f>
        <v>8.01</v>
      </c>
      <c r="S132" s="1">
        <f t="shared" si="91"/>
        <v>631.77499999999998</v>
      </c>
      <c r="T132" s="1">
        <f t="shared" si="89"/>
        <v>1.085</v>
      </c>
      <c r="U132" s="1">
        <f t="shared" si="75"/>
        <v>862.875</v>
      </c>
      <c r="V132" s="25">
        <f t="shared" si="90"/>
        <v>0.73217441692017959</v>
      </c>
      <c r="W132" s="1">
        <f t="shared" si="83"/>
        <v>1497.6000000000001</v>
      </c>
      <c r="X132" s="6">
        <f t="shared" si="84"/>
        <v>0</v>
      </c>
      <c r="Y132"/>
    </row>
    <row r="133" spans="1:26" ht="15" hidden="1" customHeight="1">
      <c r="A133" t="s">
        <v>23</v>
      </c>
      <c r="B133" t="s">
        <v>26</v>
      </c>
      <c r="C133" s="16">
        <v>40</v>
      </c>
      <c r="D133" t="s">
        <v>43</v>
      </c>
      <c r="E133" s="2">
        <v>363</v>
      </c>
      <c r="F133" s="1">
        <v>1.83</v>
      </c>
      <c r="G133" s="1">
        <v>1.73</v>
      </c>
      <c r="H133" s="11">
        <v>2.58</v>
      </c>
      <c r="I133" s="20">
        <v>1.37</v>
      </c>
      <c r="J133" s="20">
        <f t="shared" ref="J133:J164" si="103">IF(AND(ISNUMBER(G133),ISNUMBER(I133)),G133-I133,"-")</f>
        <v>0.35999999999999988</v>
      </c>
      <c r="K133" s="2">
        <f t="shared" ref="K133:K164" si="104">IFERROR(E133*J133,"-")</f>
        <v>130.67999999999995</v>
      </c>
      <c r="L133" s="11">
        <v>2.2599999999999998</v>
      </c>
      <c r="M133" s="20">
        <f t="shared" ref="M133:M164" si="105">IF(AND(ISNUMBER(G133),ISNUMBER(L133)),MAX(0,G133-L133),"-")</f>
        <v>0</v>
      </c>
      <c r="N133" s="21" t="str">
        <f t="shared" ref="N133:N164" si="106">IF(B133="open",M133*E133,"-")</f>
        <v>-</v>
      </c>
      <c r="O133" s="1">
        <f t="shared" si="73"/>
        <v>2.361111111111112</v>
      </c>
      <c r="P133" s="1" t="str">
        <f t="shared" si="74"/>
        <v/>
      </c>
      <c r="Q133" s="11">
        <v>1.1499999999999999</v>
      </c>
      <c r="R133" s="11">
        <f>VLOOKUP(D133,prices!$A$2:$B$19,2)</f>
        <v>8.01</v>
      </c>
      <c r="S133" s="1">
        <f t="shared" si="91"/>
        <v>306.72000000000003</v>
      </c>
      <c r="T133" s="1">
        <f t="shared" ref="T133:T164" si="107">IF(ISNUMBER($E133),IF($B133="closed",($H133-$G133),($R133-$G133)),"")</f>
        <v>0.85000000000000009</v>
      </c>
      <c r="U133" s="1">
        <f t="shared" si="75"/>
        <v>627.99</v>
      </c>
      <c r="V133" s="25">
        <f t="shared" si="90"/>
        <v>0.48841542062771703</v>
      </c>
      <c r="W133" s="1">
        <f t="shared" si="83"/>
        <v>936.54000000000008</v>
      </c>
      <c r="X133" s="6">
        <f t="shared" si="84"/>
        <v>0</v>
      </c>
      <c r="Y133"/>
    </row>
    <row r="134" spans="1:26" ht="15" hidden="1" customHeight="1">
      <c r="A134" t="s">
        <v>23</v>
      </c>
      <c r="B134" t="s">
        <v>26</v>
      </c>
      <c r="C134" s="16">
        <v>42</v>
      </c>
      <c r="D134" t="s">
        <v>43</v>
      </c>
      <c r="E134" s="2">
        <v>660</v>
      </c>
      <c r="F134" s="1">
        <v>3.33</v>
      </c>
      <c r="G134" s="1">
        <v>1.81</v>
      </c>
      <c r="H134" s="11">
        <v>2.58</v>
      </c>
      <c r="I134" s="20">
        <v>1.42</v>
      </c>
      <c r="J134" s="20">
        <f t="shared" si="103"/>
        <v>0.39000000000000012</v>
      </c>
      <c r="K134" s="2">
        <f t="shared" si="104"/>
        <v>257.40000000000009</v>
      </c>
      <c r="L134" s="11">
        <v>2.2599999999999998</v>
      </c>
      <c r="M134" s="20">
        <f t="shared" si="105"/>
        <v>0</v>
      </c>
      <c r="N134" s="21" t="str">
        <f t="shared" si="106"/>
        <v>-</v>
      </c>
      <c r="O134" s="1">
        <f t="shared" si="73"/>
        <v>1.9743589743589738</v>
      </c>
      <c r="P134" s="1" t="str">
        <f t="shared" si="74"/>
        <v/>
      </c>
      <c r="Q134" s="11"/>
      <c r="R134" s="11">
        <f>VLOOKUP(D134,prices!$A$2:$B$19,2)</f>
        <v>8.01</v>
      </c>
      <c r="S134" s="1">
        <f t="shared" si="91"/>
        <v>504.87</v>
      </c>
      <c r="T134" s="1">
        <f t="shared" si="107"/>
        <v>0.77</v>
      </c>
      <c r="U134" s="1">
        <f t="shared" si="75"/>
        <v>1194.6000000000001</v>
      </c>
      <c r="V134" s="25">
        <f t="shared" ref="V134:V165" si="108">S134/U134</f>
        <v>0.42262682069311897</v>
      </c>
      <c r="W134" s="1">
        <f t="shared" si="83"/>
        <v>1702.8</v>
      </c>
      <c r="X134" s="6">
        <f t="shared" si="84"/>
        <v>0</v>
      </c>
      <c r="Y134"/>
    </row>
    <row r="135" spans="1:26" ht="15" hidden="1" customHeight="1">
      <c r="A135" t="s">
        <v>23</v>
      </c>
      <c r="B135" t="s">
        <v>26</v>
      </c>
      <c r="C135" s="16">
        <v>45</v>
      </c>
      <c r="D135" t="s">
        <v>43</v>
      </c>
      <c r="E135" s="2">
        <v>447</v>
      </c>
      <c r="F135" s="1">
        <v>2.2599999999999998</v>
      </c>
      <c r="G135" s="1">
        <v>2.19</v>
      </c>
      <c r="H135" s="11">
        <v>2.56</v>
      </c>
      <c r="I135" s="20">
        <v>1.62</v>
      </c>
      <c r="J135" s="20">
        <f t="shared" si="103"/>
        <v>0.56999999999999984</v>
      </c>
      <c r="K135" s="2">
        <f t="shared" si="104"/>
        <v>254.78999999999994</v>
      </c>
      <c r="L135" s="11">
        <v>2.2599999999999998</v>
      </c>
      <c r="M135" s="20">
        <f t="shared" si="105"/>
        <v>0</v>
      </c>
      <c r="N135" s="21" t="str">
        <f t="shared" si="106"/>
        <v>-</v>
      </c>
      <c r="O135" s="1">
        <f t="shared" si="73"/>
        <v>0.64912280701754421</v>
      </c>
      <c r="P135" s="1" t="str">
        <f t="shared" si="74"/>
        <v/>
      </c>
      <c r="Q135" s="11"/>
      <c r="R135" s="11">
        <f>VLOOKUP(D135,prices!$A$2:$B$19,2)</f>
        <v>8.01</v>
      </c>
      <c r="S135" s="1">
        <f t="shared" si="91"/>
        <v>163.13000000000005</v>
      </c>
      <c r="T135" s="1">
        <f t="shared" si="107"/>
        <v>0.37000000000000011</v>
      </c>
      <c r="U135" s="1">
        <f t="shared" si="75"/>
        <v>978.93</v>
      </c>
      <c r="V135" s="25">
        <f t="shared" si="108"/>
        <v>0.16664112857916302</v>
      </c>
      <c r="W135" s="1">
        <f t="shared" si="83"/>
        <v>1144.32</v>
      </c>
      <c r="X135" s="6">
        <f t="shared" si="84"/>
        <v>0</v>
      </c>
      <c r="Y135"/>
    </row>
    <row r="136" spans="1:26" ht="15" hidden="1" customHeight="1">
      <c r="A136" t="s">
        <v>23</v>
      </c>
      <c r="B136" t="s">
        <v>26</v>
      </c>
      <c r="C136" s="16">
        <v>62</v>
      </c>
      <c r="D136" t="s">
        <v>43</v>
      </c>
      <c r="E136" s="2">
        <v>576</v>
      </c>
      <c r="F136" s="1">
        <f>2.88+2.91</f>
        <v>5.79</v>
      </c>
      <c r="G136" s="1">
        <v>2.14</v>
      </c>
      <c r="H136" s="11">
        <v>2.58</v>
      </c>
      <c r="I136" s="20">
        <v>1.72</v>
      </c>
      <c r="J136" s="20">
        <f t="shared" si="103"/>
        <v>0.42000000000000015</v>
      </c>
      <c r="K136" s="2">
        <f t="shared" si="104"/>
        <v>241.92000000000007</v>
      </c>
      <c r="L136" s="11">
        <v>2.2599999999999998</v>
      </c>
      <c r="M136" s="20">
        <f t="shared" si="105"/>
        <v>0</v>
      </c>
      <c r="N136" s="21" t="str">
        <f t="shared" si="106"/>
        <v>-</v>
      </c>
      <c r="O136" s="1">
        <f t="shared" si="73"/>
        <v>1.047619047619047</v>
      </c>
      <c r="P136" s="1" t="str">
        <f t="shared" si="74"/>
        <v/>
      </c>
      <c r="Q136" s="11"/>
      <c r="R136" s="11">
        <f>VLOOKUP(D136,prices!$A$2:$B$19,2)</f>
        <v>8.01</v>
      </c>
      <c r="S136" s="1">
        <f t="shared" si="91"/>
        <v>247.64999999999998</v>
      </c>
      <c r="T136" s="1">
        <f t="shared" si="107"/>
        <v>0.43999999999999995</v>
      </c>
      <c r="U136" s="1">
        <f t="shared" si="75"/>
        <v>1232.6400000000001</v>
      </c>
      <c r="V136" s="25">
        <f t="shared" si="108"/>
        <v>0.20091024143302177</v>
      </c>
      <c r="W136" s="1">
        <f t="shared" si="83"/>
        <v>1486.08</v>
      </c>
      <c r="X136" s="6">
        <f t="shared" si="84"/>
        <v>0</v>
      </c>
      <c r="Y136" s="68">
        <v>4</v>
      </c>
    </row>
    <row r="137" spans="1:26" ht="15" hidden="1" customHeight="1">
      <c r="A137" t="s">
        <v>23</v>
      </c>
      <c r="B137" t="s">
        <v>26</v>
      </c>
      <c r="C137" s="16">
        <v>63</v>
      </c>
      <c r="D137" t="s">
        <v>43</v>
      </c>
      <c r="E137" s="2">
        <v>601</v>
      </c>
      <c r="F137" s="1">
        <f>3.005+3.03</f>
        <v>6.0350000000000001</v>
      </c>
      <c r="G137" s="1">
        <v>2.21</v>
      </c>
      <c r="H137" s="11">
        <v>2.58</v>
      </c>
      <c r="I137" s="20">
        <v>1.81</v>
      </c>
      <c r="J137" s="20">
        <f t="shared" si="103"/>
        <v>0.39999999999999991</v>
      </c>
      <c r="K137" s="2">
        <f t="shared" si="104"/>
        <v>240.39999999999995</v>
      </c>
      <c r="L137" s="11">
        <v>2.2599999999999998</v>
      </c>
      <c r="M137" s="20">
        <f t="shared" si="105"/>
        <v>0</v>
      </c>
      <c r="N137" s="21" t="str">
        <f t="shared" si="106"/>
        <v>-</v>
      </c>
      <c r="O137" s="1">
        <f t="shared" si="73"/>
        <v>0.92500000000000049</v>
      </c>
      <c r="P137" s="1" t="str">
        <f t="shared" si="74"/>
        <v/>
      </c>
      <c r="Q137" s="11"/>
      <c r="R137" s="11">
        <f>VLOOKUP(D137,prices!$A$2:$B$19,2)</f>
        <v>8.01</v>
      </c>
      <c r="S137" s="1">
        <f t="shared" si="91"/>
        <v>216.33500000000006</v>
      </c>
      <c r="T137" s="1">
        <f t="shared" si="107"/>
        <v>0.37000000000000011</v>
      </c>
      <c r="U137" s="1">
        <f t="shared" si="75"/>
        <v>1328.21</v>
      </c>
      <c r="V137" s="25">
        <f t="shared" si="108"/>
        <v>0.16287710527702701</v>
      </c>
      <c r="W137" s="1">
        <f t="shared" si="83"/>
        <v>1550.5800000000002</v>
      </c>
      <c r="X137" s="6">
        <f t="shared" si="84"/>
        <v>0</v>
      </c>
      <c r="Y137" s="68">
        <v>4</v>
      </c>
    </row>
    <row r="138" spans="1:26" ht="15" hidden="1" customHeight="1">
      <c r="A138" t="s">
        <v>23</v>
      </c>
      <c r="B138" t="s">
        <v>26</v>
      </c>
      <c r="C138" s="16">
        <v>65</v>
      </c>
      <c r="D138" t="s">
        <v>43</v>
      </c>
      <c r="E138" s="2">
        <v>599</v>
      </c>
      <c r="F138" s="1">
        <v>3.02</v>
      </c>
      <c r="G138" s="1">
        <v>2.16</v>
      </c>
      <c r="H138" s="11">
        <v>2.56</v>
      </c>
      <c r="I138" s="20">
        <v>1.76</v>
      </c>
      <c r="J138" s="20">
        <f t="shared" si="103"/>
        <v>0.40000000000000013</v>
      </c>
      <c r="K138" s="2">
        <f t="shared" si="104"/>
        <v>239.60000000000008</v>
      </c>
      <c r="L138" s="11">
        <v>2.2599999999999998</v>
      </c>
      <c r="M138" s="20">
        <f t="shared" si="105"/>
        <v>0</v>
      </c>
      <c r="N138" s="21" t="str">
        <f t="shared" si="106"/>
        <v>-</v>
      </c>
      <c r="O138" s="1">
        <f t="shared" si="73"/>
        <v>0.99999999999999944</v>
      </c>
      <c r="P138" s="1" t="str">
        <f t="shared" si="74"/>
        <v/>
      </c>
      <c r="Q138" s="11"/>
      <c r="R138" s="11">
        <f>VLOOKUP(D138,prices!$A$2:$B$19,2)</f>
        <v>8.01</v>
      </c>
      <c r="S138" s="1">
        <f t="shared" si="91"/>
        <v>236.57999999999993</v>
      </c>
      <c r="T138" s="1">
        <f t="shared" si="107"/>
        <v>0.39999999999999991</v>
      </c>
      <c r="U138" s="1">
        <f t="shared" si="75"/>
        <v>1293.8400000000001</v>
      </c>
      <c r="V138" s="25">
        <f t="shared" si="108"/>
        <v>0.18285104804303462</v>
      </c>
      <c r="W138" s="1">
        <f t="shared" si="83"/>
        <v>1533.44</v>
      </c>
      <c r="X138" s="6">
        <f t="shared" si="84"/>
        <v>0</v>
      </c>
      <c r="Y138" s="68">
        <v>4</v>
      </c>
    </row>
    <row r="139" spans="1:26" ht="15" hidden="1" customHeight="1">
      <c r="A139" t="s">
        <v>23</v>
      </c>
      <c r="B139" t="s">
        <v>26</v>
      </c>
      <c r="C139" s="16">
        <v>69</v>
      </c>
      <c r="D139" t="s">
        <v>43</v>
      </c>
      <c r="E139" s="2">
        <v>463</v>
      </c>
      <c r="F139" s="1">
        <f>2.315+2.34</f>
        <v>4.6549999999999994</v>
      </c>
      <c r="G139" s="1">
        <v>2.14</v>
      </c>
      <c r="H139" s="11">
        <v>2.56</v>
      </c>
      <c r="I139" s="20">
        <v>1.74</v>
      </c>
      <c r="J139" s="20">
        <f t="shared" si="103"/>
        <v>0.40000000000000013</v>
      </c>
      <c r="K139" s="2">
        <f t="shared" si="104"/>
        <v>185.20000000000007</v>
      </c>
      <c r="L139" s="11">
        <v>2.2599999999999998</v>
      </c>
      <c r="M139" s="20">
        <f t="shared" si="105"/>
        <v>0</v>
      </c>
      <c r="N139" s="21" t="str">
        <f t="shared" si="106"/>
        <v>-</v>
      </c>
      <c r="O139" s="1">
        <f t="shared" si="73"/>
        <v>1.0499999999999994</v>
      </c>
      <c r="P139" s="1" t="str">
        <f t="shared" si="74"/>
        <v/>
      </c>
      <c r="Q139" s="11"/>
      <c r="R139" s="11">
        <f>VLOOKUP(D139,prices!$A$2:$B$19,2)</f>
        <v>8.01</v>
      </c>
      <c r="S139" s="1">
        <f t="shared" si="91"/>
        <v>189.80499999999998</v>
      </c>
      <c r="T139" s="1">
        <f t="shared" si="107"/>
        <v>0.41999999999999993</v>
      </c>
      <c r="U139" s="1">
        <f t="shared" si="75"/>
        <v>990.82</v>
      </c>
      <c r="V139" s="25">
        <f t="shared" si="108"/>
        <v>0.19156355342039924</v>
      </c>
      <c r="W139" s="1">
        <f t="shared" si="83"/>
        <v>1185.28</v>
      </c>
      <c r="X139" s="6">
        <f t="shared" si="84"/>
        <v>0</v>
      </c>
      <c r="Y139" s="68">
        <v>4</v>
      </c>
    </row>
    <row r="140" spans="1:26" ht="15" hidden="1" customHeight="1">
      <c r="A140" t="s">
        <v>23</v>
      </c>
      <c r="B140" t="s">
        <v>26</v>
      </c>
      <c r="C140" s="34">
        <v>76</v>
      </c>
      <c r="D140" t="s">
        <v>43</v>
      </c>
      <c r="E140" s="2">
        <v>525</v>
      </c>
      <c r="F140" s="1">
        <v>2.65</v>
      </c>
      <c r="G140" s="1">
        <v>2.36</v>
      </c>
      <c r="H140" s="11">
        <v>2.58</v>
      </c>
      <c r="I140" s="20">
        <v>2.0099999999999998</v>
      </c>
      <c r="J140" s="20">
        <f t="shared" si="103"/>
        <v>0.35000000000000009</v>
      </c>
      <c r="K140" s="2">
        <f t="shared" si="104"/>
        <v>183.75000000000006</v>
      </c>
      <c r="L140" s="11">
        <v>2.2599999999999998</v>
      </c>
      <c r="M140" s="20">
        <f t="shared" si="105"/>
        <v>0.10000000000000009</v>
      </c>
      <c r="N140" s="21" t="str">
        <f t="shared" si="106"/>
        <v>-</v>
      </c>
      <c r="O140" s="1">
        <f t="shared" si="73"/>
        <v>0.628571428571429</v>
      </c>
      <c r="P140" s="1" t="str">
        <f t="shared" si="74"/>
        <v/>
      </c>
      <c r="Q140" s="11"/>
      <c r="R140" s="11">
        <f>VLOOKUP(D140,prices!$A$2:$B$19,2)</f>
        <v>8.01</v>
      </c>
      <c r="S140" s="1">
        <f t="shared" si="91"/>
        <v>112.85000000000009</v>
      </c>
      <c r="T140" s="1">
        <f t="shared" si="107"/>
        <v>0.2200000000000002</v>
      </c>
      <c r="U140" s="1">
        <f t="shared" si="75"/>
        <v>1239</v>
      </c>
      <c r="V140" s="25">
        <f t="shared" si="108"/>
        <v>9.1081517352703867E-2</v>
      </c>
      <c r="W140" s="1">
        <f t="shared" si="83"/>
        <v>1354.5</v>
      </c>
      <c r="X140" s="6">
        <f t="shared" si="84"/>
        <v>0</v>
      </c>
      <c r="Y140" s="68">
        <v>4</v>
      </c>
    </row>
    <row r="141" spans="1:26" ht="15" hidden="1" customHeight="1">
      <c r="A141" t="s">
        <v>23</v>
      </c>
      <c r="B141" t="s">
        <v>26</v>
      </c>
      <c r="C141" s="35">
        <v>91</v>
      </c>
      <c r="D141" t="s">
        <v>43</v>
      </c>
      <c r="E141" s="2">
        <v>720</v>
      </c>
      <c r="F141" s="1">
        <f>3.6+3.63</f>
        <v>7.23</v>
      </c>
      <c r="G141" s="1">
        <v>2.64</v>
      </c>
      <c r="H141" s="11">
        <v>2.58</v>
      </c>
      <c r="I141" s="20">
        <v>2.29</v>
      </c>
      <c r="J141" s="20">
        <f t="shared" si="103"/>
        <v>0.35000000000000009</v>
      </c>
      <c r="K141" s="2">
        <f t="shared" si="104"/>
        <v>252.00000000000006</v>
      </c>
      <c r="L141" s="11">
        <v>2.29</v>
      </c>
      <c r="M141" s="20">
        <f t="shared" si="105"/>
        <v>0.35000000000000009</v>
      </c>
      <c r="N141" s="21" t="str">
        <f t="shared" si="106"/>
        <v>-</v>
      </c>
      <c r="O141" s="1">
        <f t="shared" si="73"/>
        <v>-0.17142857142857154</v>
      </c>
      <c r="P141" s="1" t="str">
        <f t="shared" si="74"/>
        <v/>
      </c>
      <c r="Q141" s="11"/>
      <c r="R141" s="11">
        <f>VLOOKUP(D141,prices!$A$2:$B$19,2)</f>
        <v>8.01</v>
      </c>
      <c r="S141" s="1">
        <f t="shared" si="91"/>
        <v>-50.430000000000035</v>
      </c>
      <c r="T141" s="1">
        <f t="shared" si="107"/>
        <v>-6.0000000000000053E-2</v>
      </c>
      <c r="U141" s="1">
        <f t="shared" si="75"/>
        <v>1900.8000000000002</v>
      </c>
      <c r="V141" s="25">
        <f t="shared" si="108"/>
        <v>-2.653093434343436E-2</v>
      </c>
      <c r="W141" s="1">
        <f t="shared" si="83"/>
        <v>1857.6000000000001</v>
      </c>
      <c r="X141" s="6">
        <f t="shared" si="84"/>
        <v>0</v>
      </c>
      <c r="Y141" s="68">
        <v>4</v>
      </c>
    </row>
    <row r="142" spans="1:26" ht="15" hidden="1" customHeight="1">
      <c r="A142" t="s">
        <v>6</v>
      </c>
      <c r="B142" t="s">
        <v>26</v>
      </c>
      <c r="C142" s="96">
        <v>94</v>
      </c>
      <c r="D142" t="s">
        <v>43</v>
      </c>
      <c r="E142" s="2">
        <v>565</v>
      </c>
      <c r="F142" s="1">
        <v>2.85</v>
      </c>
      <c r="G142" s="1">
        <v>2.87</v>
      </c>
      <c r="H142" s="11">
        <v>2.58</v>
      </c>
      <c r="I142" s="20">
        <v>2.29</v>
      </c>
      <c r="J142" s="20">
        <f t="shared" si="103"/>
        <v>0.58000000000000007</v>
      </c>
      <c r="K142" s="2">
        <f t="shared" si="104"/>
        <v>327.70000000000005</v>
      </c>
      <c r="L142" s="11">
        <v>2.29</v>
      </c>
      <c r="M142" s="20">
        <f t="shared" si="105"/>
        <v>0.58000000000000007</v>
      </c>
      <c r="N142" s="21" t="str">
        <f t="shared" si="106"/>
        <v>-</v>
      </c>
      <c r="O142" s="1">
        <f t="shared" si="73"/>
        <v>-0.5</v>
      </c>
      <c r="P142" s="1" t="str">
        <f t="shared" si="74"/>
        <v/>
      </c>
      <c r="Q142" s="11"/>
      <c r="R142" s="11">
        <f>VLOOKUP(D142,prices!$A$2:$B$19,2)</f>
        <v>8.01</v>
      </c>
      <c r="S142" s="1">
        <f t="shared" si="91"/>
        <v>-166.70000000000002</v>
      </c>
      <c r="T142" s="1">
        <f t="shared" si="107"/>
        <v>-0.29000000000000004</v>
      </c>
      <c r="U142" s="1">
        <f t="shared" si="75"/>
        <v>1621.55</v>
      </c>
      <c r="V142" s="25">
        <f t="shared" si="108"/>
        <v>-0.10280287379359257</v>
      </c>
      <c r="W142" s="1">
        <f t="shared" si="83"/>
        <v>1457.7</v>
      </c>
      <c r="X142" s="6">
        <f t="shared" si="84"/>
        <v>0</v>
      </c>
      <c r="Y142" s="68">
        <v>4</v>
      </c>
      <c r="Z142" s="28" t="str">
        <f t="shared" ref="Z142:Z183" si="109">IF(B142="open",(R142-L142)*E142,"-")</f>
        <v>-</v>
      </c>
    </row>
    <row r="143" spans="1:26" ht="15" hidden="1" customHeight="1">
      <c r="A143" t="s">
        <v>6</v>
      </c>
      <c r="B143" t="s">
        <v>26</v>
      </c>
      <c r="C143" s="99">
        <v>92</v>
      </c>
      <c r="D143" t="s">
        <v>43</v>
      </c>
      <c r="E143" s="2">
        <v>492</v>
      </c>
      <c r="F143" s="1">
        <v>2.48</v>
      </c>
      <c r="G143" s="1">
        <v>2.64</v>
      </c>
      <c r="H143" s="11">
        <v>2.58</v>
      </c>
      <c r="I143" s="20">
        <v>2.29</v>
      </c>
      <c r="J143" s="20">
        <f t="shared" si="103"/>
        <v>0.35000000000000009</v>
      </c>
      <c r="K143" s="2">
        <f t="shared" si="104"/>
        <v>172.20000000000005</v>
      </c>
      <c r="L143" s="11">
        <v>2.29</v>
      </c>
      <c r="M143" s="20">
        <f t="shared" si="105"/>
        <v>0.35000000000000009</v>
      </c>
      <c r="N143" s="21" t="str">
        <f t="shared" si="106"/>
        <v>-</v>
      </c>
      <c r="O143" s="1">
        <f t="shared" ref="O143:O210" si="110">IF(ISNUMBER(H143),(H143-G143)/J143,"")</f>
        <v>-0.17142857142857154</v>
      </c>
      <c r="P143" s="1" t="str">
        <f t="shared" ref="P143:P210" si="111">IF(B143="open",IF(ISNUMBER(R143),(R143-$G143)/$J143,""),"")</f>
        <v/>
      </c>
      <c r="Q143" s="11"/>
      <c r="R143" s="11">
        <f>VLOOKUP(D143,prices!$A$2:$B$19,2)</f>
        <v>8.01</v>
      </c>
      <c r="S143" s="1">
        <f t="shared" si="91"/>
        <v>-32.000000000000021</v>
      </c>
      <c r="T143" s="1">
        <f t="shared" si="107"/>
        <v>-6.0000000000000053E-2</v>
      </c>
      <c r="U143" s="1">
        <f t="shared" ref="U143:U210" si="112">E143*G143</f>
        <v>1298.8800000000001</v>
      </c>
      <c r="V143" s="25">
        <f t="shared" si="108"/>
        <v>-2.4636610002463675E-2</v>
      </c>
      <c r="W143" s="1">
        <f t="shared" si="83"/>
        <v>1269.3600000000001</v>
      </c>
      <c r="X143" s="6">
        <f t="shared" si="84"/>
        <v>0</v>
      </c>
      <c r="Y143" s="68">
        <v>4</v>
      </c>
      <c r="Z143" s="28" t="str">
        <f t="shared" ref="Z143:Z149" si="113">IF(B143="open",(R143-L143)*E143,"-")</f>
        <v>-</v>
      </c>
    </row>
    <row r="144" spans="1:26" ht="15" hidden="1" customHeight="1">
      <c r="A144" t="s">
        <v>23</v>
      </c>
      <c r="B144" t="s">
        <v>26</v>
      </c>
      <c r="C144" s="99">
        <v>93</v>
      </c>
      <c r="D144" t="s">
        <v>43</v>
      </c>
      <c r="E144" s="2">
        <v>1371</v>
      </c>
      <c r="F144" s="1">
        <v>6.92</v>
      </c>
      <c r="G144" s="1">
        <v>2.9249999999999998</v>
      </c>
      <c r="H144" s="11">
        <v>2.56</v>
      </c>
      <c r="I144" s="20">
        <v>2.62</v>
      </c>
      <c r="J144" s="20">
        <f t="shared" si="103"/>
        <v>0.30499999999999972</v>
      </c>
      <c r="K144" s="2">
        <f t="shared" si="104"/>
        <v>418.15499999999963</v>
      </c>
      <c r="L144" s="11">
        <v>2.62</v>
      </c>
      <c r="M144" s="20">
        <f t="shared" si="105"/>
        <v>0.30499999999999972</v>
      </c>
      <c r="N144" s="21" t="str">
        <f t="shared" si="106"/>
        <v>-</v>
      </c>
      <c r="O144" s="1">
        <f t="shared" si="110"/>
        <v>-1.1967213114754103</v>
      </c>
      <c r="P144" s="1" t="str">
        <f t="shared" si="111"/>
        <v/>
      </c>
      <c r="Q144" s="11"/>
      <c r="R144" s="11">
        <f>VLOOKUP(D144,prices!$A$2:$B$19,2)</f>
        <v>8.01</v>
      </c>
      <c r="S144" s="1">
        <f t="shared" si="91"/>
        <v>-507.3349999999997</v>
      </c>
      <c r="T144" s="1">
        <f t="shared" si="107"/>
        <v>-0.36499999999999977</v>
      </c>
      <c r="U144" s="1">
        <f t="shared" si="112"/>
        <v>4010.1749999999997</v>
      </c>
      <c r="V144" s="25">
        <f t="shared" si="108"/>
        <v>-0.12651193526467042</v>
      </c>
      <c r="W144" s="1">
        <f t="shared" si="83"/>
        <v>3509.76</v>
      </c>
      <c r="X144" s="6">
        <f t="shared" si="84"/>
        <v>0</v>
      </c>
      <c r="Y144" s="68">
        <v>4</v>
      </c>
      <c r="Z144" s="28" t="str">
        <f t="shared" si="113"/>
        <v>-</v>
      </c>
    </row>
    <row r="145" spans="1:26" ht="15" hidden="1" customHeight="1">
      <c r="A145" t="s">
        <v>23</v>
      </c>
      <c r="B145" t="s">
        <v>26</v>
      </c>
      <c r="C145" s="99">
        <v>101</v>
      </c>
      <c r="D145" t="s">
        <v>43</v>
      </c>
      <c r="E145" s="2">
        <v>990</v>
      </c>
      <c r="F145" s="1">
        <f>4.95+5</f>
        <v>9.9499999999999993</v>
      </c>
      <c r="G145" s="1">
        <v>2.99</v>
      </c>
      <c r="H145" s="11">
        <v>2.58</v>
      </c>
      <c r="I145" s="20">
        <v>2.56</v>
      </c>
      <c r="J145" s="20">
        <f t="shared" si="103"/>
        <v>0.43000000000000016</v>
      </c>
      <c r="K145" s="2">
        <f t="shared" si="104"/>
        <v>425.70000000000016</v>
      </c>
      <c r="L145" s="11">
        <v>2.62</v>
      </c>
      <c r="M145" s="20">
        <f t="shared" si="105"/>
        <v>0.37000000000000011</v>
      </c>
      <c r="N145" s="21" t="str">
        <f t="shared" si="106"/>
        <v>-</v>
      </c>
      <c r="O145" s="1">
        <f t="shared" si="110"/>
        <v>-0.95348837209302328</v>
      </c>
      <c r="P145" s="1" t="str">
        <f t="shared" si="111"/>
        <v/>
      </c>
      <c r="Q145" s="11"/>
      <c r="R145" s="11">
        <f>VLOOKUP(D145,prices!$A$2:$B$19,2)</f>
        <v>8.01</v>
      </c>
      <c r="S145" s="1">
        <f t="shared" si="91"/>
        <v>-415.85000000000014</v>
      </c>
      <c r="T145" s="1">
        <f t="shared" si="107"/>
        <v>-0.41000000000000014</v>
      </c>
      <c r="U145" s="1">
        <f t="shared" si="112"/>
        <v>2960.1000000000004</v>
      </c>
      <c r="V145" s="25">
        <f t="shared" si="108"/>
        <v>-0.14048511874598835</v>
      </c>
      <c r="W145" s="1">
        <f t="shared" si="83"/>
        <v>2554.2000000000003</v>
      </c>
      <c r="X145" s="6">
        <f t="shared" si="84"/>
        <v>0</v>
      </c>
      <c r="Y145" s="68">
        <v>4</v>
      </c>
      <c r="Z145" s="28" t="str">
        <f t="shared" si="113"/>
        <v>-</v>
      </c>
    </row>
    <row r="146" spans="1:26" ht="15" hidden="1" customHeight="1">
      <c r="A146" t="s">
        <v>6</v>
      </c>
      <c r="B146" t="s">
        <v>26</v>
      </c>
      <c r="C146" s="99">
        <v>102</v>
      </c>
      <c r="D146" t="s">
        <v>43</v>
      </c>
      <c r="E146" s="2">
        <v>314</v>
      </c>
      <c r="F146" s="1">
        <v>1.58</v>
      </c>
      <c r="G146" s="1">
        <v>2.99</v>
      </c>
      <c r="H146" s="11">
        <v>2.58</v>
      </c>
      <c r="I146" s="20">
        <v>2.5499999999999998</v>
      </c>
      <c r="J146" s="20">
        <f t="shared" si="103"/>
        <v>0.44000000000000039</v>
      </c>
      <c r="K146" s="2">
        <f t="shared" si="104"/>
        <v>138.16000000000011</v>
      </c>
      <c r="L146" s="11">
        <v>2.62</v>
      </c>
      <c r="M146" s="20">
        <f t="shared" si="105"/>
        <v>0.37000000000000011</v>
      </c>
      <c r="N146" s="21" t="str">
        <f t="shared" si="106"/>
        <v>-</v>
      </c>
      <c r="O146" s="1">
        <f t="shared" si="110"/>
        <v>-0.93181818181818132</v>
      </c>
      <c r="P146" s="1" t="str">
        <f t="shared" si="111"/>
        <v/>
      </c>
      <c r="Q146" s="11"/>
      <c r="R146" s="11">
        <f>VLOOKUP(D146,prices!$A$2:$B$19,2)</f>
        <v>8.01</v>
      </c>
      <c r="S146" s="1">
        <f t="shared" si="91"/>
        <v>-130.32000000000005</v>
      </c>
      <c r="T146" s="1">
        <f t="shared" si="107"/>
        <v>-0.41000000000000014</v>
      </c>
      <c r="U146" s="1">
        <f t="shared" si="112"/>
        <v>938.86</v>
      </c>
      <c r="V146" s="25">
        <f t="shared" si="108"/>
        <v>-0.13880663783737729</v>
      </c>
      <c r="W146" s="1">
        <f t="shared" si="83"/>
        <v>810.12</v>
      </c>
      <c r="X146" s="6">
        <f t="shared" si="84"/>
        <v>0</v>
      </c>
      <c r="Y146" s="68">
        <v>4</v>
      </c>
      <c r="Z146" s="28" t="str">
        <f t="shared" si="113"/>
        <v>-</v>
      </c>
    </row>
    <row r="147" spans="1:26" ht="15" hidden="1" customHeight="1">
      <c r="A147" t="s">
        <v>23</v>
      </c>
      <c r="B147" t="s">
        <v>26</v>
      </c>
      <c r="C147" s="100">
        <v>1021</v>
      </c>
      <c r="D147" t="s">
        <v>43</v>
      </c>
      <c r="E147" s="2">
        <v>168</v>
      </c>
      <c r="F147" s="1"/>
      <c r="G147" s="1">
        <v>14.96</v>
      </c>
      <c r="H147" s="11">
        <v>12.21</v>
      </c>
      <c r="I147" s="20">
        <v>12.23</v>
      </c>
      <c r="J147" s="20">
        <f t="shared" si="103"/>
        <v>2.7300000000000004</v>
      </c>
      <c r="K147" s="2">
        <f t="shared" si="104"/>
        <v>458.6400000000001</v>
      </c>
      <c r="L147" s="11">
        <v>12.23</v>
      </c>
      <c r="M147" s="20">
        <f t="shared" si="105"/>
        <v>2.7300000000000004</v>
      </c>
      <c r="N147" s="21" t="str">
        <f t="shared" si="106"/>
        <v>-</v>
      </c>
      <c r="O147" s="1">
        <f t="shared" si="110"/>
        <v>-1.0073260073260071</v>
      </c>
      <c r="P147" s="1" t="str">
        <f t="shared" si="111"/>
        <v/>
      </c>
      <c r="Q147" s="11">
        <f>VLOOKUP($D147,prices!$A$2:$C$19,3)</f>
        <v>8.19</v>
      </c>
      <c r="R147" s="11">
        <f>VLOOKUP(D147,prices!$A$2:$B$19,2)</f>
        <v>8.01</v>
      </c>
      <c r="S147" s="55">
        <f t="shared" si="91"/>
        <v>-462</v>
      </c>
      <c r="T147" s="55">
        <f t="shared" si="107"/>
        <v>-2.75</v>
      </c>
      <c r="U147" s="55">
        <f t="shared" si="112"/>
        <v>2513.2800000000002</v>
      </c>
      <c r="V147" s="42">
        <f t="shared" si="108"/>
        <v>-0.18382352941176469</v>
      </c>
      <c r="W147" s="55">
        <f t="shared" si="83"/>
        <v>2051.2800000000002</v>
      </c>
      <c r="X147" s="48">
        <f t="shared" si="84"/>
        <v>0</v>
      </c>
      <c r="Y147" s="68">
        <v>4</v>
      </c>
      <c r="Z147" s="28" t="str">
        <f t="shared" si="113"/>
        <v>-</v>
      </c>
    </row>
    <row r="148" spans="1:26" ht="15" hidden="1" customHeight="1">
      <c r="A148" t="s">
        <v>6</v>
      </c>
      <c r="B148" t="s">
        <v>26</v>
      </c>
      <c r="C148" s="100">
        <v>1020</v>
      </c>
      <c r="D148" t="s">
        <v>43</v>
      </c>
      <c r="E148" s="2">
        <v>51</v>
      </c>
      <c r="F148" s="1"/>
      <c r="G148" s="1">
        <v>14.96</v>
      </c>
      <c r="H148" s="11">
        <v>12.21</v>
      </c>
      <c r="I148" s="20">
        <v>12.23</v>
      </c>
      <c r="J148" s="20">
        <f t="shared" si="103"/>
        <v>2.7300000000000004</v>
      </c>
      <c r="K148" s="2">
        <f t="shared" si="104"/>
        <v>139.23000000000002</v>
      </c>
      <c r="L148" s="11">
        <v>12.23</v>
      </c>
      <c r="M148" s="20">
        <f t="shared" si="105"/>
        <v>2.7300000000000004</v>
      </c>
      <c r="N148" s="21" t="str">
        <f t="shared" si="106"/>
        <v>-</v>
      </c>
      <c r="O148" s="1">
        <f t="shared" si="110"/>
        <v>-1.0073260073260071</v>
      </c>
      <c r="P148" s="1" t="str">
        <f t="shared" si="111"/>
        <v/>
      </c>
      <c r="Q148" s="11">
        <f>VLOOKUP($D148,prices!$A$2:$C$19,3)</f>
        <v>8.19</v>
      </c>
      <c r="R148" s="11">
        <f>VLOOKUP(D148,prices!$A$2:$B$19,2)</f>
        <v>8.01</v>
      </c>
      <c r="S148" s="55">
        <f t="shared" ref="S148:S183" si="114">IF(ISNUMBER(E148),IF(B148="closed",(H148-G148)*E148,(R148-G148)*E148)-F148,"")</f>
        <v>-140.25</v>
      </c>
      <c r="T148" s="55">
        <f t="shared" si="107"/>
        <v>-2.75</v>
      </c>
      <c r="U148" s="55">
        <f t="shared" si="112"/>
        <v>762.96</v>
      </c>
      <c r="V148" s="42">
        <f t="shared" si="108"/>
        <v>-0.18382352941176469</v>
      </c>
      <c r="W148" s="55">
        <f t="shared" si="83"/>
        <v>622.71</v>
      </c>
      <c r="X148" s="48">
        <f t="shared" si="84"/>
        <v>0</v>
      </c>
      <c r="Y148" s="68">
        <v>4</v>
      </c>
      <c r="Z148" s="28" t="str">
        <f t="shared" si="113"/>
        <v>-</v>
      </c>
    </row>
    <row r="149" spans="1:26" ht="15" hidden="1" customHeight="1">
      <c r="A149" t="s">
        <v>23</v>
      </c>
      <c r="B149" t="s">
        <v>26</v>
      </c>
      <c r="C149" s="100">
        <v>1039</v>
      </c>
      <c r="D149" t="s">
        <v>43</v>
      </c>
      <c r="E149" s="2">
        <v>113</v>
      </c>
      <c r="F149" s="1"/>
      <c r="G149" s="1">
        <v>9.6199999999999992</v>
      </c>
      <c r="H149" s="11">
        <v>9.07</v>
      </c>
      <c r="I149" s="20">
        <v>6.14</v>
      </c>
      <c r="J149" s="20">
        <f t="shared" si="103"/>
        <v>3.4799999999999995</v>
      </c>
      <c r="K149" s="2">
        <f t="shared" si="104"/>
        <v>393.23999999999995</v>
      </c>
      <c r="L149" s="11">
        <v>9.08</v>
      </c>
      <c r="M149" s="20">
        <f t="shared" si="105"/>
        <v>0.53999999999999915</v>
      </c>
      <c r="N149" s="21" t="str">
        <f t="shared" si="106"/>
        <v>-</v>
      </c>
      <c r="O149" s="1">
        <f t="shared" si="110"/>
        <v>-0.15804597701149398</v>
      </c>
      <c r="P149" s="1" t="str">
        <f t="shared" si="111"/>
        <v/>
      </c>
      <c r="Q149" s="11">
        <f>VLOOKUP($D149,prices!$A$2:$C$19,3)</f>
        <v>8.19</v>
      </c>
      <c r="R149" s="11">
        <f>VLOOKUP(D149,prices!$A$2:$B$19,2)</f>
        <v>8.01</v>
      </c>
      <c r="S149" s="55">
        <f t="shared" si="114"/>
        <v>-62.149999999999878</v>
      </c>
      <c r="T149" s="55">
        <f t="shared" si="107"/>
        <v>-0.54999999999999893</v>
      </c>
      <c r="U149" s="55">
        <f t="shared" si="112"/>
        <v>1087.06</v>
      </c>
      <c r="V149" s="42">
        <f t="shared" si="108"/>
        <v>-5.7172557172557065E-2</v>
      </c>
      <c r="W149" s="55">
        <f t="shared" si="83"/>
        <v>1024.9100000000001</v>
      </c>
      <c r="X149" s="48">
        <f t="shared" si="84"/>
        <v>0</v>
      </c>
      <c r="Y149" s="68">
        <v>4</v>
      </c>
      <c r="Z149" s="28" t="str">
        <f t="shared" si="113"/>
        <v>-</v>
      </c>
    </row>
    <row r="150" spans="1:26" ht="15" hidden="1" customHeight="1">
      <c r="A150" t="s">
        <v>23</v>
      </c>
      <c r="B150" t="s">
        <v>26</v>
      </c>
      <c r="C150" s="96">
        <v>1043</v>
      </c>
      <c r="D150" t="s">
        <v>43</v>
      </c>
      <c r="E150" s="2">
        <v>113</v>
      </c>
      <c r="F150" s="1"/>
      <c r="G150" s="1">
        <v>9.65</v>
      </c>
      <c r="H150" s="11">
        <v>9.07</v>
      </c>
      <c r="I150" s="20">
        <v>6.14</v>
      </c>
      <c r="J150" s="20">
        <f t="shared" si="103"/>
        <v>3.5100000000000007</v>
      </c>
      <c r="K150" s="2">
        <f t="shared" si="104"/>
        <v>396.63000000000005</v>
      </c>
      <c r="L150" s="11">
        <v>9.08</v>
      </c>
      <c r="M150" s="20">
        <f t="shared" si="105"/>
        <v>0.57000000000000028</v>
      </c>
      <c r="N150" s="21" t="str">
        <f t="shared" si="106"/>
        <v>-</v>
      </c>
      <c r="O150" s="1">
        <f t="shared" si="110"/>
        <v>-0.16524216524216523</v>
      </c>
      <c r="P150" s="1" t="str">
        <f t="shared" si="111"/>
        <v/>
      </c>
      <c r="Q150" s="11">
        <f>VLOOKUP($D150,prices!$A$2:$C$19,3)</f>
        <v>8.19</v>
      </c>
      <c r="R150" s="11">
        <f>VLOOKUP(D150,prices!$A$2:$B$19,2)</f>
        <v>8.01</v>
      </c>
      <c r="S150" s="55">
        <f t="shared" si="114"/>
        <v>-65.540000000000006</v>
      </c>
      <c r="T150" s="55">
        <f t="shared" si="107"/>
        <v>-0.58000000000000007</v>
      </c>
      <c r="U150" s="55">
        <f t="shared" si="112"/>
        <v>1090.45</v>
      </c>
      <c r="V150" s="42">
        <f t="shared" si="108"/>
        <v>-6.0103626943005181E-2</v>
      </c>
      <c r="W150" s="55">
        <f t="shared" si="83"/>
        <v>1024.9100000000001</v>
      </c>
      <c r="X150" s="48">
        <f t="shared" si="84"/>
        <v>0</v>
      </c>
      <c r="Y150" s="68">
        <v>4</v>
      </c>
      <c r="Z150" s="28" t="str">
        <f t="shared" si="109"/>
        <v>-</v>
      </c>
    </row>
    <row r="151" spans="1:26" ht="15" hidden="1" customHeight="1">
      <c r="A151" t="s">
        <v>23</v>
      </c>
      <c r="B151" t="s">
        <v>26</v>
      </c>
      <c r="C151" s="34">
        <v>1047</v>
      </c>
      <c r="D151" t="s">
        <v>43</v>
      </c>
      <c r="E151" s="2">
        <v>110</v>
      </c>
      <c r="F151" s="1"/>
      <c r="G151" s="1">
        <v>9.65</v>
      </c>
      <c r="H151" s="11">
        <v>9.07</v>
      </c>
      <c r="I151" s="20">
        <v>6.14</v>
      </c>
      <c r="J151" s="20">
        <f t="shared" si="103"/>
        <v>3.5100000000000007</v>
      </c>
      <c r="K151" s="2">
        <f t="shared" si="104"/>
        <v>386.10000000000008</v>
      </c>
      <c r="L151" s="11">
        <v>9.08</v>
      </c>
      <c r="M151" s="20">
        <f t="shared" si="105"/>
        <v>0.57000000000000028</v>
      </c>
      <c r="N151" s="21" t="str">
        <f t="shared" si="106"/>
        <v>-</v>
      </c>
      <c r="O151" s="1">
        <f t="shared" si="110"/>
        <v>-0.16524216524216523</v>
      </c>
      <c r="P151" s="1" t="str">
        <f t="shared" si="111"/>
        <v/>
      </c>
      <c r="Q151" s="11">
        <f>VLOOKUP($D151,prices!$A$2:$C$19,3)</f>
        <v>8.19</v>
      </c>
      <c r="R151" s="11">
        <f>VLOOKUP(D151,prices!$A$2:$B$19,2)</f>
        <v>8.01</v>
      </c>
      <c r="S151" s="55">
        <f t="shared" si="114"/>
        <v>-63.800000000000011</v>
      </c>
      <c r="T151" s="55">
        <f t="shared" si="107"/>
        <v>-0.58000000000000007</v>
      </c>
      <c r="U151" s="55">
        <f t="shared" si="112"/>
        <v>1061.5</v>
      </c>
      <c r="V151" s="42">
        <f t="shared" si="108"/>
        <v>-6.0103626943005195E-2</v>
      </c>
      <c r="W151" s="55">
        <f t="shared" si="83"/>
        <v>997.7</v>
      </c>
      <c r="X151" s="48">
        <f t="shared" si="84"/>
        <v>0</v>
      </c>
      <c r="Y151" s="68">
        <v>4</v>
      </c>
      <c r="Z151" s="28" t="str">
        <f t="shared" si="109"/>
        <v>-</v>
      </c>
    </row>
    <row r="152" spans="1:26" ht="15" hidden="1" customHeight="1">
      <c r="A152" t="s">
        <v>23</v>
      </c>
      <c r="B152" t="s">
        <v>26</v>
      </c>
      <c r="C152" s="35">
        <v>1045</v>
      </c>
      <c r="D152" t="s">
        <v>43</v>
      </c>
      <c r="E152" s="2">
        <v>111</v>
      </c>
      <c r="F152" s="1"/>
      <c r="G152" s="1">
        <v>9.65</v>
      </c>
      <c r="H152" s="11">
        <v>9.07</v>
      </c>
      <c r="I152" s="20">
        <v>6.14</v>
      </c>
      <c r="J152" s="20">
        <f t="shared" si="103"/>
        <v>3.5100000000000007</v>
      </c>
      <c r="K152" s="2">
        <f t="shared" si="104"/>
        <v>389.61000000000007</v>
      </c>
      <c r="L152" s="11">
        <v>9.08</v>
      </c>
      <c r="M152" s="20">
        <f t="shared" si="105"/>
        <v>0.57000000000000028</v>
      </c>
      <c r="N152" s="21" t="str">
        <f t="shared" si="106"/>
        <v>-</v>
      </c>
      <c r="O152" s="1">
        <f t="shared" si="110"/>
        <v>-0.16524216524216523</v>
      </c>
      <c r="P152" s="1" t="str">
        <f t="shared" si="111"/>
        <v/>
      </c>
      <c r="Q152" s="11">
        <f>VLOOKUP($D152,prices!$A$2:$C$19,3)</f>
        <v>8.19</v>
      </c>
      <c r="R152" s="11">
        <f>VLOOKUP(D152,prices!$A$2:$B$19,2)</f>
        <v>8.01</v>
      </c>
      <c r="S152" s="55">
        <f t="shared" si="114"/>
        <v>-64.38000000000001</v>
      </c>
      <c r="T152" s="55">
        <f t="shared" si="107"/>
        <v>-0.58000000000000007</v>
      </c>
      <c r="U152" s="55">
        <f t="shared" si="112"/>
        <v>1071.1500000000001</v>
      </c>
      <c r="V152" s="42">
        <f t="shared" si="108"/>
        <v>-6.0103626943005188E-2</v>
      </c>
      <c r="W152" s="55">
        <f t="shared" si="83"/>
        <v>1006.77</v>
      </c>
      <c r="X152" s="48">
        <f t="shared" si="84"/>
        <v>0</v>
      </c>
      <c r="Y152" s="68">
        <v>4</v>
      </c>
      <c r="Z152" s="28" t="str">
        <f t="shared" si="109"/>
        <v>-</v>
      </c>
    </row>
    <row r="153" spans="1:26" ht="15" hidden="1" customHeight="1">
      <c r="A153" t="s">
        <v>23</v>
      </c>
      <c r="B153" t="s">
        <v>26</v>
      </c>
      <c r="C153" s="44">
        <v>1023</v>
      </c>
      <c r="D153" t="s">
        <v>43</v>
      </c>
      <c r="E153" s="2">
        <v>177</v>
      </c>
      <c r="F153" s="1"/>
      <c r="G153" s="1">
        <v>12.563000000000001</v>
      </c>
      <c r="H153" s="11">
        <v>9.92</v>
      </c>
      <c r="I153" s="20">
        <v>10</v>
      </c>
      <c r="J153" s="20">
        <f t="shared" si="103"/>
        <v>2.5630000000000006</v>
      </c>
      <c r="K153" s="2">
        <f t="shared" si="104"/>
        <v>453.65100000000012</v>
      </c>
      <c r="L153" s="11">
        <v>10</v>
      </c>
      <c r="M153" s="20">
        <f t="shared" si="105"/>
        <v>2.5630000000000006</v>
      </c>
      <c r="N153" s="21" t="str">
        <f t="shared" si="106"/>
        <v>-</v>
      </c>
      <c r="O153" s="1">
        <f t="shared" si="110"/>
        <v>-1.0312134217713618</v>
      </c>
      <c r="P153" s="1" t="str">
        <f t="shared" si="111"/>
        <v/>
      </c>
      <c r="Q153" s="11">
        <f>VLOOKUP($D153,prices!$A$2:$C$19,3)</f>
        <v>8.19</v>
      </c>
      <c r="R153" s="11">
        <f>VLOOKUP(D153,prices!$A$2:$B$19,2)</f>
        <v>8.01</v>
      </c>
      <c r="S153" s="55">
        <f t="shared" si="114"/>
        <v>-467.81100000000015</v>
      </c>
      <c r="T153" s="55">
        <f t="shared" si="107"/>
        <v>-2.6430000000000007</v>
      </c>
      <c r="U153" s="55">
        <f t="shared" si="112"/>
        <v>2223.6510000000003</v>
      </c>
      <c r="V153" s="42">
        <f t="shared" si="108"/>
        <v>-0.21037968638064161</v>
      </c>
      <c r="W153" s="55">
        <f t="shared" si="83"/>
        <v>1755.84</v>
      </c>
      <c r="X153" s="48">
        <f t="shared" si="84"/>
        <v>0</v>
      </c>
      <c r="Y153" s="68">
        <v>4</v>
      </c>
      <c r="Z153" s="28" t="str">
        <f t="shared" si="109"/>
        <v>-</v>
      </c>
    </row>
    <row r="154" spans="1:26" ht="15" hidden="1" customHeight="1">
      <c r="A154" t="s">
        <v>6</v>
      </c>
      <c r="B154" t="s">
        <v>26</v>
      </c>
      <c r="C154" s="99">
        <v>1022</v>
      </c>
      <c r="D154" t="s">
        <v>43</v>
      </c>
      <c r="E154" s="2">
        <v>53</v>
      </c>
      <c r="F154" s="1"/>
      <c r="G154" s="1">
        <v>12.563000000000001</v>
      </c>
      <c r="H154" s="11">
        <v>9.92</v>
      </c>
      <c r="I154" s="20">
        <v>10</v>
      </c>
      <c r="J154" s="20">
        <f t="shared" si="103"/>
        <v>2.5630000000000006</v>
      </c>
      <c r="K154" s="2">
        <f t="shared" si="104"/>
        <v>135.83900000000003</v>
      </c>
      <c r="L154" s="11">
        <v>10</v>
      </c>
      <c r="M154" s="20">
        <f t="shared" si="105"/>
        <v>2.5630000000000006</v>
      </c>
      <c r="N154" s="21" t="str">
        <f t="shared" si="106"/>
        <v>-</v>
      </c>
      <c r="O154" s="1">
        <f t="shared" si="110"/>
        <v>-1.0312134217713618</v>
      </c>
      <c r="P154" s="1" t="str">
        <f t="shared" si="111"/>
        <v/>
      </c>
      <c r="Q154" s="11">
        <f>VLOOKUP($D154,prices!$A$2:$C$19,3)</f>
        <v>8.19</v>
      </c>
      <c r="R154" s="11">
        <f>VLOOKUP(D154,prices!$A$2:$B$19,2)</f>
        <v>8.01</v>
      </c>
      <c r="S154" s="55">
        <f t="shared" si="114"/>
        <v>-140.07900000000004</v>
      </c>
      <c r="T154" s="55">
        <f t="shared" si="107"/>
        <v>-2.6430000000000007</v>
      </c>
      <c r="U154" s="55">
        <f t="shared" si="112"/>
        <v>665.83900000000006</v>
      </c>
      <c r="V154" s="42">
        <f t="shared" si="108"/>
        <v>-0.21037968638064161</v>
      </c>
      <c r="W154" s="55">
        <f t="shared" ref="W154:W224" si="115">IF(B154="closed",H154*E154,R154*E154)</f>
        <v>525.76</v>
      </c>
      <c r="X154" s="48">
        <f t="shared" ref="X154:X224" si="116">IF(B154="open",(R154-Q154)*E154,0)</f>
        <v>0</v>
      </c>
      <c r="Y154" s="68">
        <v>4</v>
      </c>
      <c r="Z154" s="28" t="str">
        <f t="shared" si="109"/>
        <v>-</v>
      </c>
    </row>
    <row r="155" spans="1:26" ht="15" hidden="1" customHeight="1">
      <c r="A155" t="s">
        <v>23</v>
      </c>
      <c r="B155" t="s">
        <v>26</v>
      </c>
      <c r="C155" s="99">
        <v>109</v>
      </c>
      <c r="D155" t="s">
        <v>84</v>
      </c>
      <c r="E155" s="2">
        <f>ROUNDUP(750/Y155,0)</f>
        <v>188</v>
      </c>
      <c r="F155" s="1"/>
      <c r="G155" s="1">
        <f>2.54*Y155</f>
        <v>10.16</v>
      </c>
      <c r="H155" s="11">
        <v>12.85</v>
      </c>
      <c r="I155" s="20">
        <f>Y155*1.96</f>
        <v>7.84</v>
      </c>
      <c r="J155" s="20">
        <f t="shared" si="103"/>
        <v>2.3200000000000003</v>
      </c>
      <c r="K155" s="2">
        <f t="shared" si="104"/>
        <v>436.16000000000008</v>
      </c>
      <c r="L155" s="11">
        <v>13.21</v>
      </c>
      <c r="M155" s="20">
        <f t="shared" si="105"/>
        <v>0</v>
      </c>
      <c r="N155" s="21" t="str">
        <f t="shared" si="106"/>
        <v>-</v>
      </c>
      <c r="O155" s="1">
        <f t="shared" si="110"/>
        <v>1.1594827586206893</v>
      </c>
      <c r="P155" s="1" t="str">
        <f t="shared" si="111"/>
        <v/>
      </c>
      <c r="Q155" s="11">
        <f>VLOOKUP($D155,prices!$A$2:$C$19,3)</f>
        <v>8.19</v>
      </c>
      <c r="R155" s="11">
        <f>VLOOKUP(D155,prices!$A$2:$B$19,2)</f>
        <v>8.01</v>
      </c>
      <c r="S155" s="55">
        <f t="shared" si="114"/>
        <v>505.71999999999991</v>
      </c>
      <c r="T155" s="55">
        <f t="shared" si="107"/>
        <v>2.6899999999999995</v>
      </c>
      <c r="U155" s="55">
        <f t="shared" si="112"/>
        <v>1910.08</v>
      </c>
      <c r="V155" s="42">
        <f t="shared" si="108"/>
        <v>0.26476377952755903</v>
      </c>
      <c r="W155" s="55">
        <f t="shared" si="115"/>
        <v>2415.7999999999997</v>
      </c>
      <c r="X155" s="48">
        <f t="shared" si="116"/>
        <v>0</v>
      </c>
      <c r="Y155" s="68">
        <v>4</v>
      </c>
      <c r="Z155" s="28" t="str">
        <f t="shared" ref="Z155:Z156" si="117">IF(B155="open",(R155-L155)*E155,"-")</f>
        <v>-</v>
      </c>
    </row>
    <row r="156" spans="1:26" ht="15" hidden="1" customHeight="1">
      <c r="A156" t="s">
        <v>23</v>
      </c>
      <c r="B156" t="s">
        <v>26</v>
      </c>
      <c r="C156" s="100">
        <v>113</v>
      </c>
      <c r="D156" t="s">
        <v>84</v>
      </c>
      <c r="E156" s="2">
        <f>ROUNDUP(744/Y156,0)</f>
        <v>186</v>
      </c>
      <c r="F156" s="1"/>
      <c r="G156" s="1">
        <f>2.48*Y156</f>
        <v>9.92</v>
      </c>
      <c r="H156" s="11">
        <v>12.85</v>
      </c>
      <c r="I156" s="20">
        <f>Y156*1.92</f>
        <v>7.68</v>
      </c>
      <c r="J156" s="20">
        <f t="shared" si="103"/>
        <v>2.2400000000000002</v>
      </c>
      <c r="K156" s="2">
        <f t="shared" si="104"/>
        <v>416.64000000000004</v>
      </c>
      <c r="L156" s="11">
        <v>13.21</v>
      </c>
      <c r="M156" s="20">
        <f t="shared" si="105"/>
        <v>0</v>
      </c>
      <c r="N156" s="21" t="str">
        <f t="shared" si="106"/>
        <v>-</v>
      </c>
      <c r="O156" s="1">
        <f t="shared" si="110"/>
        <v>1.308035714285714</v>
      </c>
      <c r="P156" s="1" t="str">
        <f t="shared" si="111"/>
        <v/>
      </c>
      <c r="Q156" s="11">
        <f>VLOOKUP($D156,prices!$A$2:$C$19,3)</f>
        <v>8.19</v>
      </c>
      <c r="R156" s="11">
        <f>VLOOKUP(D156,prices!$A$2:$B$19,2)</f>
        <v>8.01</v>
      </c>
      <c r="S156" s="55">
        <f t="shared" si="114"/>
        <v>544.9799999999999</v>
      </c>
      <c r="T156" s="55">
        <f t="shared" si="107"/>
        <v>2.9299999999999997</v>
      </c>
      <c r="U156" s="55">
        <f t="shared" si="112"/>
        <v>1845.12</v>
      </c>
      <c r="V156" s="42">
        <f t="shared" si="108"/>
        <v>0.29536290322580644</v>
      </c>
      <c r="W156" s="55">
        <f t="shared" si="115"/>
        <v>2390.1</v>
      </c>
      <c r="X156" s="48">
        <f t="shared" si="116"/>
        <v>0</v>
      </c>
      <c r="Y156" s="68">
        <v>4</v>
      </c>
      <c r="Z156" s="28" t="str">
        <f t="shared" si="117"/>
        <v>-</v>
      </c>
    </row>
    <row r="157" spans="1:26" ht="15" hidden="1" customHeight="1">
      <c r="A157" t="s">
        <v>23</v>
      </c>
      <c r="B157" t="s">
        <v>126</v>
      </c>
      <c r="C157" s="44"/>
      <c r="D157" t="s">
        <v>84</v>
      </c>
      <c r="E157" s="2">
        <v>-1</v>
      </c>
      <c r="F157" s="1"/>
      <c r="G157" s="1">
        <v>14.58</v>
      </c>
      <c r="H157" s="11">
        <v>13.981</v>
      </c>
      <c r="I157" s="20">
        <v>14</v>
      </c>
      <c r="J157" s="20">
        <f t="shared" si="103"/>
        <v>0.58000000000000007</v>
      </c>
      <c r="K157" s="2">
        <f t="shared" si="104"/>
        <v>-0.58000000000000007</v>
      </c>
      <c r="L157" s="11">
        <v>14</v>
      </c>
      <c r="M157" s="20">
        <f t="shared" si="105"/>
        <v>0.58000000000000007</v>
      </c>
      <c r="N157" s="21" t="str">
        <f t="shared" si="106"/>
        <v>-</v>
      </c>
      <c r="O157" s="1">
        <f t="shared" si="110"/>
        <v>-1.0327586206896553</v>
      </c>
      <c r="P157" s="1" t="str">
        <f t="shared" si="111"/>
        <v/>
      </c>
      <c r="Q157" s="11">
        <f>VLOOKUP($D157,prices!$A$2:$C$19,3)</f>
        <v>8.19</v>
      </c>
      <c r="R157" s="11">
        <f>VLOOKUP(D157,prices!$A$2:$B$19,2)</f>
        <v>8.01</v>
      </c>
      <c r="S157" s="55">
        <f t="shared" si="114"/>
        <v>6.57</v>
      </c>
      <c r="T157" s="55">
        <f t="shared" si="107"/>
        <v>-6.57</v>
      </c>
      <c r="U157" s="55">
        <f t="shared" si="112"/>
        <v>-14.58</v>
      </c>
      <c r="V157" s="42">
        <f t="shared" si="108"/>
        <v>-0.45061728395061729</v>
      </c>
      <c r="W157" s="55">
        <f t="shared" si="115"/>
        <v>-8.01</v>
      </c>
      <c r="X157" s="48">
        <f t="shared" si="116"/>
        <v>0</v>
      </c>
      <c r="Y157" s="68">
        <v>4</v>
      </c>
      <c r="Z157" s="28" t="str">
        <f t="shared" si="109"/>
        <v>-</v>
      </c>
    </row>
    <row r="158" spans="1:26" ht="15" hidden="1" customHeight="1">
      <c r="A158" t="s">
        <v>6</v>
      </c>
      <c r="B158" t="s">
        <v>26</v>
      </c>
      <c r="C158" s="16">
        <v>110</v>
      </c>
      <c r="D158" t="s">
        <v>84</v>
      </c>
      <c r="E158" s="2">
        <f>ROUNDUP(212/Y158,0)</f>
        <v>53</v>
      </c>
      <c r="F158" s="1"/>
      <c r="G158" s="1">
        <f>2.54*Y158</f>
        <v>10.16</v>
      </c>
      <c r="H158" s="11">
        <v>12.85</v>
      </c>
      <c r="I158" s="20">
        <f>Y158*1.96</f>
        <v>7.84</v>
      </c>
      <c r="J158" s="20">
        <f t="shared" si="103"/>
        <v>2.3200000000000003</v>
      </c>
      <c r="K158" s="2">
        <f t="shared" si="104"/>
        <v>122.96000000000001</v>
      </c>
      <c r="L158" s="11">
        <v>13.21</v>
      </c>
      <c r="M158" s="20">
        <f t="shared" si="105"/>
        <v>0</v>
      </c>
      <c r="N158" s="21" t="str">
        <f t="shared" si="106"/>
        <v>-</v>
      </c>
      <c r="O158" s="1">
        <f t="shared" si="110"/>
        <v>1.1594827586206893</v>
      </c>
      <c r="P158" s="1" t="str">
        <f t="shared" si="111"/>
        <v/>
      </c>
      <c r="Q158" s="11">
        <f>VLOOKUP($D158,prices!$A$2:$C$19,3)</f>
        <v>8.19</v>
      </c>
      <c r="R158" s="11">
        <f>VLOOKUP(D158,prices!$A$2:$B$19,2)</f>
        <v>8.01</v>
      </c>
      <c r="S158" s="55">
        <f t="shared" si="114"/>
        <v>142.56999999999996</v>
      </c>
      <c r="T158" s="55">
        <f t="shared" si="107"/>
        <v>2.6899999999999995</v>
      </c>
      <c r="U158" s="55">
        <f t="shared" si="112"/>
        <v>538.48</v>
      </c>
      <c r="V158" s="42">
        <f t="shared" si="108"/>
        <v>0.26476377952755897</v>
      </c>
      <c r="W158" s="55">
        <f t="shared" si="115"/>
        <v>681.05</v>
      </c>
      <c r="X158" s="48">
        <f t="shared" si="116"/>
        <v>0</v>
      </c>
      <c r="Y158" s="68">
        <v>4</v>
      </c>
      <c r="Z158" s="28" t="str">
        <f t="shared" si="109"/>
        <v>-</v>
      </c>
    </row>
    <row r="159" spans="1:26" ht="15" hidden="1" customHeight="1">
      <c r="A159" t="s">
        <v>6</v>
      </c>
      <c r="B159" t="s">
        <v>26</v>
      </c>
      <c r="C159" s="105">
        <v>114</v>
      </c>
      <c r="D159" t="s">
        <v>84</v>
      </c>
      <c r="E159" s="2">
        <f>ROUNDUP(213/Y159,0)</f>
        <v>54</v>
      </c>
      <c r="F159" s="1"/>
      <c r="G159" s="1">
        <f>2.49*Y159</f>
        <v>9.9600000000000009</v>
      </c>
      <c r="H159" s="11">
        <v>12.85</v>
      </c>
      <c r="I159" s="20">
        <f>Y159*1.91</f>
        <v>7.64</v>
      </c>
      <c r="J159" s="20">
        <f t="shared" si="103"/>
        <v>2.3200000000000012</v>
      </c>
      <c r="K159" s="2">
        <f t="shared" si="104"/>
        <v>125.28000000000006</v>
      </c>
      <c r="L159" s="11">
        <v>13.21</v>
      </c>
      <c r="M159" s="20">
        <f t="shared" si="105"/>
        <v>0</v>
      </c>
      <c r="N159" s="21" t="str">
        <f t="shared" si="106"/>
        <v>-</v>
      </c>
      <c r="O159" s="1">
        <f t="shared" si="110"/>
        <v>1.2456896551724126</v>
      </c>
      <c r="P159" s="1" t="str">
        <f t="shared" si="111"/>
        <v/>
      </c>
      <c r="Q159" s="11">
        <f>VLOOKUP($D159,prices!$A$2:$C$19,3)</f>
        <v>8.19</v>
      </c>
      <c r="R159" s="11">
        <f>VLOOKUP(D159,prices!$A$2:$B$19,2)</f>
        <v>8.01</v>
      </c>
      <c r="S159" s="55">
        <f t="shared" si="114"/>
        <v>156.05999999999995</v>
      </c>
      <c r="T159" s="55">
        <f t="shared" si="107"/>
        <v>2.8899999999999988</v>
      </c>
      <c r="U159" s="55">
        <f t="shared" si="112"/>
        <v>537.84</v>
      </c>
      <c r="V159" s="42">
        <f t="shared" si="108"/>
        <v>0.29016064257028101</v>
      </c>
      <c r="W159" s="55">
        <f t="shared" si="115"/>
        <v>693.9</v>
      </c>
      <c r="X159" s="48">
        <f t="shared" si="116"/>
        <v>0</v>
      </c>
      <c r="Y159" s="68">
        <v>4</v>
      </c>
      <c r="Z159" s="28" t="str">
        <f t="shared" ref="Z159" si="118">IF(B159="open",(R159-L159)*E159,"-")</f>
        <v>-</v>
      </c>
    </row>
    <row r="160" spans="1:26" ht="15" hidden="1" customHeight="1">
      <c r="A160" t="s">
        <v>23</v>
      </c>
      <c r="B160" t="s">
        <v>26</v>
      </c>
      <c r="C160" s="105">
        <v>156</v>
      </c>
      <c r="D160" t="s">
        <v>84</v>
      </c>
      <c r="E160" s="2">
        <v>172</v>
      </c>
      <c r="F160" s="1"/>
      <c r="G160" s="1">
        <v>15.25</v>
      </c>
      <c r="H160" s="11">
        <v>12.85</v>
      </c>
      <c r="I160" s="20">
        <v>13.04</v>
      </c>
      <c r="J160" s="20">
        <f t="shared" si="103"/>
        <v>2.2100000000000009</v>
      </c>
      <c r="K160" s="2">
        <f t="shared" si="104"/>
        <v>380.12000000000012</v>
      </c>
      <c r="L160" s="11">
        <v>13.21</v>
      </c>
      <c r="M160" s="20">
        <f t="shared" si="105"/>
        <v>2.0399999999999991</v>
      </c>
      <c r="N160" s="21" t="str">
        <f t="shared" si="106"/>
        <v>-</v>
      </c>
      <c r="O160" s="1">
        <f t="shared" si="110"/>
        <v>-1.0859728506787327</v>
      </c>
      <c r="P160" s="1" t="str">
        <f t="shared" si="111"/>
        <v/>
      </c>
      <c r="Q160" s="11">
        <f>VLOOKUP($D160,prices!$A$2:$C$19,3)</f>
        <v>8.19</v>
      </c>
      <c r="R160" s="11">
        <f>VLOOKUP(D160,prices!$A$2:$B$19,2)</f>
        <v>8.01</v>
      </c>
      <c r="S160" s="55">
        <f t="shared" si="114"/>
        <v>-412.80000000000007</v>
      </c>
      <c r="T160" s="55">
        <f t="shared" si="107"/>
        <v>-2.4000000000000004</v>
      </c>
      <c r="U160" s="55">
        <f t="shared" si="112"/>
        <v>2623</v>
      </c>
      <c r="V160" s="42">
        <f t="shared" si="108"/>
        <v>-0.15737704918032788</v>
      </c>
      <c r="W160" s="55">
        <f t="shared" si="115"/>
        <v>2210.1999999999998</v>
      </c>
      <c r="X160" s="48">
        <f t="shared" si="116"/>
        <v>0</v>
      </c>
      <c r="Y160" s="68">
        <v>4</v>
      </c>
      <c r="Z160" s="28" t="str">
        <f t="shared" si="109"/>
        <v>-</v>
      </c>
    </row>
    <row r="161" spans="1:26" ht="15" hidden="1" customHeight="1">
      <c r="A161" t="s">
        <v>6</v>
      </c>
      <c r="B161" t="s">
        <v>26</v>
      </c>
      <c r="C161" s="104">
        <v>157</v>
      </c>
      <c r="D161" t="s">
        <v>84</v>
      </c>
      <c r="E161" s="2">
        <v>59</v>
      </c>
      <c r="F161" s="1"/>
      <c r="G161" s="1">
        <v>15.25</v>
      </c>
      <c r="H161" s="11">
        <v>12.85</v>
      </c>
      <c r="I161" s="20">
        <v>13.04</v>
      </c>
      <c r="J161" s="20">
        <f t="shared" si="103"/>
        <v>2.2100000000000009</v>
      </c>
      <c r="K161" s="2">
        <f t="shared" si="104"/>
        <v>130.39000000000004</v>
      </c>
      <c r="L161" s="11">
        <v>13.21</v>
      </c>
      <c r="M161" s="20">
        <f t="shared" si="105"/>
        <v>2.0399999999999991</v>
      </c>
      <c r="N161" s="21" t="str">
        <f t="shared" si="106"/>
        <v>-</v>
      </c>
      <c r="O161" s="1">
        <f t="shared" si="110"/>
        <v>-1.0859728506787327</v>
      </c>
      <c r="P161" s="1" t="str">
        <f t="shared" si="111"/>
        <v/>
      </c>
      <c r="Q161" s="11">
        <f>VLOOKUP($D161,prices!$A$2:$C$19,3)</f>
        <v>8.19</v>
      </c>
      <c r="R161" s="11">
        <f>VLOOKUP(D161,prices!$A$2:$B$19,2)</f>
        <v>8.01</v>
      </c>
      <c r="S161" s="55">
        <f t="shared" si="114"/>
        <v>-141.60000000000002</v>
      </c>
      <c r="T161" s="55">
        <f t="shared" si="107"/>
        <v>-2.4000000000000004</v>
      </c>
      <c r="U161" s="55">
        <f t="shared" si="112"/>
        <v>899.75</v>
      </c>
      <c r="V161" s="42">
        <f t="shared" si="108"/>
        <v>-0.15737704918032788</v>
      </c>
      <c r="W161" s="55">
        <f t="shared" si="115"/>
        <v>758.15</v>
      </c>
      <c r="X161" s="48">
        <f t="shared" si="116"/>
        <v>0</v>
      </c>
      <c r="Y161" s="68">
        <v>4</v>
      </c>
      <c r="Z161" s="28" t="str">
        <f t="shared" ref="Z161:Z167" si="119">IF(B161="open",(R161-L161)*E161,"-")</f>
        <v>-</v>
      </c>
    </row>
    <row r="162" spans="1:26" ht="15" hidden="1" customHeight="1">
      <c r="A162" t="s">
        <v>23</v>
      </c>
      <c r="B162" t="s">
        <v>26</v>
      </c>
      <c r="C162" s="105">
        <v>189</v>
      </c>
      <c r="D162" t="s">
        <v>84</v>
      </c>
      <c r="E162" s="2">
        <v>161</v>
      </c>
      <c r="F162" s="1"/>
      <c r="G162" s="1">
        <v>13.631</v>
      </c>
      <c r="H162" s="11">
        <v>14.13</v>
      </c>
      <c r="I162" s="20">
        <v>11.01</v>
      </c>
      <c r="J162" s="20">
        <f t="shared" si="103"/>
        <v>2.6210000000000004</v>
      </c>
      <c r="K162" s="2">
        <f t="shared" si="104"/>
        <v>421.98100000000005</v>
      </c>
      <c r="L162" s="11">
        <v>12.24</v>
      </c>
      <c r="M162" s="20">
        <f t="shared" si="105"/>
        <v>1.391</v>
      </c>
      <c r="N162" s="21" t="str">
        <f t="shared" si="106"/>
        <v>-</v>
      </c>
      <c r="O162" s="1">
        <f t="shared" si="110"/>
        <v>0.19038534910339583</v>
      </c>
      <c r="P162" s="1" t="str">
        <f t="shared" si="111"/>
        <v/>
      </c>
      <c r="Q162" s="11">
        <f>VLOOKUP($D162,prices!$A$2:$C$19,3)</f>
        <v>8.19</v>
      </c>
      <c r="R162" s="11">
        <f>VLOOKUP(D162,prices!$A$2:$B$19,2)</f>
        <v>8.01</v>
      </c>
      <c r="S162" s="55">
        <f t="shared" si="114"/>
        <v>80.339000000000084</v>
      </c>
      <c r="T162" s="55">
        <f t="shared" si="107"/>
        <v>0.49900000000000055</v>
      </c>
      <c r="U162" s="55">
        <f t="shared" si="112"/>
        <v>2194.5909999999999</v>
      </c>
      <c r="V162" s="42">
        <f t="shared" si="108"/>
        <v>3.6607732374734102E-2</v>
      </c>
      <c r="W162" s="55">
        <f t="shared" si="115"/>
        <v>2274.9300000000003</v>
      </c>
      <c r="X162" s="48">
        <f t="shared" si="116"/>
        <v>0</v>
      </c>
      <c r="Y162" s="68">
        <v>4</v>
      </c>
      <c r="Z162" s="28" t="str">
        <f t="shared" si="119"/>
        <v>-</v>
      </c>
    </row>
    <row r="163" spans="1:26" ht="15" hidden="1" customHeight="1">
      <c r="A163" t="s">
        <v>23</v>
      </c>
      <c r="B163" t="s">
        <v>26</v>
      </c>
      <c r="C163" s="108">
        <v>202</v>
      </c>
      <c r="D163" t="s">
        <v>84</v>
      </c>
      <c r="E163" s="2">
        <v>195</v>
      </c>
      <c r="F163" s="1"/>
      <c r="G163" s="1">
        <v>15.89</v>
      </c>
      <c r="H163" s="11">
        <v>14.1304</v>
      </c>
      <c r="I163" s="20">
        <v>14.14</v>
      </c>
      <c r="J163" s="20">
        <f t="shared" si="103"/>
        <v>1.75</v>
      </c>
      <c r="K163" s="2">
        <f t="shared" si="104"/>
        <v>341.25</v>
      </c>
      <c r="L163" s="11">
        <v>14.14</v>
      </c>
      <c r="M163" s="20">
        <f t="shared" si="105"/>
        <v>1.75</v>
      </c>
      <c r="N163" s="21" t="str">
        <f t="shared" si="106"/>
        <v>-</v>
      </c>
      <c r="O163" s="1">
        <f t="shared" si="110"/>
        <v>-1.0054857142857148</v>
      </c>
      <c r="P163" s="1" t="str">
        <f t="shared" si="111"/>
        <v/>
      </c>
      <c r="Q163" s="11">
        <f>VLOOKUP($D163,prices!$A$2:$C$19,3)</f>
        <v>8.19</v>
      </c>
      <c r="R163" s="11">
        <f>VLOOKUP(D163,prices!$A$2:$B$19,2)</f>
        <v>8.01</v>
      </c>
      <c r="S163" s="55">
        <f t="shared" si="114"/>
        <v>-343.12200000000013</v>
      </c>
      <c r="T163" s="55">
        <f t="shared" si="107"/>
        <v>-1.7596000000000007</v>
      </c>
      <c r="U163" s="55">
        <f t="shared" si="112"/>
        <v>3098.55</v>
      </c>
      <c r="V163" s="42">
        <f t="shared" si="108"/>
        <v>-0.11073631214600381</v>
      </c>
      <c r="W163" s="55">
        <f t="shared" si="115"/>
        <v>2755.4279999999999</v>
      </c>
      <c r="X163" s="48">
        <f t="shared" si="116"/>
        <v>0</v>
      </c>
      <c r="Y163" s="68">
        <v>4</v>
      </c>
      <c r="Z163" s="28" t="str">
        <f t="shared" si="119"/>
        <v>-</v>
      </c>
    </row>
    <row r="164" spans="1:26" ht="15" hidden="1" customHeight="1">
      <c r="A164" t="s">
        <v>6</v>
      </c>
      <c r="B164" t="s">
        <v>26</v>
      </c>
      <c r="C164" s="108">
        <v>203</v>
      </c>
      <c r="D164" t="s">
        <v>84</v>
      </c>
      <c r="E164" s="2">
        <v>51</v>
      </c>
      <c r="F164" s="1"/>
      <c r="G164" s="1">
        <v>15.89</v>
      </c>
      <c r="H164" s="11">
        <v>14.13</v>
      </c>
      <c r="I164" s="20">
        <v>14.14</v>
      </c>
      <c r="J164" s="20">
        <f t="shared" si="103"/>
        <v>1.75</v>
      </c>
      <c r="K164" s="2">
        <f t="shared" si="104"/>
        <v>89.25</v>
      </c>
      <c r="L164" s="11">
        <v>14.14</v>
      </c>
      <c r="M164" s="20">
        <f t="shared" si="105"/>
        <v>1.75</v>
      </c>
      <c r="N164" s="21" t="str">
        <f t="shared" si="106"/>
        <v>-</v>
      </c>
      <c r="O164" s="1">
        <f t="shared" si="110"/>
        <v>-1.0057142857142856</v>
      </c>
      <c r="P164" s="1" t="str">
        <f t="shared" si="111"/>
        <v/>
      </c>
      <c r="Q164" s="11">
        <f>VLOOKUP($D164,prices!$A$2:$C$19,3)</f>
        <v>8.19</v>
      </c>
      <c r="R164" s="11">
        <f>VLOOKUP(D164,prices!$A$2:$B$19,2)</f>
        <v>8.01</v>
      </c>
      <c r="S164" s="55">
        <f t="shared" si="114"/>
        <v>-89.759999999999991</v>
      </c>
      <c r="T164" s="55">
        <f t="shared" si="107"/>
        <v>-1.7599999999999998</v>
      </c>
      <c r="U164" s="55">
        <f t="shared" si="112"/>
        <v>810.39</v>
      </c>
      <c r="V164" s="42">
        <f t="shared" si="108"/>
        <v>-0.11076148521082441</v>
      </c>
      <c r="W164" s="55">
        <f t="shared" si="115"/>
        <v>720.63</v>
      </c>
      <c r="X164" s="48">
        <f t="shared" si="116"/>
        <v>0</v>
      </c>
      <c r="Y164" s="68">
        <v>4</v>
      </c>
      <c r="Z164" s="28" t="str">
        <f t="shared" si="119"/>
        <v>-</v>
      </c>
    </row>
    <row r="165" spans="1:26" ht="15" hidden="1" customHeight="1">
      <c r="A165" t="s">
        <v>6</v>
      </c>
      <c r="B165" t="s">
        <v>26</v>
      </c>
      <c r="C165" s="108">
        <v>188</v>
      </c>
      <c r="D165" t="s">
        <v>84</v>
      </c>
      <c r="E165" s="2">
        <v>52</v>
      </c>
      <c r="F165" s="1"/>
      <c r="G165" s="1">
        <v>13.61</v>
      </c>
      <c r="H165" s="11">
        <v>14.13</v>
      </c>
      <c r="I165" s="20">
        <v>11.01</v>
      </c>
      <c r="J165" s="20">
        <f t="shared" ref="J165:J184" si="120">IF(AND(ISNUMBER(G165),ISNUMBER(I165)),G165-I165,"-")</f>
        <v>2.5999999999999996</v>
      </c>
      <c r="K165" s="2">
        <f t="shared" ref="K165:K184" si="121">IFERROR(E165*J165,"-")</f>
        <v>135.19999999999999</v>
      </c>
      <c r="L165" s="11">
        <v>12.56</v>
      </c>
      <c r="M165" s="20">
        <f t="shared" ref="M165:M184" si="122">IF(AND(ISNUMBER(G165),ISNUMBER(L165)),MAX(0,G165-L165),"-")</f>
        <v>1.0499999999999989</v>
      </c>
      <c r="N165" s="21" t="str">
        <f t="shared" ref="N165:N184" si="123">IF(B165="open",M165*E165,"-")</f>
        <v>-</v>
      </c>
      <c r="O165" s="1">
        <f t="shared" si="110"/>
        <v>0.20000000000000054</v>
      </c>
      <c r="P165" s="1" t="str">
        <f t="shared" si="111"/>
        <v/>
      </c>
      <c r="Q165" s="11">
        <f>VLOOKUP($D165,prices!$A$2:$C$19,3)</f>
        <v>8.19</v>
      </c>
      <c r="R165" s="11">
        <f>VLOOKUP(D165,prices!$A$2:$B$19,2)</f>
        <v>8.01</v>
      </c>
      <c r="S165" s="55">
        <f t="shared" si="114"/>
        <v>27.04000000000007</v>
      </c>
      <c r="T165" s="55">
        <f t="shared" ref="T165:T184" si="124">IF(ISNUMBER($E165),IF($B165="closed",($H165-$G165),($R165-$G165)),"")</f>
        <v>0.52000000000000135</v>
      </c>
      <c r="U165" s="55">
        <f t="shared" si="112"/>
        <v>707.72</v>
      </c>
      <c r="V165" s="42">
        <f t="shared" si="108"/>
        <v>3.8207200587803185E-2</v>
      </c>
      <c r="W165" s="55">
        <f t="shared" si="115"/>
        <v>734.76</v>
      </c>
      <c r="X165" s="48">
        <f t="shared" si="116"/>
        <v>0</v>
      </c>
      <c r="Y165" s="68">
        <v>4</v>
      </c>
      <c r="Z165" s="28" t="str">
        <f t="shared" si="119"/>
        <v>-</v>
      </c>
    </row>
    <row r="166" spans="1:26" ht="15" hidden="1" customHeight="1">
      <c r="A166" t="s">
        <v>23</v>
      </c>
      <c r="B166" t="s">
        <v>26</v>
      </c>
      <c r="C166" s="108">
        <v>227</v>
      </c>
      <c r="D166" t="s">
        <v>84</v>
      </c>
      <c r="E166" s="2">
        <v>494</v>
      </c>
      <c r="F166" s="1"/>
      <c r="G166" s="1">
        <v>14.58</v>
      </c>
      <c r="H166" s="11">
        <v>13.981</v>
      </c>
      <c r="I166" s="20">
        <v>14</v>
      </c>
      <c r="J166" s="20">
        <f t="shared" si="120"/>
        <v>0.58000000000000007</v>
      </c>
      <c r="K166" s="2">
        <f t="shared" si="121"/>
        <v>286.52000000000004</v>
      </c>
      <c r="L166" s="11">
        <v>14</v>
      </c>
      <c r="M166" s="20">
        <f t="shared" si="122"/>
        <v>0.58000000000000007</v>
      </c>
      <c r="N166" s="21" t="str">
        <f t="shared" si="123"/>
        <v>-</v>
      </c>
      <c r="O166" s="1">
        <f t="shared" si="110"/>
        <v>-1.0327586206896553</v>
      </c>
      <c r="P166" s="1" t="str">
        <f t="shared" si="111"/>
        <v/>
      </c>
      <c r="Q166" s="11">
        <f>VLOOKUP($D166,prices!$A$2:$C$19,3)</f>
        <v>8.19</v>
      </c>
      <c r="R166" s="11">
        <f>VLOOKUP(D166,prices!$A$2:$B$19,2)</f>
        <v>8.01</v>
      </c>
      <c r="S166" s="55">
        <f t="shared" si="114"/>
        <v>-295.90600000000012</v>
      </c>
      <c r="T166" s="55">
        <f t="shared" si="124"/>
        <v>-0.5990000000000002</v>
      </c>
      <c r="U166" s="55">
        <f t="shared" si="112"/>
        <v>7202.52</v>
      </c>
      <c r="V166" s="42">
        <f t="shared" ref="V166:V184" si="125">S166/U166</f>
        <v>-4.1083676268861467E-2</v>
      </c>
      <c r="W166" s="55">
        <f t="shared" si="115"/>
        <v>6906.6139999999996</v>
      </c>
      <c r="X166" s="48">
        <f t="shared" si="116"/>
        <v>0</v>
      </c>
      <c r="Y166" s="68">
        <v>4</v>
      </c>
      <c r="Z166" s="28" t="str">
        <f t="shared" ref="Z166" si="126">IF(B166="open",(R166-L166)*E166,"-")</f>
        <v>-</v>
      </c>
    </row>
    <row r="167" spans="1:26" ht="15" hidden="1" customHeight="1">
      <c r="A167" t="s">
        <v>6</v>
      </c>
      <c r="B167" t="s">
        <v>26</v>
      </c>
      <c r="C167" s="105">
        <v>228</v>
      </c>
      <c r="D167" t="s">
        <v>84</v>
      </c>
      <c r="E167" s="2">
        <v>162</v>
      </c>
      <c r="F167" s="1"/>
      <c r="G167" s="1">
        <v>14.58</v>
      </c>
      <c r="H167" s="11">
        <v>13.981</v>
      </c>
      <c r="I167" s="20">
        <v>14</v>
      </c>
      <c r="J167" s="20">
        <f t="shared" si="120"/>
        <v>0.58000000000000007</v>
      </c>
      <c r="K167" s="2">
        <f t="shared" si="121"/>
        <v>93.960000000000008</v>
      </c>
      <c r="L167" s="11">
        <v>14</v>
      </c>
      <c r="M167" s="20">
        <f t="shared" si="122"/>
        <v>0.58000000000000007</v>
      </c>
      <c r="N167" s="21" t="str">
        <f t="shared" si="123"/>
        <v>-</v>
      </c>
      <c r="O167" s="1">
        <f t="shared" si="110"/>
        <v>-1.0327586206896553</v>
      </c>
      <c r="P167" s="1" t="str">
        <f t="shared" si="111"/>
        <v/>
      </c>
      <c r="Q167" s="11">
        <f>VLOOKUP($D167,prices!$A$2:$C$19,3)</f>
        <v>8.19</v>
      </c>
      <c r="R167" s="11">
        <f>VLOOKUP(D167,prices!$A$2:$B$19,2)</f>
        <v>8.01</v>
      </c>
      <c r="S167" s="55">
        <f t="shared" si="114"/>
        <v>-97.038000000000039</v>
      </c>
      <c r="T167" s="55">
        <f t="shared" si="124"/>
        <v>-0.5990000000000002</v>
      </c>
      <c r="U167" s="55">
        <f t="shared" si="112"/>
        <v>2361.96</v>
      </c>
      <c r="V167" s="42">
        <f t="shared" si="125"/>
        <v>-4.1083676268861467E-2</v>
      </c>
      <c r="W167" s="55">
        <f t="shared" si="115"/>
        <v>2264.922</v>
      </c>
      <c r="X167" s="48">
        <f t="shared" si="116"/>
        <v>0</v>
      </c>
      <c r="Y167" s="68">
        <v>4</v>
      </c>
      <c r="Z167" s="28" t="str">
        <f t="shared" si="119"/>
        <v>-</v>
      </c>
    </row>
    <row r="168" spans="1:26" ht="15" hidden="1" customHeight="1">
      <c r="A168" t="s">
        <v>6</v>
      </c>
      <c r="B168" t="s">
        <v>26</v>
      </c>
      <c r="C168" s="104">
        <v>1016</v>
      </c>
      <c r="D168" t="s">
        <v>84</v>
      </c>
      <c r="E168" s="2">
        <v>1499</v>
      </c>
      <c r="F168" s="1"/>
      <c r="G168" s="1">
        <v>9.5269999999999992</v>
      </c>
      <c r="H168" s="11">
        <v>13.129</v>
      </c>
      <c r="I168" s="20">
        <f>Y168*1.15</f>
        <v>4.5999999999999996</v>
      </c>
      <c r="J168" s="20">
        <f t="shared" si="120"/>
        <v>4.9269999999999996</v>
      </c>
      <c r="K168" s="2">
        <f t="shared" si="121"/>
        <v>7385.5729999999994</v>
      </c>
      <c r="L168" s="11">
        <v>13.35</v>
      </c>
      <c r="M168" s="20">
        <f t="shared" si="122"/>
        <v>0</v>
      </c>
      <c r="N168" s="21" t="str">
        <f t="shared" si="123"/>
        <v>-</v>
      </c>
      <c r="O168" s="1">
        <f t="shared" si="110"/>
        <v>0.73107367566470483</v>
      </c>
      <c r="P168" s="1" t="str">
        <f t="shared" si="111"/>
        <v/>
      </c>
      <c r="Q168" s="11">
        <f>VLOOKUP($D168,prices!$A$2:$C$19,3)</f>
        <v>8.19</v>
      </c>
      <c r="R168" s="11">
        <f>VLOOKUP(D168,prices!$A$2:$B$19,2)</f>
        <v>8.01</v>
      </c>
      <c r="S168" s="55">
        <f t="shared" si="114"/>
        <v>5399.3980000000001</v>
      </c>
      <c r="T168" s="55">
        <f t="shared" si="124"/>
        <v>3.6020000000000003</v>
      </c>
      <c r="U168" s="55">
        <f t="shared" si="112"/>
        <v>14280.972999999998</v>
      </c>
      <c r="V168" s="42">
        <f t="shared" si="125"/>
        <v>0.37808334208040312</v>
      </c>
      <c r="W168" s="55">
        <f t="shared" si="115"/>
        <v>19680.370999999999</v>
      </c>
      <c r="X168" s="48">
        <f t="shared" si="116"/>
        <v>0</v>
      </c>
      <c r="Y168" s="68">
        <v>4</v>
      </c>
      <c r="Z168" s="28" t="str">
        <f t="shared" si="109"/>
        <v>-</v>
      </c>
    </row>
    <row r="169" spans="1:26" hidden="1">
      <c r="A169" t="s">
        <v>23</v>
      </c>
      <c r="B169" t="s">
        <v>26</v>
      </c>
      <c r="C169" s="109">
        <v>1055</v>
      </c>
      <c r="D169" t="s">
        <v>43</v>
      </c>
      <c r="E169" s="72">
        <v>175</v>
      </c>
      <c r="F169" s="1"/>
      <c r="G169" s="1">
        <v>11.053000000000001</v>
      </c>
      <c r="H169" s="11">
        <v>8.9</v>
      </c>
      <c r="I169" s="20">
        <v>8.7799999999999994</v>
      </c>
      <c r="J169" s="20">
        <f t="shared" si="120"/>
        <v>2.2730000000000015</v>
      </c>
      <c r="K169" s="2">
        <f t="shared" si="121"/>
        <v>397.77500000000026</v>
      </c>
      <c r="L169" s="11">
        <v>8.91</v>
      </c>
      <c r="M169" s="20">
        <f t="shared" si="122"/>
        <v>2.1430000000000007</v>
      </c>
      <c r="N169" s="21" t="str">
        <f t="shared" si="123"/>
        <v>-</v>
      </c>
      <c r="O169" s="1">
        <f t="shared" si="110"/>
        <v>-0.94720633523977082</v>
      </c>
      <c r="P169" s="1" t="str">
        <f t="shared" si="111"/>
        <v/>
      </c>
      <c r="Q169" s="11">
        <f>VLOOKUP($D169,prices!$A$2:$C$19,3)</f>
        <v>8.19</v>
      </c>
      <c r="R169" s="11">
        <f>VLOOKUP(D169,prices!$A$2:$B$19,2)</f>
        <v>8.01</v>
      </c>
      <c r="S169" s="55">
        <f t="shared" si="114"/>
        <v>-376.77500000000009</v>
      </c>
      <c r="T169" s="55">
        <f t="shared" si="124"/>
        <v>-2.1530000000000005</v>
      </c>
      <c r="U169" s="55">
        <f t="shared" si="112"/>
        <v>1934.2750000000001</v>
      </c>
      <c r="V169" s="42">
        <f t="shared" si="125"/>
        <v>-0.1947887451370669</v>
      </c>
      <c r="W169" s="55">
        <f t="shared" si="115"/>
        <v>1557.5</v>
      </c>
      <c r="X169" s="48">
        <f t="shared" si="116"/>
        <v>0</v>
      </c>
      <c r="Y169" s="68">
        <v>4</v>
      </c>
      <c r="Z169" s="28" t="str">
        <f t="shared" si="109"/>
        <v>-</v>
      </c>
    </row>
    <row r="170" spans="1:26" hidden="1">
      <c r="A170" t="s">
        <v>6</v>
      </c>
      <c r="B170" t="s">
        <v>26</v>
      </c>
      <c r="C170" s="109">
        <v>1056</v>
      </c>
      <c r="D170" t="s">
        <v>43</v>
      </c>
      <c r="E170" s="72">
        <v>51</v>
      </c>
      <c r="F170" s="1"/>
      <c r="G170" s="1">
        <v>11.05</v>
      </c>
      <c r="H170" s="11">
        <v>8.89</v>
      </c>
      <c r="I170" s="20">
        <v>8.7799999999999994</v>
      </c>
      <c r="J170" s="20">
        <f t="shared" ref="J170:J172" si="127">IF(AND(ISNUMBER(G170),ISNUMBER(I170)),G170-I170,"-")</f>
        <v>2.2700000000000014</v>
      </c>
      <c r="K170" s="2">
        <f t="shared" ref="K170:K172" si="128">IFERROR(E170*J170,"-")</f>
        <v>115.77000000000007</v>
      </c>
      <c r="L170" s="11">
        <v>8.91</v>
      </c>
      <c r="M170" s="20">
        <f t="shared" ref="M170:M172" si="129">IF(AND(ISNUMBER(G170),ISNUMBER(L170)),MAX(0,G170-L170),"-")</f>
        <v>2.1400000000000006</v>
      </c>
      <c r="N170" s="21" t="str">
        <f t="shared" ref="N170:N172" si="130">IF(B170="open",M170*E170,"-")</f>
        <v>-</v>
      </c>
      <c r="O170" s="1">
        <f t="shared" ref="O170:O172" si="131">IF(ISNUMBER(H170),(H170-G170)/J170,"")</f>
        <v>-0.95154185022026383</v>
      </c>
      <c r="P170" s="1" t="str">
        <f t="shared" ref="P170:P172" si="132">IF(B170="open",IF(ISNUMBER(R170),(R170-$G170)/$J170,""),"")</f>
        <v/>
      </c>
      <c r="Q170" s="11">
        <f>VLOOKUP($D170,prices!$A$2:$C$19,3)</f>
        <v>8.19</v>
      </c>
      <c r="R170" s="11">
        <f>VLOOKUP(D170,prices!$A$2:$B$19,2)</f>
        <v>8.01</v>
      </c>
      <c r="S170" s="55">
        <f t="shared" ref="S170:S172" si="133">IF(ISNUMBER(E170),IF(B170="closed",(H170-G170)*E170,(R170-G170)*E170)-F170,"")</f>
        <v>-110.16000000000001</v>
      </c>
      <c r="T170" s="55">
        <f t="shared" si="124"/>
        <v>-2.16</v>
      </c>
      <c r="U170" s="55">
        <f t="shared" ref="U170:U172" si="134">E170*G170</f>
        <v>563.55000000000007</v>
      </c>
      <c r="V170" s="42">
        <f t="shared" ref="V170:V172" si="135">S170/U170</f>
        <v>-0.19547511312217195</v>
      </c>
      <c r="W170" s="55">
        <f t="shared" ref="W170:W172" si="136">IF(B170="closed",H170*E170,R170*E170)</f>
        <v>453.39000000000004</v>
      </c>
      <c r="X170" s="48">
        <f t="shared" ref="X170:X172" si="137">IF(B170="open",(R170-Q170)*E170,0)</f>
        <v>0</v>
      </c>
      <c r="Y170" s="68">
        <v>4</v>
      </c>
      <c r="Z170" s="28" t="str">
        <f t="shared" ref="Z170:Z172" si="138">IF(B170="open",(R170-L170)*E170,"-")</f>
        <v>-</v>
      </c>
    </row>
    <row r="171" spans="1:26">
      <c r="A171" t="s">
        <v>23</v>
      </c>
      <c r="B171" t="s">
        <v>25</v>
      </c>
      <c r="C171" s="113">
        <v>1072</v>
      </c>
      <c r="D171" t="s">
        <v>43</v>
      </c>
      <c r="E171" s="72">
        <v>191</v>
      </c>
      <c r="F171" s="1"/>
      <c r="G171" s="1">
        <v>8.4</v>
      </c>
      <c r="H171" s="11" t="s">
        <v>29</v>
      </c>
      <c r="I171" s="20">
        <v>6.13</v>
      </c>
      <c r="J171" s="20">
        <f t="shared" ref="J171" si="139">IF(AND(ISNUMBER(G171),ISNUMBER(I171)),G171-I171,"-")</f>
        <v>2.2700000000000005</v>
      </c>
      <c r="K171" s="2">
        <f t="shared" ref="K171" si="140">IFERROR(E171*J171,"-")</f>
        <v>433.57000000000011</v>
      </c>
      <c r="L171" s="11">
        <v>6.13</v>
      </c>
      <c r="M171" s="20">
        <f t="shared" ref="M171" si="141">IF(AND(ISNUMBER(G171),ISNUMBER(L171)),MAX(0,G171-L171),"-")</f>
        <v>2.2700000000000005</v>
      </c>
      <c r="N171" s="21">
        <f t="shared" ref="N171" si="142">IF(B171="open",M171*E171,"-")</f>
        <v>433.57000000000011</v>
      </c>
      <c r="O171" s="1" t="str">
        <f t="shared" ref="O171" si="143">IF(ISNUMBER(H171),(H171-G171)/J171,"")</f>
        <v/>
      </c>
      <c r="P171" s="1">
        <f t="shared" ref="P171" si="144">IF(B171="open",IF(ISNUMBER(R171),(R171-$G171)/$J171,""),"")</f>
        <v>-0.17180616740088128</v>
      </c>
      <c r="Q171" s="11">
        <f>VLOOKUP($D171,prices!$A$2:$C$19,3)</f>
        <v>8.19</v>
      </c>
      <c r="R171" s="11">
        <f>VLOOKUP(D171,prices!$A$2:$B$19,2)</f>
        <v>8.01</v>
      </c>
      <c r="S171" s="55">
        <f t="shared" ref="S171" si="145">IF(ISNUMBER(E171),IF(B171="closed",(H171-G171)*E171,(R171-G171)*E171)-F171,"")</f>
        <v>-74.490000000000109</v>
      </c>
      <c r="T171" s="55">
        <f t="shared" si="124"/>
        <v>-0.39000000000000057</v>
      </c>
      <c r="U171" s="55">
        <f t="shared" ref="U171" si="146">E171*G171</f>
        <v>1604.4</v>
      </c>
      <c r="V171" s="42">
        <f t="shared" ref="V171" si="147">S171/U171</f>
        <v>-4.6428571428571493E-2</v>
      </c>
      <c r="W171" s="55">
        <f t="shared" ref="W171" si="148">IF(B171="closed",H171*E171,R171*E171)</f>
        <v>1529.9099999999999</v>
      </c>
      <c r="X171" s="48">
        <f t="shared" ref="X171" si="149">IF(B171="open",(R171-Q171)*E171,0)</f>
        <v>-34.379999999999946</v>
      </c>
      <c r="Y171" s="68">
        <v>4</v>
      </c>
      <c r="Z171" s="28">
        <f t="shared" ref="Z171" si="150">IF(B171="open",(R171-L171)*E171,"-")</f>
        <v>359.08</v>
      </c>
    </row>
    <row r="172" spans="1:26">
      <c r="A172" t="s">
        <v>6</v>
      </c>
      <c r="B172" t="s">
        <v>25</v>
      </c>
      <c r="C172" s="113">
        <v>1073</v>
      </c>
      <c r="D172" t="s">
        <v>43</v>
      </c>
      <c r="E172" s="72">
        <v>50</v>
      </c>
      <c r="F172" s="1"/>
      <c r="G172" s="1">
        <v>8.4</v>
      </c>
      <c r="H172" s="11" t="s">
        <v>29</v>
      </c>
      <c r="I172" s="20">
        <v>6.13</v>
      </c>
      <c r="J172" s="20">
        <f t="shared" si="127"/>
        <v>2.2700000000000005</v>
      </c>
      <c r="K172" s="2">
        <f t="shared" si="128"/>
        <v>113.50000000000003</v>
      </c>
      <c r="L172" s="11">
        <v>6.13</v>
      </c>
      <c r="M172" s="20">
        <f t="shared" si="129"/>
        <v>2.2700000000000005</v>
      </c>
      <c r="N172" s="21">
        <f t="shared" si="130"/>
        <v>113.50000000000003</v>
      </c>
      <c r="O172" s="1" t="str">
        <f t="shared" si="131"/>
        <v/>
      </c>
      <c r="P172" s="1">
        <f t="shared" si="132"/>
        <v>-0.17180616740088128</v>
      </c>
      <c r="Q172" s="11">
        <f>VLOOKUP($D172,prices!$A$2:$C$19,3)</f>
        <v>8.19</v>
      </c>
      <c r="R172" s="11">
        <f>VLOOKUP(D172,prices!$A$2:$B$19,2)</f>
        <v>8.01</v>
      </c>
      <c r="S172" s="55">
        <f t="shared" si="133"/>
        <v>-19.500000000000028</v>
      </c>
      <c r="T172" s="55">
        <f t="shared" si="124"/>
        <v>-0.39000000000000057</v>
      </c>
      <c r="U172" s="55">
        <f t="shared" si="134"/>
        <v>420</v>
      </c>
      <c r="V172" s="42">
        <f t="shared" si="135"/>
        <v>-4.64285714285715E-2</v>
      </c>
      <c r="W172" s="55">
        <f t="shared" si="136"/>
        <v>400.5</v>
      </c>
      <c r="X172" s="48">
        <f t="shared" si="137"/>
        <v>-8.9999999999999858</v>
      </c>
      <c r="Y172" s="68">
        <v>4</v>
      </c>
      <c r="Z172" s="28">
        <f t="shared" si="138"/>
        <v>94</v>
      </c>
    </row>
    <row r="173" spans="1:26">
      <c r="A173" t="s">
        <v>56</v>
      </c>
      <c r="B173" t="s">
        <v>25</v>
      </c>
      <c r="C173" s="16"/>
      <c r="D173" t="s">
        <v>84</v>
      </c>
      <c r="E173" s="72">
        <v>500</v>
      </c>
      <c r="F173" s="1"/>
      <c r="G173" s="1">
        <v>9.61</v>
      </c>
      <c r="H173" s="11" t="s">
        <v>29</v>
      </c>
      <c r="I173" s="20">
        <f>Y173*1.86</f>
        <v>7.44</v>
      </c>
      <c r="J173" s="20">
        <f t="shared" si="120"/>
        <v>2.169999999999999</v>
      </c>
      <c r="K173" s="2">
        <f t="shared" si="121"/>
        <v>1084.9999999999995</v>
      </c>
      <c r="L173" s="11">
        <v>8.91</v>
      </c>
      <c r="M173" s="20">
        <f t="shared" si="122"/>
        <v>0.69999999999999929</v>
      </c>
      <c r="N173" s="21">
        <f t="shared" si="123"/>
        <v>349.99999999999966</v>
      </c>
      <c r="O173" s="1" t="str">
        <f t="shared" si="110"/>
        <v/>
      </c>
      <c r="P173" s="1">
        <f t="shared" si="111"/>
        <v>-0.7373271889400923</v>
      </c>
      <c r="Q173" s="11">
        <f>VLOOKUP($D173,prices!$A$2:$C$19,3)</f>
        <v>8.19</v>
      </c>
      <c r="R173" s="11">
        <f>VLOOKUP(D173,prices!$A$2:$B$19,2)</f>
        <v>8.01</v>
      </c>
      <c r="S173" s="55">
        <f t="shared" si="114"/>
        <v>-799.99999999999977</v>
      </c>
      <c r="T173" s="55">
        <f t="shared" si="124"/>
        <v>-1.5999999999999996</v>
      </c>
      <c r="U173" s="55">
        <f t="shared" si="112"/>
        <v>4805</v>
      </c>
      <c r="V173" s="42">
        <f t="shared" si="125"/>
        <v>-0.16649323621227882</v>
      </c>
      <c r="W173" s="55">
        <f t="shared" si="115"/>
        <v>4005</v>
      </c>
      <c r="X173" s="48">
        <f t="shared" si="116"/>
        <v>-89.999999999999858</v>
      </c>
      <c r="Y173" s="68">
        <v>4</v>
      </c>
      <c r="Z173" s="28">
        <f t="shared" si="109"/>
        <v>-450.00000000000017</v>
      </c>
    </row>
    <row r="174" spans="1:26">
      <c r="A174" t="s">
        <v>59</v>
      </c>
      <c r="B174" t="s">
        <v>25</v>
      </c>
      <c r="C174" s="86"/>
      <c r="D174" t="s">
        <v>84</v>
      </c>
      <c r="E174" s="72">
        <v>1000</v>
      </c>
      <c r="F174" s="1"/>
      <c r="G174" s="1">
        <v>9.27</v>
      </c>
      <c r="H174" s="11" t="s">
        <v>29</v>
      </c>
      <c r="I174" s="20">
        <f>Y174*1.86</f>
        <v>7.44</v>
      </c>
      <c r="J174" s="20">
        <f t="shared" si="120"/>
        <v>1.8299999999999992</v>
      </c>
      <c r="K174" s="2">
        <f t="shared" si="121"/>
        <v>1829.9999999999991</v>
      </c>
      <c r="L174" s="11">
        <v>8.91</v>
      </c>
      <c r="M174" s="20">
        <f t="shared" si="122"/>
        <v>0.35999999999999943</v>
      </c>
      <c r="N174" s="21">
        <f t="shared" si="123"/>
        <v>359.99999999999943</v>
      </c>
      <c r="O174" s="1" t="str">
        <f t="shared" si="110"/>
        <v/>
      </c>
      <c r="P174" s="1">
        <f t="shared" si="111"/>
        <v>-0.68852459016393464</v>
      </c>
      <c r="Q174" s="11">
        <f>VLOOKUP($D174,prices!$A$2:$C$19,3)</f>
        <v>8.19</v>
      </c>
      <c r="R174" s="11">
        <f>VLOOKUP(D174,prices!$A$2:$B$19,2)</f>
        <v>8.01</v>
      </c>
      <c r="S174" s="55">
        <f t="shared" si="114"/>
        <v>-1259.9999999999998</v>
      </c>
      <c r="T174" s="55">
        <f t="shared" si="124"/>
        <v>-1.2599999999999998</v>
      </c>
      <c r="U174" s="55">
        <f t="shared" si="112"/>
        <v>9270</v>
      </c>
      <c r="V174" s="42">
        <f t="shared" si="125"/>
        <v>-0.13592233009708735</v>
      </c>
      <c r="W174" s="55">
        <f t="shared" si="115"/>
        <v>8010</v>
      </c>
      <c r="X174" s="48">
        <f t="shared" si="116"/>
        <v>-179.99999999999972</v>
      </c>
      <c r="Y174" s="68">
        <v>4</v>
      </c>
      <c r="Z174" s="28">
        <f t="shared" si="109"/>
        <v>-900.00000000000034</v>
      </c>
    </row>
    <row r="175" spans="1:26" hidden="1">
      <c r="A175" t="s">
        <v>59</v>
      </c>
      <c r="B175" t="s">
        <v>26</v>
      </c>
      <c r="C175" s="16"/>
      <c r="D175" t="s">
        <v>84</v>
      </c>
      <c r="E175" s="72">
        <v>250</v>
      </c>
      <c r="F175" s="1"/>
      <c r="G175" s="1">
        <f>Y175*2.29</f>
        <v>9.16</v>
      </c>
      <c r="H175" s="11">
        <v>14.94</v>
      </c>
      <c r="I175" s="20">
        <f>Y175*1.86</f>
        <v>7.44</v>
      </c>
      <c r="J175" s="20">
        <f t="shared" si="120"/>
        <v>1.7199999999999998</v>
      </c>
      <c r="K175" s="2">
        <f t="shared" si="121"/>
        <v>429.99999999999994</v>
      </c>
      <c r="L175" s="11">
        <v>11.01</v>
      </c>
      <c r="M175" s="20">
        <f t="shared" si="122"/>
        <v>0</v>
      </c>
      <c r="N175" s="21" t="str">
        <f t="shared" si="123"/>
        <v>-</v>
      </c>
      <c r="O175" s="1">
        <f t="shared" si="110"/>
        <v>3.36046511627907</v>
      </c>
      <c r="P175" s="1" t="str">
        <f t="shared" si="111"/>
        <v/>
      </c>
      <c r="Q175" s="11">
        <f>VLOOKUP($D175,prices!$A$2:$C$19,3)</f>
        <v>8.19</v>
      </c>
      <c r="R175" s="11">
        <f>VLOOKUP(D175,prices!$A$2:$B$19,2)</f>
        <v>8.01</v>
      </c>
      <c r="S175" s="55">
        <f t="shared" si="114"/>
        <v>1444.9999999999998</v>
      </c>
      <c r="T175" s="55">
        <f t="shared" si="124"/>
        <v>5.7799999999999994</v>
      </c>
      <c r="U175" s="55">
        <f t="shared" si="112"/>
        <v>2290</v>
      </c>
      <c r="V175" s="42">
        <f t="shared" si="125"/>
        <v>0.63100436681222694</v>
      </c>
      <c r="W175" s="55">
        <f t="shared" si="115"/>
        <v>3735</v>
      </c>
      <c r="X175" s="48">
        <f t="shared" si="116"/>
        <v>0</v>
      </c>
      <c r="Y175" s="68">
        <v>4</v>
      </c>
      <c r="Z175" s="28" t="str">
        <f t="shared" si="109"/>
        <v>-</v>
      </c>
    </row>
    <row r="176" spans="1:26">
      <c r="A176" t="s">
        <v>55</v>
      </c>
      <c r="B176" t="s">
        <v>25</v>
      </c>
      <c r="C176" s="90"/>
      <c r="D176" t="s">
        <v>84</v>
      </c>
      <c r="E176" s="72">
        <v>1000</v>
      </c>
      <c r="F176" s="1">
        <v>7.95</v>
      </c>
      <c r="G176" s="1">
        <v>9.18</v>
      </c>
      <c r="H176" s="11" t="s">
        <v>29</v>
      </c>
      <c r="I176" s="20">
        <f>Y176*2.17</f>
        <v>8.68</v>
      </c>
      <c r="J176" s="20">
        <f t="shared" si="120"/>
        <v>0.5</v>
      </c>
      <c r="K176" s="2">
        <f t="shared" si="121"/>
        <v>500</v>
      </c>
      <c r="L176" s="11">
        <v>8.91</v>
      </c>
      <c r="M176" s="20">
        <f t="shared" si="122"/>
        <v>0.26999999999999957</v>
      </c>
      <c r="N176" s="21">
        <f t="shared" si="123"/>
        <v>269.99999999999955</v>
      </c>
      <c r="O176" s="1" t="str">
        <f t="shared" si="110"/>
        <v/>
      </c>
      <c r="P176" s="1">
        <f t="shared" si="111"/>
        <v>-2.34</v>
      </c>
      <c r="Q176" s="11">
        <f>VLOOKUP($D176,prices!$A$2:$C$19,3)</f>
        <v>8.19</v>
      </c>
      <c r="R176" s="11">
        <f>VLOOKUP(D176,prices!$A$2:$B$19,2)</f>
        <v>8.01</v>
      </c>
      <c r="S176" s="55">
        <f t="shared" si="114"/>
        <v>-1177.95</v>
      </c>
      <c r="T176" s="55">
        <f t="shared" si="124"/>
        <v>-1.17</v>
      </c>
      <c r="U176" s="55">
        <f t="shared" si="112"/>
        <v>9180</v>
      </c>
      <c r="V176" s="42">
        <f t="shared" si="125"/>
        <v>-0.12831699346405229</v>
      </c>
      <c r="W176" s="55">
        <f t="shared" si="115"/>
        <v>8010</v>
      </c>
      <c r="X176" s="48">
        <f t="shared" si="116"/>
        <v>-179.99999999999972</v>
      </c>
      <c r="Y176" s="68">
        <v>4</v>
      </c>
      <c r="Z176" s="28">
        <f t="shared" si="109"/>
        <v>-900.00000000000034</v>
      </c>
    </row>
    <row r="177" spans="1:26" hidden="1">
      <c r="A177" t="s">
        <v>55</v>
      </c>
      <c r="B177" t="s">
        <v>26</v>
      </c>
      <c r="C177" s="16"/>
      <c r="D177" t="s">
        <v>84</v>
      </c>
      <c r="E177" s="72">
        <v>250</v>
      </c>
      <c r="F177" s="1">
        <v>7.95</v>
      </c>
      <c r="G177" s="1">
        <v>9.25</v>
      </c>
      <c r="H177" s="11">
        <v>14.97</v>
      </c>
      <c r="I177" s="20">
        <f>Y177*2.17</f>
        <v>8.68</v>
      </c>
      <c r="J177" s="20">
        <f t="shared" si="120"/>
        <v>0.57000000000000028</v>
      </c>
      <c r="K177" s="2">
        <f t="shared" si="121"/>
        <v>142.50000000000006</v>
      </c>
      <c r="L177" s="11">
        <v>11.01</v>
      </c>
      <c r="M177" s="20">
        <f t="shared" si="122"/>
        <v>0</v>
      </c>
      <c r="N177" s="21" t="str">
        <f t="shared" si="123"/>
        <v>-</v>
      </c>
      <c r="O177" s="1">
        <f t="shared" si="110"/>
        <v>10.035087719298241</v>
      </c>
      <c r="P177" s="1" t="str">
        <f t="shared" si="111"/>
        <v/>
      </c>
      <c r="Q177" s="11">
        <f>VLOOKUP($D177,prices!$A$2:$C$19,3)</f>
        <v>8.19</v>
      </c>
      <c r="R177" s="11">
        <f>VLOOKUP(D177,prices!$A$2:$B$19,2)</f>
        <v>8.01</v>
      </c>
      <c r="S177" s="55">
        <f t="shared" si="114"/>
        <v>1422.0500000000002</v>
      </c>
      <c r="T177" s="55">
        <f t="shared" si="124"/>
        <v>5.7200000000000006</v>
      </c>
      <c r="U177" s="55">
        <f t="shared" si="112"/>
        <v>2312.5</v>
      </c>
      <c r="V177" s="42">
        <f t="shared" si="125"/>
        <v>0.61494054054054059</v>
      </c>
      <c r="W177" s="55">
        <f t="shared" si="115"/>
        <v>3742.5</v>
      </c>
      <c r="X177" s="48">
        <f t="shared" si="116"/>
        <v>0</v>
      </c>
      <c r="Y177" s="68">
        <v>4</v>
      </c>
      <c r="Z177" s="28" t="str">
        <f t="shared" si="109"/>
        <v>-</v>
      </c>
    </row>
    <row r="178" spans="1:26">
      <c r="A178" t="s">
        <v>58</v>
      </c>
      <c r="B178" t="s">
        <v>25</v>
      </c>
      <c r="C178" s="90"/>
      <c r="D178" t="s">
        <v>84</v>
      </c>
      <c r="E178" s="72">
        <v>1000</v>
      </c>
      <c r="F178" s="1">
        <v>7.95</v>
      </c>
      <c r="G178" s="1">
        <v>10.74</v>
      </c>
      <c r="H178" s="11" t="s">
        <v>29</v>
      </c>
      <c r="I178" s="20">
        <f>Y178*2.17</f>
        <v>8.68</v>
      </c>
      <c r="J178" s="20">
        <f t="shared" si="120"/>
        <v>2.0600000000000005</v>
      </c>
      <c r="K178" s="2">
        <f t="shared" si="121"/>
        <v>2060.0000000000005</v>
      </c>
      <c r="L178" s="11">
        <v>8.91</v>
      </c>
      <c r="M178" s="20">
        <f t="shared" si="122"/>
        <v>1.83</v>
      </c>
      <c r="N178" s="21">
        <f t="shared" si="123"/>
        <v>1830</v>
      </c>
      <c r="O178" s="1" t="str">
        <f t="shared" si="110"/>
        <v/>
      </c>
      <c r="P178" s="1">
        <f t="shared" si="111"/>
        <v>-1.3252427184466018</v>
      </c>
      <c r="Q178" s="11">
        <f>VLOOKUP($D178,prices!$A$2:$C$19,3)</f>
        <v>8.19</v>
      </c>
      <c r="R178" s="11">
        <f>VLOOKUP(D178,prices!$A$2:$B$19,2)</f>
        <v>8.01</v>
      </c>
      <c r="S178" s="55">
        <f t="shared" si="114"/>
        <v>-2737.9500000000003</v>
      </c>
      <c r="T178" s="55">
        <f t="shared" si="124"/>
        <v>-2.7300000000000004</v>
      </c>
      <c r="U178" s="55">
        <f t="shared" si="112"/>
        <v>10740</v>
      </c>
      <c r="V178" s="42">
        <f t="shared" si="125"/>
        <v>-0.25493016759776538</v>
      </c>
      <c r="W178" s="55">
        <f t="shared" si="115"/>
        <v>8010</v>
      </c>
      <c r="X178" s="48">
        <f t="shared" si="116"/>
        <v>-179.99999999999972</v>
      </c>
      <c r="Y178" s="68">
        <v>4</v>
      </c>
      <c r="Z178" s="28">
        <f t="shared" si="109"/>
        <v>-900.00000000000034</v>
      </c>
    </row>
    <row r="179" spans="1:26" hidden="1">
      <c r="A179" t="s">
        <v>58</v>
      </c>
      <c r="B179" t="s">
        <v>26</v>
      </c>
      <c r="C179" s="16"/>
      <c r="D179" t="s">
        <v>84</v>
      </c>
      <c r="E179" s="72">
        <v>250</v>
      </c>
      <c r="F179" s="1">
        <v>7.95</v>
      </c>
      <c r="G179" s="1">
        <f>Y179*2.58</f>
        <v>10.32</v>
      </c>
      <c r="H179" s="11">
        <v>14.94</v>
      </c>
      <c r="I179" s="20">
        <f>Y179*2.17</f>
        <v>8.68</v>
      </c>
      <c r="J179" s="20">
        <f t="shared" si="120"/>
        <v>1.6400000000000006</v>
      </c>
      <c r="K179" s="2">
        <f t="shared" si="121"/>
        <v>410.00000000000011</v>
      </c>
      <c r="L179" s="11">
        <v>11.01</v>
      </c>
      <c r="M179" s="20">
        <f t="shared" si="122"/>
        <v>0</v>
      </c>
      <c r="N179" s="21" t="str">
        <f t="shared" si="123"/>
        <v>-</v>
      </c>
      <c r="O179" s="1">
        <f t="shared" si="110"/>
        <v>2.8170731707317058</v>
      </c>
      <c r="P179" s="1" t="str">
        <f t="shared" si="111"/>
        <v/>
      </c>
      <c r="Q179" s="11">
        <f>VLOOKUP($D179,prices!$A$2:$C$19,3)</f>
        <v>8.19</v>
      </c>
      <c r="R179" s="11">
        <f>VLOOKUP(D179,prices!$A$2:$B$19,2)</f>
        <v>8.01</v>
      </c>
      <c r="S179" s="55">
        <f t="shared" si="114"/>
        <v>1147.0499999999997</v>
      </c>
      <c r="T179" s="55">
        <f t="shared" si="124"/>
        <v>4.6199999999999992</v>
      </c>
      <c r="U179" s="55">
        <f t="shared" si="112"/>
        <v>2580</v>
      </c>
      <c r="V179" s="42">
        <f t="shared" si="125"/>
        <v>0.44459302325581385</v>
      </c>
      <c r="W179" s="55">
        <f t="shared" si="115"/>
        <v>3735</v>
      </c>
      <c r="X179" s="48">
        <f t="shared" si="116"/>
        <v>0</v>
      </c>
      <c r="Y179" s="68">
        <v>4</v>
      </c>
      <c r="Z179" s="28" t="str">
        <f t="shared" si="109"/>
        <v>-</v>
      </c>
    </row>
    <row r="180" spans="1:26">
      <c r="A180" t="s">
        <v>57</v>
      </c>
      <c r="B180" t="s">
        <v>25</v>
      </c>
      <c r="C180" s="90"/>
      <c r="D180" t="s">
        <v>84</v>
      </c>
      <c r="E180" s="72">
        <v>2200</v>
      </c>
      <c r="F180" s="1">
        <v>7.95</v>
      </c>
      <c r="G180" s="1">
        <v>11.16</v>
      </c>
      <c r="H180" s="11" t="s">
        <v>29</v>
      </c>
      <c r="I180" s="20">
        <v>8.68</v>
      </c>
      <c r="J180" s="20">
        <f t="shared" si="120"/>
        <v>2.4800000000000004</v>
      </c>
      <c r="K180" s="2">
        <f t="shared" si="121"/>
        <v>5456.0000000000009</v>
      </c>
      <c r="L180" s="11">
        <v>8.91</v>
      </c>
      <c r="M180" s="20">
        <f t="shared" si="122"/>
        <v>2.25</v>
      </c>
      <c r="N180" s="21">
        <f t="shared" si="123"/>
        <v>4950</v>
      </c>
      <c r="O180" s="1" t="str">
        <f t="shared" si="110"/>
        <v/>
      </c>
      <c r="P180" s="1">
        <f t="shared" si="111"/>
        <v>-1.2701612903225805</v>
      </c>
      <c r="Q180" s="11">
        <f>VLOOKUP($D180,prices!$A$2:$C$19,3)</f>
        <v>8.19</v>
      </c>
      <c r="R180" s="11">
        <f>VLOOKUP(D180,prices!$A$2:$B$19,2)</f>
        <v>8.01</v>
      </c>
      <c r="S180" s="55">
        <f t="shared" si="114"/>
        <v>-6937.9500000000007</v>
      </c>
      <c r="T180" s="55">
        <f t="shared" si="124"/>
        <v>-3.1500000000000004</v>
      </c>
      <c r="U180" s="55">
        <f t="shared" si="112"/>
        <v>24552</v>
      </c>
      <c r="V180" s="42">
        <f t="shared" si="125"/>
        <v>-0.28258186705767352</v>
      </c>
      <c r="W180" s="55">
        <f t="shared" si="115"/>
        <v>17622</v>
      </c>
      <c r="X180" s="48">
        <f t="shared" si="116"/>
        <v>-395.99999999999937</v>
      </c>
      <c r="Y180" s="68">
        <v>4</v>
      </c>
      <c r="Z180" s="28">
        <f t="shared" si="109"/>
        <v>-1980.0000000000007</v>
      </c>
    </row>
    <row r="181" spans="1:26" hidden="1">
      <c r="A181" t="s">
        <v>57</v>
      </c>
      <c r="B181" t="s">
        <v>26</v>
      </c>
      <c r="C181" s="16"/>
      <c r="D181" t="s">
        <v>84</v>
      </c>
      <c r="E181" s="72">
        <v>550</v>
      </c>
      <c r="F181" s="1">
        <v>7.95</v>
      </c>
      <c r="G181" s="1">
        <f>2.7*Y181</f>
        <v>10.8</v>
      </c>
      <c r="H181" s="11">
        <v>14.98</v>
      </c>
      <c r="I181" s="20">
        <v>8.68</v>
      </c>
      <c r="J181" s="20">
        <f t="shared" si="120"/>
        <v>2.120000000000001</v>
      </c>
      <c r="K181" s="2">
        <f t="shared" si="121"/>
        <v>1166.0000000000005</v>
      </c>
      <c r="L181" s="11">
        <v>11.01</v>
      </c>
      <c r="M181" s="20">
        <f t="shared" si="122"/>
        <v>0</v>
      </c>
      <c r="N181" s="21" t="str">
        <f t="shared" si="123"/>
        <v>-</v>
      </c>
      <c r="O181" s="1">
        <f t="shared" si="110"/>
        <v>1.9716981132075462</v>
      </c>
      <c r="P181" s="1" t="str">
        <f t="shared" si="111"/>
        <v/>
      </c>
      <c r="Q181" s="11">
        <f>VLOOKUP($D181,prices!$A$2:$C$19,3)</f>
        <v>8.19</v>
      </c>
      <c r="R181" s="11">
        <f>VLOOKUP(D181,prices!$A$2:$B$19,2)</f>
        <v>8.01</v>
      </c>
      <c r="S181" s="55">
        <f t="shared" si="114"/>
        <v>2291.0500000000002</v>
      </c>
      <c r="T181" s="55">
        <f t="shared" si="124"/>
        <v>4.18</v>
      </c>
      <c r="U181" s="55">
        <f t="shared" si="112"/>
        <v>5940</v>
      </c>
      <c r="V181" s="42">
        <f t="shared" si="125"/>
        <v>0.38569865319865321</v>
      </c>
      <c r="W181" s="55">
        <f t="shared" si="115"/>
        <v>8239</v>
      </c>
      <c r="X181" s="48">
        <f t="shared" si="116"/>
        <v>0</v>
      </c>
      <c r="Y181" s="68">
        <v>4</v>
      </c>
      <c r="Z181" s="28" t="str">
        <f t="shared" si="109"/>
        <v>-</v>
      </c>
    </row>
    <row r="182" spans="1:26" ht="15" hidden="1" customHeight="1">
      <c r="A182" t="s">
        <v>23</v>
      </c>
      <c r="B182" t="s">
        <v>26</v>
      </c>
      <c r="C182" s="16">
        <v>195</v>
      </c>
      <c r="D182" t="s">
        <v>108</v>
      </c>
      <c r="E182" s="2">
        <v>143</v>
      </c>
      <c r="F182" s="1"/>
      <c r="G182" s="1">
        <v>18.899999999999999</v>
      </c>
      <c r="H182" s="11">
        <v>17.07</v>
      </c>
      <c r="I182" s="20">
        <v>17.07</v>
      </c>
      <c r="J182" s="20">
        <f t="shared" si="120"/>
        <v>1.8299999999999983</v>
      </c>
      <c r="K182" s="2">
        <f t="shared" si="121"/>
        <v>261.68999999999977</v>
      </c>
      <c r="L182" s="11">
        <v>17.07</v>
      </c>
      <c r="M182" s="20">
        <f t="shared" si="122"/>
        <v>1.8299999999999983</v>
      </c>
      <c r="N182" s="21" t="str">
        <f t="shared" si="123"/>
        <v>-</v>
      </c>
      <c r="O182" s="1">
        <f t="shared" si="110"/>
        <v>-1</v>
      </c>
      <c r="P182" s="1" t="str">
        <f t="shared" si="111"/>
        <v/>
      </c>
      <c r="Q182" s="11">
        <f>VLOOKUP($D182,prices!$A$2:$C$19,3)</f>
        <v>8.19</v>
      </c>
      <c r="R182" s="11">
        <f>VLOOKUP(D182,prices!$A$2:$B$19,2)</f>
        <v>8.01</v>
      </c>
      <c r="S182" s="55">
        <f t="shared" si="114"/>
        <v>-261.68999999999977</v>
      </c>
      <c r="T182" s="55">
        <f t="shared" si="124"/>
        <v>-1.8299999999999983</v>
      </c>
      <c r="U182" s="55">
        <f t="shared" si="112"/>
        <v>2702.7</v>
      </c>
      <c r="V182" s="42">
        <f t="shared" si="125"/>
        <v>-9.6825396825396745E-2</v>
      </c>
      <c r="W182" s="55">
        <f t="shared" si="115"/>
        <v>2441.0100000000002</v>
      </c>
      <c r="X182" s="48">
        <f t="shared" si="116"/>
        <v>0</v>
      </c>
      <c r="Y182" s="68">
        <v>1</v>
      </c>
      <c r="Z182" s="28" t="str">
        <f t="shared" si="109"/>
        <v>-</v>
      </c>
    </row>
    <row r="183" spans="1:26" ht="15" hidden="1" customHeight="1">
      <c r="A183" t="s">
        <v>6</v>
      </c>
      <c r="B183" t="s">
        <v>26</v>
      </c>
      <c r="C183" s="16">
        <v>194</v>
      </c>
      <c r="D183" t="s">
        <v>108</v>
      </c>
      <c r="E183" s="2">
        <v>49</v>
      </c>
      <c r="F183" s="1"/>
      <c r="G183" s="1">
        <v>18.899999999999999</v>
      </c>
      <c r="H183" s="11">
        <v>17.07</v>
      </c>
      <c r="I183" s="20">
        <v>17.07</v>
      </c>
      <c r="J183" s="20">
        <f t="shared" si="120"/>
        <v>1.8299999999999983</v>
      </c>
      <c r="K183" s="2">
        <f t="shared" si="121"/>
        <v>89.669999999999916</v>
      </c>
      <c r="L183" s="11">
        <v>17.07</v>
      </c>
      <c r="M183" s="20">
        <f t="shared" si="122"/>
        <v>1.8299999999999983</v>
      </c>
      <c r="N183" s="21" t="str">
        <f t="shared" si="123"/>
        <v>-</v>
      </c>
      <c r="O183" s="1">
        <f t="shared" si="110"/>
        <v>-1</v>
      </c>
      <c r="P183" s="1" t="str">
        <f t="shared" si="111"/>
        <v/>
      </c>
      <c r="Q183" s="11">
        <f>VLOOKUP($D183,prices!$A$2:$C$19,3)</f>
        <v>8.19</v>
      </c>
      <c r="R183" s="11">
        <f>VLOOKUP(D183,prices!$A$2:$B$19,2)</f>
        <v>8.01</v>
      </c>
      <c r="S183" s="55">
        <f t="shared" si="114"/>
        <v>-89.669999999999916</v>
      </c>
      <c r="T183" s="55">
        <f t="shared" si="124"/>
        <v>-1.8299999999999983</v>
      </c>
      <c r="U183" s="55">
        <f t="shared" si="112"/>
        <v>926.09999999999991</v>
      </c>
      <c r="V183" s="42">
        <f t="shared" si="125"/>
        <v>-9.6825396825396745E-2</v>
      </c>
      <c r="W183" s="55">
        <f t="shared" si="115"/>
        <v>836.43000000000006</v>
      </c>
      <c r="X183" s="48">
        <f t="shared" si="116"/>
        <v>0</v>
      </c>
      <c r="Y183" s="68">
        <v>1</v>
      </c>
      <c r="Z183" s="28" t="str">
        <f t="shared" si="109"/>
        <v>-</v>
      </c>
    </row>
    <row r="184" spans="1:26" ht="15" hidden="1" customHeight="1">
      <c r="A184" t="s">
        <v>23</v>
      </c>
      <c r="B184" t="s">
        <v>26</v>
      </c>
      <c r="C184" s="16">
        <v>1034</v>
      </c>
      <c r="D184" t="s">
        <v>133</v>
      </c>
      <c r="E184" s="2">
        <v>-27</v>
      </c>
      <c r="F184" s="1"/>
      <c r="G184" s="1">
        <v>252.61</v>
      </c>
      <c r="H184" s="11">
        <v>231.35</v>
      </c>
      <c r="I184" s="20">
        <v>249.99</v>
      </c>
      <c r="J184" s="20">
        <f t="shared" si="120"/>
        <v>2.6200000000000045</v>
      </c>
      <c r="K184" s="2">
        <f t="shared" si="121"/>
        <v>-70.740000000000123</v>
      </c>
      <c r="L184" s="11">
        <v>249.99</v>
      </c>
      <c r="M184" s="20">
        <f t="shared" si="122"/>
        <v>2.6200000000000045</v>
      </c>
      <c r="N184" s="21" t="str">
        <f t="shared" si="123"/>
        <v>-</v>
      </c>
      <c r="O184" s="1">
        <f t="shared" si="110"/>
        <v>-8.1145038167938868</v>
      </c>
      <c r="P184" s="1" t="str">
        <f t="shared" si="111"/>
        <v/>
      </c>
      <c r="Q184" s="11">
        <f>VLOOKUP($D184,prices!$A$2:$C$19,3)</f>
        <v>8.19</v>
      </c>
      <c r="R184" s="11">
        <f>VLOOKUP(D184,prices!$A$2:$B$19,2)</f>
        <v>8.01</v>
      </c>
      <c r="S184" s="55">
        <f t="shared" ref="S184" si="151">IF(ISNUMBER(E184),IF(B184="closed",(H184-G184)*E184,(R184-G184)*E184)-F184,"")</f>
        <v>574.02000000000055</v>
      </c>
      <c r="T184" s="55">
        <f t="shared" si="124"/>
        <v>-21.260000000000019</v>
      </c>
      <c r="U184" s="55">
        <f t="shared" si="112"/>
        <v>-6820.47</v>
      </c>
      <c r="V184" s="42">
        <f t="shared" si="125"/>
        <v>-8.4161355449111352E-2</v>
      </c>
      <c r="W184" s="55">
        <f t="shared" si="115"/>
        <v>-6246.45</v>
      </c>
      <c r="X184" s="48">
        <f t="shared" si="116"/>
        <v>0</v>
      </c>
      <c r="Y184"/>
    </row>
    <row r="185" spans="1:26" ht="15" hidden="1" customHeight="1">
      <c r="A185" t="s">
        <v>23</v>
      </c>
      <c r="B185" t="s">
        <v>26</v>
      </c>
      <c r="C185" s="26"/>
      <c r="D185" t="s">
        <v>22</v>
      </c>
      <c r="E185" s="2">
        <v>1019</v>
      </c>
      <c r="F185" s="1"/>
      <c r="G185" s="1">
        <v>23.93</v>
      </c>
      <c r="H185" s="17">
        <v>23.8</v>
      </c>
      <c r="I185" s="1">
        <v>22.65</v>
      </c>
      <c r="J185" s="1">
        <f>IF(AND(ISNUMBER(G185),ISNUMBER(I185)),G185-I185,"")</f>
        <v>1.2800000000000011</v>
      </c>
      <c r="K185" s="2" t="str">
        <f>IF((B185="open"),E185*J185,"-")</f>
        <v>-</v>
      </c>
      <c r="L185" s="11">
        <f>I185</f>
        <v>22.65</v>
      </c>
      <c r="M185" s="1">
        <f>IF(AND(ISNUMBER(G185),ISNUMBER(L185)),MAX(0,G185-L185),"")</f>
        <v>1.2800000000000011</v>
      </c>
      <c r="N185" s="2" t="str">
        <f>IF(B185="open",M185*E185,"")</f>
        <v/>
      </c>
      <c r="O185" s="1">
        <f t="shared" si="110"/>
        <v>-0.10156249999999914</v>
      </c>
      <c r="P185" s="1" t="str">
        <f t="shared" si="111"/>
        <v/>
      </c>
      <c r="Q185" s="11"/>
      <c r="R185" s="17">
        <v>23.8</v>
      </c>
      <c r="S185" s="1">
        <f>IF(ISNUMBER(E185),IF(B185="closed",(H185-G185)*E185,(R185-G185)*E185),"")</f>
        <v>-132.46999999999898</v>
      </c>
      <c r="T185" s="18"/>
      <c r="U185" s="1">
        <f t="shared" si="112"/>
        <v>24384.67</v>
      </c>
      <c r="V185"/>
      <c r="W185" s="1">
        <f t="shared" si="115"/>
        <v>24252.2</v>
      </c>
      <c r="X185" s="6">
        <f t="shared" si="116"/>
        <v>0</v>
      </c>
      <c r="Y185" s="68">
        <v>1</v>
      </c>
      <c r="Z185" s="28" t="str">
        <f>IF(B185="open",(R185-L185)*E185,"-")</f>
        <v>-</v>
      </c>
    </row>
    <row r="186" spans="1:26" ht="15" hidden="1" customHeight="1">
      <c r="A186" t="s">
        <v>23</v>
      </c>
      <c r="B186" t="s">
        <v>26</v>
      </c>
      <c r="C186" s="26">
        <v>191</v>
      </c>
      <c r="D186" t="s">
        <v>107</v>
      </c>
      <c r="E186" s="2">
        <v>72</v>
      </c>
      <c r="F186" s="1"/>
      <c r="G186" s="1">
        <v>34.56</v>
      </c>
      <c r="H186" s="11">
        <v>34.81</v>
      </c>
      <c r="I186" s="20">
        <v>29.13</v>
      </c>
      <c r="J186" s="20">
        <f t="shared" ref="J186:J193" si="152">IF(AND(ISNUMBER(G186),ISNUMBER(I186)),G186-I186,"-")</f>
        <v>5.4300000000000033</v>
      </c>
      <c r="K186" s="2">
        <f t="shared" ref="K186:K200" si="153">IFERROR(E186*J186,"-")</f>
        <v>390.96000000000026</v>
      </c>
      <c r="L186" s="11">
        <v>34.85</v>
      </c>
      <c r="M186" s="20">
        <f t="shared" ref="M186:M193" si="154">IF(AND(ISNUMBER(G186),ISNUMBER(L186)),MAX(0,G186-L186),"-")</f>
        <v>0</v>
      </c>
      <c r="N186" s="21" t="str">
        <f t="shared" ref="N186:N193" si="155">IF(B186="open",M186*E186,"-")</f>
        <v>-</v>
      </c>
      <c r="O186" s="1">
        <f t="shared" si="110"/>
        <v>4.6040515653775295E-2</v>
      </c>
      <c r="P186" s="1" t="str">
        <f t="shared" si="111"/>
        <v/>
      </c>
      <c r="Q186" s="11">
        <f>VLOOKUP($D186,prices!$A$2:$C$19,3)</f>
        <v>8.19</v>
      </c>
      <c r="R186" s="11">
        <f>VLOOKUP(D186,prices!$A$2:$B$19,2)</f>
        <v>8.01</v>
      </c>
      <c r="S186" s="55">
        <f t="shared" ref="S186:S200" si="156">IF(ISNUMBER(E186),IF(B186="closed",(H186-G186)*E186,(R186-G186)*E186)-F186,"")</f>
        <v>18</v>
      </c>
      <c r="T186" s="55">
        <f t="shared" ref="T186:T200" si="157">IF(ISNUMBER($E186),IF($B186="closed",($H186-$G186),($R186-$G186)),"")</f>
        <v>0.25</v>
      </c>
      <c r="U186" s="55">
        <f t="shared" si="112"/>
        <v>2488.3200000000002</v>
      </c>
      <c r="V186" s="42">
        <f t="shared" ref="V186:V193" si="158">S186/U186</f>
        <v>7.2337962962962955E-3</v>
      </c>
      <c r="W186" s="55">
        <f t="shared" si="115"/>
        <v>2506.3200000000002</v>
      </c>
      <c r="X186" s="48">
        <f t="shared" si="116"/>
        <v>0</v>
      </c>
      <c r="Y186" s="68">
        <v>1</v>
      </c>
      <c r="Z186" s="28" t="str">
        <f>IF(B186="open",(R186-L186)*E186,"-")</f>
        <v>-</v>
      </c>
    </row>
    <row r="187" spans="1:26" ht="15" hidden="1" customHeight="1">
      <c r="A187" t="s">
        <v>6</v>
      </c>
      <c r="B187" t="s">
        <v>26</v>
      </c>
      <c r="C187" s="16">
        <v>190</v>
      </c>
      <c r="D187" t="s">
        <v>107</v>
      </c>
      <c r="E187" s="2">
        <v>23</v>
      </c>
      <c r="F187" s="1"/>
      <c r="G187" s="1">
        <v>34.56</v>
      </c>
      <c r="H187" s="11">
        <v>34.83</v>
      </c>
      <c r="I187" s="20">
        <v>29.13</v>
      </c>
      <c r="J187" s="20">
        <f t="shared" si="152"/>
        <v>5.4300000000000033</v>
      </c>
      <c r="K187" s="2">
        <f t="shared" si="153"/>
        <v>124.89000000000007</v>
      </c>
      <c r="L187" s="11">
        <v>34.85</v>
      </c>
      <c r="M187" s="20">
        <f t="shared" si="154"/>
        <v>0</v>
      </c>
      <c r="N187" s="21" t="str">
        <f t="shared" si="155"/>
        <v>-</v>
      </c>
      <c r="O187" s="1">
        <f t="shared" si="110"/>
        <v>4.9723756906076583E-2</v>
      </c>
      <c r="P187" s="1" t="str">
        <f t="shared" si="111"/>
        <v/>
      </c>
      <c r="Q187" s="11">
        <f>VLOOKUP($D187,prices!$A$2:$C$19,3)</f>
        <v>8.19</v>
      </c>
      <c r="R187" s="11">
        <f>VLOOKUP(D187,prices!$A$2:$B$19,2)</f>
        <v>8.01</v>
      </c>
      <c r="S187" s="55">
        <f t="shared" si="156"/>
        <v>6.2099999999999085</v>
      </c>
      <c r="T187" s="55">
        <f t="shared" si="157"/>
        <v>0.26999999999999602</v>
      </c>
      <c r="U187" s="55">
        <f t="shared" si="112"/>
        <v>794.88000000000011</v>
      </c>
      <c r="V187" s="42">
        <f t="shared" si="158"/>
        <v>7.8124999999998838E-3</v>
      </c>
      <c r="W187" s="55">
        <f t="shared" si="115"/>
        <v>801.08999999999992</v>
      </c>
      <c r="X187" s="48">
        <f t="shared" si="116"/>
        <v>0</v>
      </c>
      <c r="Y187" s="68">
        <v>1</v>
      </c>
      <c r="Z187" s="28" t="str">
        <f>IF(B187="open",(R187-L187)*E187,"-")</f>
        <v>-</v>
      </c>
    </row>
    <row r="188" spans="1:26" ht="15" hidden="1" customHeight="1">
      <c r="A188" t="s">
        <v>23</v>
      </c>
      <c r="B188" t="s">
        <v>26</v>
      </c>
      <c r="C188" s="16">
        <v>221</v>
      </c>
      <c r="D188" t="s">
        <v>118</v>
      </c>
      <c r="E188" s="2">
        <v>219</v>
      </c>
      <c r="F188" s="1"/>
      <c r="G188" s="1">
        <v>14.67</v>
      </c>
      <c r="H188" s="11">
        <v>13.9</v>
      </c>
      <c r="I188" s="20">
        <v>13.81</v>
      </c>
      <c r="J188" s="20">
        <f t="shared" si="152"/>
        <v>0.85999999999999943</v>
      </c>
      <c r="K188" s="2">
        <f t="shared" si="153"/>
        <v>188.33999999999986</v>
      </c>
      <c r="L188" s="11">
        <v>13.81</v>
      </c>
      <c r="M188" s="20">
        <f t="shared" si="154"/>
        <v>0.85999999999999943</v>
      </c>
      <c r="N188" s="21" t="str">
        <f t="shared" si="155"/>
        <v>-</v>
      </c>
      <c r="O188" s="1">
        <f t="shared" si="110"/>
        <v>-0.89534883720930247</v>
      </c>
      <c r="P188" s="1" t="str">
        <f t="shared" si="111"/>
        <v/>
      </c>
      <c r="Q188" s="11">
        <f>VLOOKUP($D188,prices!$A$2:$C$19,3)</f>
        <v>12.78</v>
      </c>
      <c r="R188" s="11">
        <f>VLOOKUP(D188,prices!$A$2:$B$19,2)</f>
        <v>12.78</v>
      </c>
      <c r="S188" s="55">
        <f t="shared" si="156"/>
        <v>-168.62999999999991</v>
      </c>
      <c r="T188" s="55">
        <f t="shared" si="157"/>
        <v>-0.76999999999999957</v>
      </c>
      <c r="U188" s="55">
        <f t="shared" si="112"/>
        <v>3212.73</v>
      </c>
      <c r="V188" s="42">
        <f t="shared" si="158"/>
        <v>-5.2488070892978841E-2</v>
      </c>
      <c r="W188" s="55">
        <f t="shared" si="115"/>
        <v>3044.1</v>
      </c>
      <c r="X188" s="48">
        <f t="shared" si="116"/>
        <v>0</v>
      </c>
      <c r="Y188" s="68">
        <v>1</v>
      </c>
      <c r="Z188" s="28" t="str">
        <f>IF(B188="open",(R188-L188)*E188,"-")</f>
        <v>-</v>
      </c>
    </row>
    <row r="189" spans="1:26" ht="15" hidden="1" customHeight="1">
      <c r="A189" t="s">
        <v>6</v>
      </c>
      <c r="B189" t="s">
        <v>26</v>
      </c>
      <c r="C189" s="16">
        <v>220</v>
      </c>
      <c r="D189" t="s">
        <v>118</v>
      </c>
      <c r="E189" s="2">
        <v>58</v>
      </c>
      <c r="F189" s="1"/>
      <c r="G189" s="1">
        <v>14.67</v>
      </c>
      <c r="H189" s="11">
        <v>13.9</v>
      </c>
      <c r="I189" s="20">
        <v>13.81</v>
      </c>
      <c r="J189" s="20">
        <f t="shared" si="152"/>
        <v>0.85999999999999943</v>
      </c>
      <c r="K189" s="2">
        <f t="shared" si="153"/>
        <v>49.879999999999967</v>
      </c>
      <c r="L189" s="11">
        <v>13.81</v>
      </c>
      <c r="M189" s="20">
        <f t="shared" si="154"/>
        <v>0.85999999999999943</v>
      </c>
      <c r="N189" s="21" t="str">
        <f t="shared" si="155"/>
        <v>-</v>
      </c>
      <c r="O189" s="1">
        <f t="shared" si="110"/>
        <v>-0.89534883720930247</v>
      </c>
      <c r="P189" s="1" t="str">
        <f t="shared" si="111"/>
        <v/>
      </c>
      <c r="Q189" s="11">
        <f>VLOOKUP($D189,prices!$A$2:$C$19,3)</f>
        <v>12.78</v>
      </c>
      <c r="R189" s="11">
        <f>VLOOKUP(D189,prices!$A$2:$B$19,2)</f>
        <v>12.78</v>
      </c>
      <c r="S189" s="55">
        <f t="shared" si="156"/>
        <v>-44.659999999999975</v>
      </c>
      <c r="T189" s="55">
        <f t="shared" si="157"/>
        <v>-0.76999999999999957</v>
      </c>
      <c r="U189" s="55">
        <f t="shared" si="112"/>
        <v>850.86</v>
      </c>
      <c r="V189" s="42">
        <f t="shared" si="158"/>
        <v>-5.2488070892978841E-2</v>
      </c>
      <c r="W189" s="55">
        <f t="shared" si="115"/>
        <v>806.2</v>
      </c>
      <c r="X189" s="48">
        <f t="shared" si="116"/>
        <v>0</v>
      </c>
      <c r="Y189"/>
    </row>
    <row r="190" spans="1:26" ht="15" hidden="1" customHeight="1">
      <c r="A190" t="s">
        <v>23</v>
      </c>
      <c r="B190" t="s">
        <v>26</v>
      </c>
      <c r="C190" s="16">
        <v>1019</v>
      </c>
      <c r="D190" t="s">
        <v>118</v>
      </c>
      <c r="E190" s="2">
        <v>289</v>
      </c>
      <c r="F190" s="1"/>
      <c r="G190" s="1">
        <v>15.97</v>
      </c>
      <c r="H190" s="11">
        <v>12.42</v>
      </c>
      <c r="I190" s="20">
        <v>14.38</v>
      </c>
      <c r="J190" s="20">
        <f t="shared" si="152"/>
        <v>1.5899999999999999</v>
      </c>
      <c r="K190" s="2">
        <f t="shared" si="153"/>
        <v>459.50999999999993</v>
      </c>
      <c r="L190" s="11">
        <v>14.38</v>
      </c>
      <c r="M190" s="20">
        <f t="shared" si="154"/>
        <v>1.5899999999999999</v>
      </c>
      <c r="N190" s="21" t="str">
        <f t="shared" si="155"/>
        <v>-</v>
      </c>
      <c r="O190" s="1">
        <f t="shared" si="110"/>
        <v>-2.2327044025157239</v>
      </c>
      <c r="P190" s="1" t="str">
        <f t="shared" si="111"/>
        <v/>
      </c>
      <c r="Q190" s="11">
        <f>VLOOKUP($D190,prices!$A$2:$C$19,3)</f>
        <v>12.78</v>
      </c>
      <c r="R190" s="11">
        <f>VLOOKUP(D190,prices!$A$2:$B$19,2)</f>
        <v>12.78</v>
      </c>
      <c r="S190" s="55">
        <f t="shared" si="156"/>
        <v>-1025.9500000000003</v>
      </c>
      <c r="T190" s="55">
        <f t="shared" si="157"/>
        <v>-3.5500000000000007</v>
      </c>
      <c r="U190" s="55">
        <f t="shared" si="112"/>
        <v>4615.33</v>
      </c>
      <c r="V190" s="42">
        <f t="shared" si="158"/>
        <v>-0.22229179711959932</v>
      </c>
      <c r="W190" s="55">
        <f t="shared" si="115"/>
        <v>3589.38</v>
      </c>
      <c r="X190" s="48">
        <f t="shared" si="116"/>
        <v>0</v>
      </c>
      <c r="Y190"/>
    </row>
    <row r="191" spans="1:26" ht="15" hidden="1" customHeight="1">
      <c r="A191" t="s">
        <v>6</v>
      </c>
      <c r="B191" t="s">
        <v>26</v>
      </c>
      <c r="C191" s="16">
        <v>1018</v>
      </c>
      <c r="D191" t="s">
        <v>118</v>
      </c>
      <c r="E191" s="2">
        <v>87</v>
      </c>
      <c r="F191" s="1"/>
      <c r="G191" s="1">
        <v>15.97</v>
      </c>
      <c r="H191" s="11">
        <v>12.12</v>
      </c>
      <c r="I191" s="20">
        <v>14.38</v>
      </c>
      <c r="J191" s="20">
        <f t="shared" si="152"/>
        <v>1.5899999999999999</v>
      </c>
      <c r="K191" s="2">
        <f t="shared" si="153"/>
        <v>138.32999999999998</v>
      </c>
      <c r="L191" s="11">
        <v>14.38</v>
      </c>
      <c r="M191" s="20">
        <f t="shared" si="154"/>
        <v>1.5899999999999999</v>
      </c>
      <c r="N191" s="21" t="str">
        <f t="shared" si="155"/>
        <v>-</v>
      </c>
      <c r="O191" s="1">
        <f t="shared" si="110"/>
        <v>-2.4213836477987432</v>
      </c>
      <c r="P191" s="1" t="str">
        <f t="shared" si="111"/>
        <v/>
      </c>
      <c r="Q191" s="11">
        <f>VLOOKUP($D191,prices!$A$2:$C$19,3)</f>
        <v>12.78</v>
      </c>
      <c r="R191" s="11">
        <f>VLOOKUP(D191,prices!$A$2:$B$19,2)</f>
        <v>12.78</v>
      </c>
      <c r="S191" s="55">
        <f t="shared" si="156"/>
        <v>-334.9500000000001</v>
      </c>
      <c r="T191" s="55">
        <f t="shared" si="157"/>
        <v>-3.8500000000000014</v>
      </c>
      <c r="U191" s="55">
        <f t="shared" si="112"/>
        <v>1389.39</v>
      </c>
      <c r="V191" s="42">
        <f t="shared" si="158"/>
        <v>-0.24107701941139642</v>
      </c>
      <c r="W191" s="55">
        <f t="shared" si="115"/>
        <v>1054.4399999999998</v>
      </c>
      <c r="X191" s="48">
        <f t="shared" si="116"/>
        <v>0</v>
      </c>
      <c r="Y191" s="68">
        <v>1</v>
      </c>
      <c r="Z191" s="28" t="str">
        <f>IF(B191="open",(R191-L191)*E191,"-")</f>
        <v>-</v>
      </c>
    </row>
    <row r="192" spans="1:26" ht="15" hidden="1" customHeight="1">
      <c r="A192" t="s">
        <v>23</v>
      </c>
      <c r="B192" t="s">
        <v>26</v>
      </c>
      <c r="C192" s="16">
        <v>1025</v>
      </c>
      <c r="D192" t="s">
        <v>118</v>
      </c>
      <c r="E192" s="2">
        <v>185</v>
      </c>
      <c r="F192" s="1"/>
      <c r="G192" s="1">
        <v>13.416</v>
      </c>
      <c r="H192" s="11">
        <v>11.66</v>
      </c>
      <c r="I192" s="20">
        <v>11.12</v>
      </c>
      <c r="J192" s="20">
        <f t="shared" si="152"/>
        <v>2.2960000000000012</v>
      </c>
      <c r="K192" s="2">
        <f t="shared" si="153"/>
        <v>424.76000000000022</v>
      </c>
      <c r="L192" s="11">
        <v>11.73</v>
      </c>
      <c r="M192" s="20">
        <f t="shared" si="154"/>
        <v>1.6859999999999999</v>
      </c>
      <c r="N192" s="21" t="str">
        <f t="shared" si="155"/>
        <v>-</v>
      </c>
      <c r="O192" s="1">
        <f t="shared" si="110"/>
        <v>-0.76480836236933769</v>
      </c>
      <c r="P192" s="1" t="str">
        <f t="shared" si="111"/>
        <v/>
      </c>
      <c r="Q192" s="11">
        <f>VLOOKUP($D192,prices!$A$2:$C$19,3)</f>
        <v>12.78</v>
      </c>
      <c r="R192" s="11">
        <f>VLOOKUP(D192,prices!$A$2:$B$19,2)</f>
        <v>12.78</v>
      </c>
      <c r="S192" s="55">
        <f t="shared" si="156"/>
        <v>-324.86</v>
      </c>
      <c r="T192" s="55">
        <f t="shared" si="157"/>
        <v>-1.7560000000000002</v>
      </c>
      <c r="U192" s="55">
        <f t="shared" si="112"/>
        <v>2481.96</v>
      </c>
      <c r="V192" s="42">
        <f t="shared" si="158"/>
        <v>-0.13088849135360764</v>
      </c>
      <c r="W192" s="55">
        <f t="shared" si="115"/>
        <v>2157.1</v>
      </c>
      <c r="X192" s="48">
        <f t="shared" si="116"/>
        <v>0</v>
      </c>
      <c r="Y192" s="68">
        <v>1</v>
      </c>
      <c r="Z192" s="28" t="str">
        <f>IF(B192="open",(R192-L192)*E192,"-")</f>
        <v>-</v>
      </c>
    </row>
    <row r="193" spans="1:26" ht="15" hidden="1" customHeight="1">
      <c r="A193" t="s">
        <v>6</v>
      </c>
      <c r="B193" t="s">
        <v>26</v>
      </c>
      <c r="C193" s="52">
        <v>1024</v>
      </c>
      <c r="D193" t="s">
        <v>118</v>
      </c>
      <c r="E193" s="2">
        <v>56</v>
      </c>
      <c r="F193" s="1"/>
      <c r="G193" s="1">
        <v>13.414999999999999</v>
      </c>
      <c r="H193" s="11">
        <v>11.65</v>
      </c>
      <c r="I193" s="20">
        <v>11.12</v>
      </c>
      <c r="J193" s="20">
        <f t="shared" si="152"/>
        <v>2.2949999999999999</v>
      </c>
      <c r="K193" s="2">
        <f t="shared" si="153"/>
        <v>128.51999999999998</v>
      </c>
      <c r="L193" s="11">
        <v>11.73</v>
      </c>
      <c r="M193" s="20">
        <f t="shared" si="154"/>
        <v>1.6849999999999987</v>
      </c>
      <c r="N193" s="21" t="str">
        <f t="shared" si="155"/>
        <v>-</v>
      </c>
      <c r="O193" s="1">
        <f t="shared" si="110"/>
        <v>-0.76906318082788616</v>
      </c>
      <c r="P193" s="1" t="str">
        <f t="shared" si="111"/>
        <v/>
      </c>
      <c r="Q193" s="11">
        <f>VLOOKUP($D193,prices!$A$2:$C$19,3)</f>
        <v>12.78</v>
      </c>
      <c r="R193" s="11">
        <f>VLOOKUP(D193,prices!$A$2:$B$19,2)</f>
        <v>12.78</v>
      </c>
      <c r="S193" s="55">
        <f t="shared" si="156"/>
        <v>-98.839999999999932</v>
      </c>
      <c r="T193" s="55">
        <f t="shared" si="157"/>
        <v>-1.7649999999999988</v>
      </c>
      <c r="U193" s="55">
        <f t="shared" si="112"/>
        <v>751.24</v>
      </c>
      <c r="V193" s="42">
        <f t="shared" si="158"/>
        <v>-0.13156913902348108</v>
      </c>
      <c r="W193" s="55">
        <f t="shared" si="115"/>
        <v>652.4</v>
      </c>
      <c r="X193" s="48">
        <f t="shared" si="116"/>
        <v>0</v>
      </c>
      <c r="Y193" s="68">
        <v>1</v>
      </c>
      <c r="Z193" s="28" t="str">
        <f>IF(B193="open",(R193-L193)*E193,"-")</f>
        <v>-</v>
      </c>
    </row>
    <row r="194" spans="1:26" ht="15" hidden="1" customHeight="1">
      <c r="A194" t="s">
        <v>23</v>
      </c>
      <c r="B194" t="s">
        <v>26</v>
      </c>
      <c r="C194" s="52">
        <v>21</v>
      </c>
      <c r="D194" t="s">
        <v>37</v>
      </c>
      <c r="E194" s="2">
        <v>178</v>
      </c>
      <c r="F194" s="1"/>
      <c r="G194" s="1">
        <v>25.76</v>
      </c>
      <c r="H194" s="11">
        <v>30.62</v>
      </c>
      <c r="I194" s="1">
        <v>24.19</v>
      </c>
      <c r="J194" s="1">
        <f>IF(AND(ISNUMBER(G194),ISNUMBER(I194)),G194-I194,"")</f>
        <v>1.5700000000000003</v>
      </c>
      <c r="K194" s="2">
        <f t="shared" si="153"/>
        <v>279.46000000000004</v>
      </c>
      <c r="L194" s="11">
        <v>30.69</v>
      </c>
      <c r="M194" s="1">
        <f>IF(AND(ISNUMBER(G194),ISNUMBER(L194)),MAX(0,G194-L194),"")</f>
        <v>0</v>
      </c>
      <c r="N194" s="2" t="str">
        <f>IF(B194="open",M194*E194,"")</f>
        <v/>
      </c>
      <c r="O194" s="1">
        <f t="shared" si="110"/>
        <v>3.0955414012738842</v>
      </c>
      <c r="P194" s="1" t="str">
        <f t="shared" si="111"/>
        <v/>
      </c>
      <c r="Q194" s="11">
        <v>30.94</v>
      </c>
      <c r="R194" s="11">
        <v>30.62</v>
      </c>
      <c r="S194" s="1">
        <f t="shared" si="156"/>
        <v>865.07999999999993</v>
      </c>
      <c r="T194" s="1">
        <f t="shared" si="157"/>
        <v>4.8599999999999994</v>
      </c>
      <c r="U194" s="1">
        <f t="shared" si="112"/>
        <v>4585.2800000000007</v>
      </c>
      <c r="V194"/>
      <c r="W194" s="1">
        <f t="shared" si="115"/>
        <v>5450.3600000000006</v>
      </c>
      <c r="X194" s="6">
        <f t="shared" si="116"/>
        <v>0</v>
      </c>
      <c r="Y194" s="68">
        <v>1</v>
      </c>
      <c r="Z194" s="28" t="str">
        <f>IF(B194="open",(R194-L194)*E194,"-")</f>
        <v>-</v>
      </c>
    </row>
    <row r="195" spans="1:26" ht="15" hidden="1" customHeight="1">
      <c r="A195" t="s">
        <v>23</v>
      </c>
      <c r="B195" t="s">
        <v>26</v>
      </c>
      <c r="C195" s="16">
        <v>53</v>
      </c>
      <c r="D195" t="s">
        <v>37</v>
      </c>
      <c r="E195" s="2">
        <v>64</v>
      </c>
      <c r="F195" s="1">
        <v>1.04</v>
      </c>
      <c r="G195" s="1">
        <v>33.729999999999997</v>
      </c>
      <c r="H195" s="11">
        <v>37.06</v>
      </c>
      <c r="I195" s="20">
        <v>28.53</v>
      </c>
      <c r="J195" s="20">
        <f t="shared" ref="J195:J200" si="159">IF(AND(ISNUMBER(G195),ISNUMBER(I195)),G195-I195,"-")</f>
        <v>5.1999999999999957</v>
      </c>
      <c r="K195" s="2">
        <f t="shared" si="153"/>
        <v>332.79999999999973</v>
      </c>
      <c r="L195" s="11">
        <v>32.479999999999997</v>
      </c>
      <c r="M195" s="20">
        <f t="shared" ref="M195:M200" si="160">IF(AND(ISNUMBER(G195),ISNUMBER(L195)),MAX(0,G195-L195),"-")</f>
        <v>1.25</v>
      </c>
      <c r="N195" s="21" t="str">
        <f t="shared" ref="N195:N200" si="161">IF(B195="open",M195*E195,"-")</f>
        <v>-</v>
      </c>
      <c r="O195" s="1">
        <f t="shared" si="110"/>
        <v>0.640384615384617</v>
      </c>
      <c r="P195" s="1" t="str">
        <f t="shared" si="111"/>
        <v/>
      </c>
      <c r="Q195" s="11"/>
      <c r="R195" s="11">
        <v>38.42</v>
      </c>
      <c r="S195" s="1">
        <f t="shared" si="156"/>
        <v>212.08000000000035</v>
      </c>
      <c r="T195" s="1">
        <f t="shared" si="157"/>
        <v>3.3300000000000054</v>
      </c>
      <c r="U195" s="1">
        <f t="shared" si="112"/>
        <v>2158.7199999999998</v>
      </c>
      <c r="V195" s="25">
        <f t="shared" ref="V195:V200" si="162">S195/U195</f>
        <v>9.8243403498369575E-2</v>
      </c>
      <c r="W195" s="1">
        <f t="shared" si="115"/>
        <v>2371.84</v>
      </c>
      <c r="X195" s="6">
        <f t="shared" si="116"/>
        <v>0</v>
      </c>
      <c r="Y195" s="68">
        <v>1</v>
      </c>
      <c r="Z195" s="28" t="str">
        <f>IF(B195="open",(R195-L195)*E195,"-")</f>
        <v>-</v>
      </c>
    </row>
    <row r="196" spans="1:26" ht="15" hidden="1" customHeight="1">
      <c r="A196" t="s">
        <v>23</v>
      </c>
      <c r="B196" t="s">
        <v>26</v>
      </c>
      <c r="C196" s="16">
        <v>218</v>
      </c>
      <c r="D196" t="s">
        <v>117</v>
      </c>
      <c r="E196" s="2">
        <v>140</v>
      </c>
      <c r="F196" s="1"/>
      <c r="G196" s="1">
        <v>28.91</v>
      </c>
      <c r="H196" s="11">
        <v>27.2</v>
      </c>
      <c r="I196" s="20">
        <v>27.45</v>
      </c>
      <c r="J196" s="20">
        <f t="shared" si="159"/>
        <v>1.4600000000000009</v>
      </c>
      <c r="K196" s="2">
        <f t="shared" si="153"/>
        <v>204.40000000000012</v>
      </c>
      <c r="L196" s="11">
        <v>27.45</v>
      </c>
      <c r="M196" s="20">
        <f t="shared" si="160"/>
        <v>1.4600000000000009</v>
      </c>
      <c r="N196" s="21" t="str">
        <f t="shared" si="161"/>
        <v>-</v>
      </c>
      <c r="O196" s="1">
        <f t="shared" si="110"/>
        <v>-1.1712328767123286</v>
      </c>
      <c r="P196" s="1" t="str">
        <f t="shared" si="111"/>
        <v/>
      </c>
      <c r="Q196" s="11">
        <f>VLOOKUP($D196,prices!$A$2:$C$19,3)</f>
        <v>12.78</v>
      </c>
      <c r="R196" s="11">
        <f>VLOOKUP(D196,prices!$A$2:$B$19,2)</f>
        <v>12.78</v>
      </c>
      <c r="S196" s="55">
        <f t="shared" si="156"/>
        <v>-239.40000000000012</v>
      </c>
      <c r="T196" s="55">
        <f t="shared" si="157"/>
        <v>-1.7100000000000009</v>
      </c>
      <c r="U196" s="55">
        <f t="shared" si="112"/>
        <v>4047.4</v>
      </c>
      <c r="V196" s="42">
        <f t="shared" si="162"/>
        <v>-5.9149083362158454E-2</v>
      </c>
      <c r="W196" s="55">
        <f t="shared" si="115"/>
        <v>3808</v>
      </c>
      <c r="X196" s="48">
        <f t="shared" si="116"/>
        <v>0</v>
      </c>
      <c r="Y196"/>
    </row>
    <row r="197" spans="1:26" ht="15" hidden="1" customHeight="1">
      <c r="A197" t="s">
        <v>6</v>
      </c>
      <c r="B197" t="s">
        <v>26</v>
      </c>
      <c r="C197" s="16">
        <v>217</v>
      </c>
      <c r="D197" t="s">
        <v>117</v>
      </c>
      <c r="E197" s="2">
        <v>38</v>
      </c>
      <c r="F197" s="1"/>
      <c r="G197" s="1">
        <v>28.91</v>
      </c>
      <c r="H197" s="11">
        <v>27.2</v>
      </c>
      <c r="I197" s="20">
        <v>27.45</v>
      </c>
      <c r="J197" s="20">
        <f t="shared" si="159"/>
        <v>1.4600000000000009</v>
      </c>
      <c r="K197" s="2">
        <f t="shared" si="153"/>
        <v>55.480000000000032</v>
      </c>
      <c r="L197" s="11">
        <v>27.45</v>
      </c>
      <c r="M197" s="20">
        <f t="shared" si="160"/>
        <v>1.4600000000000009</v>
      </c>
      <c r="N197" s="21" t="str">
        <f t="shared" si="161"/>
        <v>-</v>
      </c>
      <c r="O197" s="1">
        <f t="shared" si="110"/>
        <v>-1.1712328767123286</v>
      </c>
      <c r="P197" s="1" t="str">
        <f t="shared" si="111"/>
        <v/>
      </c>
      <c r="Q197" s="11">
        <f>VLOOKUP($D197,prices!$A$2:$C$19,3)</f>
        <v>12.78</v>
      </c>
      <c r="R197" s="11">
        <f>VLOOKUP(D197,prices!$A$2:$B$19,2)</f>
        <v>12.78</v>
      </c>
      <c r="S197" s="55">
        <f t="shared" si="156"/>
        <v>-64.980000000000032</v>
      </c>
      <c r="T197" s="55">
        <f t="shared" si="157"/>
        <v>-1.7100000000000009</v>
      </c>
      <c r="U197" s="55">
        <f t="shared" si="112"/>
        <v>1098.58</v>
      </c>
      <c r="V197" s="42">
        <f t="shared" si="162"/>
        <v>-5.9149083362158454E-2</v>
      </c>
      <c r="W197" s="55">
        <f t="shared" si="115"/>
        <v>1033.5999999999999</v>
      </c>
      <c r="X197" s="48">
        <f t="shared" si="116"/>
        <v>0</v>
      </c>
      <c r="Y197"/>
    </row>
    <row r="198" spans="1:26" ht="15" hidden="1" customHeight="1">
      <c r="A198" t="s">
        <v>23</v>
      </c>
      <c r="B198" t="s">
        <v>26</v>
      </c>
      <c r="C198" s="16">
        <v>176</v>
      </c>
      <c r="D198" t="s">
        <v>101</v>
      </c>
      <c r="E198" s="2">
        <v>124</v>
      </c>
      <c r="F198" s="1"/>
      <c r="G198" s="1">
        <v>28.678999999999998</v>
      </c>
      <c r="H198" s="11">
        <v>29.03</v>
      </c>
      <c r="I198" s="20">
        <v>27.46</v>
      </c>
      <c r="J198" s="20">
        <f t="shared" si="159"/>
        <v>1.2189999999999976</v>
      </c>
      <c r="K198" s="2">
        <f t="shared" si="153"/>
        <v>151.15599999999972</v>
      </c>
      <c r="L198" s="11">
        <v>29.02</v>
      </c>
      <c r="M198" s="20">
        <f t="shared" si="160"/>
        <v>0</v>
      </c>
      <c r="N198" s="21" t="str">
        <f t="shared" si="161"/>
        <v>-</v>
      </c>
      <c r="O198" s="1">
        <f t="shared" si="110"/>
        <v>0.28794093519278369</v>
      </c>
      <c r="P198" s="1" t="str">
        <f t="shared" si="111"/>
        <v/>
      </c>
      <c r="Q198" s="11">
        <f>VLOOKUP($D198,prices!$A$2:$C$19,3)</f>
        <v>12.78</v>
      </c>
      <c r="R198" s="11">
        <f>VLOOKUP(D198,prices!$A$2:$B$19,2)</f>
        <v>12.78</v>
      </c>
      <c r="S198" s="55">
        <f t="shared" si="156"/>
        <v>43.524000000000328</v>
      </c>
      <c r="T198" s="55">
        <f t="shared" si="157"/>
        <v>0.35100000000000264</v>
      </c>
      <c r="U198" s="55">
        <f t="shared" si="112"/>
        <v>3556.1959999999999</v>
      </c>
      <c r="V198" s="42">
        <f t="shared" si="162"/>
        <v>1.2238920464451433E-2</v>
      </c>
      <c r="W198" s="55">
        <f t="shared" si="115"/>
        <v>3599.7200000000003</v>
      </c>
      <c r="X198" s="48">
        <f t="shared" si="116"/>
        <v>0</v>
      </c>
      <c r="Y198"/>
    </row>
    <row r="199" spans="1:26" ht="15" hidden="1" customHeight="1">
      <c r="A199" t="s">
        <v>23</v>
      </c>
      <c r="B199" t="s">
        <v>26</v>
      </c>
      <c r="C199" s="16">
        <v>213</v>
      </c>
      <c r="D199" t="s">
        <v>101</v>
      </c>
      <c r="E199" s="2">
        <v>58</v>
      </c>
      <c r="F199" s="1"/>
      <c r="G199" s="1">
        <v>30.097000000000001</v>
      </c>
      <c r="H199" s="11">
        <v>29</v>
      </c>
      <c r="I199" s="20">
        <v>29</v>
      </c>
      <c r="J199" s="20">
        <f t="shared" si="159"/>
        <v>1.0970000000000013</v>
      </c>
      <c r="K199" s="2">
        <f t="shared" si="153"/>
        <v>63.626000000000076</v>
      </c>
      <c r="L199" s="11">
        <v>29</v>
      </c>
      <c r="M199" s="20">
        <f t="shared" si="160"/>
        <v>1.0970000000000013</v>
      </c>
      <c r="N199" s="21" t="str">
        <f t="shared" si="161"/>
        <v>-</v>
      </c>
      <c r="O199" s="1">
        <f t="shared" si="110"/>
        <v>-1</v>
      </c>
      <c r="P199" s="1" t="str">
        <f t="shared" si="111"/>
        <v/>
      </c>
      <c r="Q199" s="11">
        <f>VLOOKUP($D199,prices!$A$2:$C$19,3)</f>
        <v>12.78</v>
      </c>
      <c r="R199" s="11">
        <f>VLOOKUP(D199,prices!$A$2:$B$19,2)</f>
        <v>12.78</v>
      </c>
      <c r="S199" s="55">
        <f t="shared" si="156"/>
        <v>-63.626000000000076</v>
      </c>
      <c r="T199" s="55">
        <f t="shared" si="157"/>
        <v>-1.0970000000000013</v>
      </c>
      <c r="U199" s="55">
        <f t="shared" si="112"/>
        <v>1745.626</v>
      </c>
      <c r="V199" s="42">
        <f t="shared" si="162"/>
        <v>-3.6448815496561163E-2</v>
      </c>
      <c r="W199" s="55">
        <f t="shared" si="115"/>
        <v>1682</v>
      </c>
      <c r="X199" s="48">
        <f t="shared" si="116"/>
        <v>0</v>
      </c>
      <c r="Y199"/>
    </row>
    <row r="200" spans="1:26" ht="15" hidden="1" customHeight="1">
      <c r="A200" t="s">
        <v>6</v>
      </c>
      <c r="B200" t="s">
        <v>26</v>
      </c>
      <c r="C200" s="24">
        <v>177</v>
      </c>
      <c r="D200" t="s">
        <v>101</v>
      </c>
      <c r="E200" s="2">
        <v>39</v>
      </c>
      <c r="F200" s="1"/>
      <c r="G200" s="1">
        <v>28.678999999999998</v>
      </c>
      <c r="H200" s="11">
        <v>29.03</v>
      </c>
      <c r="I200" s="20">
        <v>27.46</v>
      </c>
      <c r="J200" s="20">
        <f t="shared" si="159"/>
        <v>1.2189999999999976</v>
      </c>
      <c r="K200" s="2">
        <f t="shared" si="153"/>
        <v>47.540999999999912</v>
      </c>
      <c r="L200" s="11">
        <v>29.02</v>
      </c>
      <c r="M200" s="20">
        <f t="shared" si="160"/>
        <v>0</v>
      </c>
      <c r="N200" s="21" t="str">
        <f t="shared" si="161"/>
        <v>-</v>
      </c>
      <c r="O200" s="1">
        <f t="shared" si="110"/>
        <v>0.28794093519278369</v>
      </c>
      <c r="P200" s="1" t="str">
        <f t="shared" si="111"/>
        <v/>
      </c>
      <c r="Q200" s="11">
        <f>VLOOKUP($D200,prices!$A$2:$C$19,3)</f>
        <v>12.78</v>
      </c>
      <c r="R200" s="11">
        <f>VLOOKUP(D200,prices!$A$2:$B$19,2)</f>
        <v>12.78</v>
      </c>
      <c r="S200" s="55">
        <f t="shared" si="156"/>
        <v>13.689000000000103</v>
      </c>
      <c r="T200" s="55">
        <f t="shared" si="157"/>
        <v>0.35100000000000264</v>
      </c>
      <c r="U200" s="55">
        <f t="shared" si="112"/>
        <v>1118.481</v>
      </c>
      <c r="V200" s="42">
        <f t="shared" si="162"/>
        <v>1.2238920464451433E-2</v>
      </c>
      <c r="W200" s="55">
        <f t="shared" si="115"/>
        <v>1132.17</v>
      </c>
      <c r="X200" s="48">
        <f t="shared" si="116"/>
        <v>0</v>
      </c>
      <c r="Y200"/>
    </row>
    <row r="201" spans="1:26" ht="15" hidden="1" customHeight="1">
      <c r="A201" t="s">
        <v>6</v>
      </c>
      <c r="B201" t="s">
        <v>26</v>
      </c>
      <c r="C201" s="24">
        <v>-1</v>
      </c>
      <c r="D201" t="s">
        <v>11</v>
      </c>
      <c r="E201" s="2">
        <v>70</v>
      </c>
      <c r="F201" s="1">
        <v>1.07</v>
      </c>
      <c r="G201" s="1">
        <v>44.21</v>
      </c>
      <c r="H201" s="11">
        <v>42.96</v>
      </c>
      <c r="I201" s="1">
        <v>41.67</v>
      </c>
      <c r="J201" s="1">
        <f>IF(AND(ISNUMBER(G201),ISNUMBER(I201)),G201-I201,"")</f>
        <v>2.5399999999999991</v>
      </c>
      <c r="K201" s="2" t="str">
        <f>IF((B201="open"),E201*J201,"-")</f>
        <v>-</v>
      </c>
      <c r="L201" s="11">
        <f>V201</f>
        <v>42.99</v>
      </c>
      <c r="M201" s="1">
        <f>IF(AND(ISNUMBER(G201),ISNUMBER(L201)),MAX(0,G201-L201),"")</f>
        <v>1.2199999999999989</v>
      </c>
      <c r="N201" s="2" t="str">
        <f>IF(B201="open",M201*E201,"")</f>
        <v/>
      </c>
      <c r="O201" s="1">
        <f t="shared" si="110"/>
        <v>-0.49212598425196868</v>
      </c>
      <c r="P201" s="1" t="str">
        <f t="shared" si="111"/>
        <v/>
      </c>
      <c r="Q201" s="11"/>
      <c r="R201" s="11">
        <v>42.96</v>
      </c>
      <c r="S201" s="1">
        <f>IF(ISNUMBER(E201),IF(B201="closed",(H201-G201)*E201,(R201-G201)*E201),"")</f>
        <v>-87.5</v>
      </c>
      <c r="T201" s="19">
        <v>-810.35</v>
      </c>
      <c r="U201" s="1">
        <f t="shared" si="112"/>
        <v>3094.7000000000003</v>
      </c>
      <c r="V201" s="1">
        <v>42.99</v>
      </c>
      <c r="W201" s="1">
        <f t="shared" si="115"/>
        <v>3007.2000000000003</v>
      </c>
      <c r="X201" s="6">
        <f t="shared" si="116"/>
        <v>0</v>
      </c>
      <c r="Y201"/>
    </row>
    <row r="202" spans="1:26" ht="15" hidden="1" customHeight="1">
      <c r="A202" t="s">
        <v>23</v>
      </c>
      <c r="B202" t="s">
        <v>26</v>
      </c>
      <c r="C202" s="24">
        <v>37</v>
      </c>
      <c r="D202" t="s">
        <v>11</v>
      </c>
      <c r="E202" s="2">
        <v>54</v>
      </c>
      <c r="F202" s="1">
        <v>1.03</v>
      </c>
      <c r="G202" s="1">
        <v>24.736999999999998</v>
      </c>
      <c r="H202" s="11">
        <v>29.19</v>
      </c>
      <c r="I202" s="20">
        <v>22.51</v>
      </c>
      <c r="J202" s="20">
        <f t="shared" ref="J202:J235" si="163">IF(AND(ISNUMBER(G202),ISNUMBER(I202)),G202-I202,"-")</f>
        <v>2.2269999999999968</v>
      </c>
      <c r="K202" s="2">
        <f t="shared" ref="K202:K235" si="164">IFERROR(E202*J202,"-")</f>
        <v>120.25799999999983</v>
      </c>
      <c r="L202" s="11">
        <v>27.22</v>
      </c>
      <c r="M202" s="20">
        <f t="shared" ref="M202:M235" si="165">IF(AND(ISNUMBER(G202),ISNUMBER(L202)),MAX(0,G202-L202),"-")</f>
        <v>0</v>
      </c>
      <c r="N202" s="21" t="str">
        <f t="shared" ref="N202:N235" si="166">IF(B202="open",M202*E202,"-")</f>
        <v>-</v>
      </c>
      <c r="O202" s="1">
        <f t="shared" si="110"/>
        <v>1.999550965424342</v>
      </c>
      <c r="P202" s="1" t="str">
        <f t="shared" si="111"/>
        <v/>
      </c>
      <c r="Q202" s="11"/>
      <c r="R202" s="11">
        <v>30.43</v>
      </c>
      <c r="S202" s="1">
        <f t="shared" ref="S202:S235" si="167">IF(ISNUMBER(E202),IF(B202="closed",(H202-G202)*E202,(R202-G202)*E202)-F202,"")</f>
        <v>239.43200000000016</v>
      </c>
      <c r="T202" s="1">
        <f t="shared" ref="T202:T235" si="168">IF(ISNUMBER($E202),IF($B202="closed",($H202-$G202),($R202-$G202)),"")</f>
        <v>4.453000000000003</v>
      </c>
      <c r="U202" s="1">
        <f t="shared" si="112"/>
        <v>1335.798</v>
      </c>
      <c r="V202" s="25">
        <f t="shared" ref="V202:V235" si="169">S202/U202</f>
        <v>0.17924266992464441</v>
      </c>
      <c r="W202" s="1">
        <f t="shared" si="115"/>
        <v>1576.26</v>
      </c>
      <c r="X202" s="6">
        <f t="shared" si="116"/>
        <v>0</v>
      </c>
      <c r="Y202"/>
    </row>
    <row r="203" spans="1:26" ht="15" hidden="1" customHeight="1">
      <c r="A203" t="s">
        <v>23</v>
      </c>
      <c r="B203" t="s">
        <v>26</v>
      </c>
      <c r="C203" s="24">
        <v>51</v>
      </c>
      <c r="D203" t="s">
        <v>11</v>
      </c>
      <c r="E203" s="2">
        <v>49</v>
      </c>
      <c r="F203" s="1">
        <v>1.03</v>
      </c>
      <c r="G203" s="1">
        <v>29.09</v>
      </c>
      <c r="H203" s="36">
        <v>29.19</v>
      </c>
      <c r="I203" s="20">
        <v>24.04</v>
      </c>
      <c r="J203" s="20">
        <f t="shared" si="163"/>
        <v>5.0500000000000007</v>
      </c>
      <c r="K203" s="2">
        <f t="shared" si="164"/>
        <v>247.45000000000005</v>
      </c>
      <c r="L203" s="11">
        <v>27.22</v>
      </c>
      <c r="M203" s="20">
        <f t="shared" si="165"/>
        <v>1.870000000000001</v>
      </c>
      <c r="N203" s="21" t="str">
        <f t="shared" si="166"/>
        <v>-</v>
      </c>
      <c r="O203" s="1">
        <f t="shared" si="110"/>
        <v>1.980198019802008E-2</v>
      </c>
      <c r="P203" s="1" t="str">
        <f t="shared" si="111"/>
        <v/>
      </c>
      <c r="Q203" s="11"/>
      <c r="R203" s="11">
        <f>R202</f>
        <v>30.43</v>
      </c>
      <c r="S203" s="1">
        <f t="shared" si="167"/>
        <v>3.8700000000000694</v>
      </c>
      <c r="T203" s="1">
        <f t="shared" si="168"/>
        <v>0.10000000000000142</v>
      </c>
      <c r="U203" s="1">
        <f t="shared" si="112"/>
        <v>1425.41</v>
      </c>
      <c r="V203" s="25">
        <f t="shared" si="169"/>
        <v>2.7150083133975975E-3</v>
      </c>
      <c r="W203" s="1">
        <f t="shared" si="115"/>
        <v>1430.3100000000002</v>
      </c>
      <c r="X203" s="6">
        <f t="shared" si="116"/>
        <v>0</v>
      </c>
      <c r="Y203"/>
    </row>
    <row r="204" spans="1:26" ht="15" hidden="1" customHeight="1">
      <c r="A204" t="s">
        <v>23</v>
      </c>
      <c r="B204" t="s">
        <v>26</v>
      </c>
      <c r="C204" s="54">
        <v>49</v>
      </c>
      <c r="D204" t="s">
        <v>11</v>
      </c>
      <c r="E204" s="2">
        <v>56</v>
      </c>
      <c r="F204" s="1">
        <v>1.03</v>
      </c>
      <c r="G204" s="1">
        <v>27.46</v>
      </c>
      <c r="H204" s="36">
        <v>29.19</v>
      </c>
      <c r="I204" s="20">
        <v>23.28</v>
      </c>
      <c r="J204" s="20">
        <f t="shared" si="163"/>
        <v>4.18</v>
      </c>
      <c r="K204" s="2">
        <f t="shared" si="164"/>
        <v>234.07999999999998</v>
      </c>
      <c r="L204" s="11">
        <v>27.22</v>
      </c>
      <c r="M204" s="20">
        <f t="shared" si="165"/>
        <v>0.24000000000000199</v>
      </c>
      <c r="N204" s="21" t="str">
        <f t="shared" si="166"/>
        <v>-</v>
      </c>
      <c r="O204" s="1">
        <f t="shared" si="110"/>
        <v>0.41387559808612451</v>
      </c>
      <c r="P204" s="1" t="str">
        <f t="shared" si="111"/>
        <v/>
      </c>
      <c r="Q204" s="11"/>
      <c r="R204" s="11">
        <f>R202</f>
        <v>30.43</v>
      </c>
      <c r="S204" s="1">
        <f t="shared" si="167"/>
        <v>95.850000000000023</v>
      </c>
      <c r="T204" s="1">
        <f t="shared" si="168"/>
        <v>1.7300000000000004</v>
      </c>
      <c r="U204" s="1">
        <f t="shared" si="112"/>
        <v>1537.76</v>
      </c>
      <c r="V204" s="25">
        <f t="shared" si="169"/>
        <v>6.23309229008428E-2</v>
      </c>
      <c r="W204" s="1">
        <f t="shared" si="115"/>
        <v>1634.64</v>
      </c>
      <c r="X204" s="6">
        <f t="shared" si="116"/>
        <v>0</v>
      </c>
      <c r="Y204"/>
    </row>
    <row r="205" spans="1:26" ht="15" hidden="1" customHeight="1">
      <c r="A205" t="s">
        <v>23</v>
      </c>
      <c r="B205" t="s">
        <v>26</v>
      </c>
      <c r="C205" s="56">
        <v>50</v>
      </c>
      <c r="D205" t="s">
        <v>11</v>
      </c>
      <c r="E205" s="2">
        <v>51</v>
      </c>
      <c r="F205" s="1">
        <v>1.03</v>
      </c>
      <c r="G205" s="1">
        <v>27.46</v>
      </c>
      <c r="H205" s="36">
        <v>29.19</v>
      </c>
      <c r="I205" s="20">
        <v>23.28</v>
      </c>
      <c r="J205" s="20">
        <f t="shared" si="163"/>
        <v>4.18</v>
      </c>
      <c r="K205" s="2">
        <f t="shared" si="164"/>
        <v>213.17999999999998</v>
      </c>
      <c r="L205" s="11">
        <v>27.22</v>
      </c>
      <c r="M205" s="20">
        <f t="shared" si="165"/>
        <v>0.24000000000000199</v>
      </c>
      <c r="N205" s="21" t="str">
        <f t="shared" si="166"/>
        <v>-</v>
      </c>
      <c r="O205" s="1">
        <f t="shared" si="110"/>
        <v>0.41387559808612451</v>
      </c>
      <c r="P205" s="1" t="str">
        <f t="shared" si="111"/>
        <v/>
      </c>
      <c r="Q205" s="11"/>
      <c r="R205" s="11">
        <f>R202</f>
        <v>30.43</v>
      </c>
      <c r="S205" s="1">
        <f t="shared" si="167"/>
        <v>87.200000000000017</v>
      </c>
      <c r="T205" s="1">
        <f t="shared" si="168"/>
        <v>1.7300000000000004</v>
      </c>
      <c r="U205" s="1">
        <f t="shared" si="112"/>
        <v>1400.46</v>
      </c>
      <c r="V205" s="25">
        <f t="shared" si="169"/>
        <v>6.2265255701698025E-2</v>
      </c>
      <c r="W205" s="1">
        <f t="shared" si="115"/>
        <v>1488.69</v>
      </c>
      <c r="X205" s="6">
        <f t="shared" si="116"/>
        <v>0</v>
      </c>
      <c r="Y205"/>
    </row>
    <row r="206" spans="1:26" ht="15" hidden="1" customHeight="1">
      <c r="A206" t="s">
        <v>23</v>
      </c>
      <c r="B206" t="s">
        <v>26</v>
      </c>
      <c r="C206" s="56">
        <v>71</v>
      </c>
      <c r="D206" t="s">
        <v>11</v>
      </c>
      <c r="E206" s="2">
        <v>51</v>
      </c>
      <c r="F206" s="1">
        <v>1.03</v>
      </c>
      <c r="G206" s="1">
        <v>32.68</v>
      </c>
      <c r="H206" s="11">
        <v>29.19</v>
      </c>
      <c r="I206" s="20">
        <v>27.98</v>
      </c>
      <c r="J206" s="20">
        <f t="shared" si="163"/>
        <v>4.6999999999999993</v>
      </c>
      <c r="K206" s="2">
        <f t="shared" si="164"/>
        <v>239.69999999999996</v>
      </c>
      <c r="L206" s="11">
        <f>I206</f>
        <v>27.98</v>
      </c>
      <c r="M206" s="20">
        <f t="shared" si="165"/>
        <v>4.6999999999999993</v>
      </c>
      <c r="N206" s="21" t="str">
        <f t="shared" si="166"/>
        <v>-</v>
      </c>
      <c r="O206" s="1">
        <f t="shared" si="110"/>
        <v>-0.7425531914893615</v>
      </c>
      <c r="P206" s="1" t="str">
        <f t="shared" si="111"/>
        <v/>
      </c>
      <c r="Q206" s="11"/>
      <c r="R206" s="11">
        <f>R202</f>
        <v>30.43</v>
      </c>
      <c r="S206" s="1">
        <f t="shared" si="167"/>
        <v>-179.01999999999992</v>
      </c>
      <c r="T206" s="1">
        <f t="shared" si="168"/>
        <v>-3.4899999999999984</v>
      </c>
      <c r="U206" s="1">
        <f t="shared" si="112"/>
        <v>1666.68</v>
      </c>
      <c r="V206" s="25">
        <f t="shared" si="169"/>
        <v>-0.10741114071087426</v>
      </c>
      <c r="W206" s="1">
        <f t="shared" si="115"/>
        <v>1488.69</v>
      </c>
      <c r="X206" s="6">
        <f t="shared" si="116"/>
        <v>0</v>
      </c>
      <c r="Y206" s="68">
        <v>1</v>
      </c>
    </row>
    <row r="207" spans="1:26" ht="15" hidden="1" customHeight="1">
      <c r="A207" t="s">
        <v>23</v>
      </c>
      <c r="B207" t="s">
        <v>26</v>
      </c>
      <c r="C207" s="59">
        <v>81</v>
      </c>
      <c r="D207" t="s">
        <v>11</v>
      </c>
      <c r="E207" s="2">
        <v>34</v>
      </c>
      <c r="F207" s="1">
        <v>1.02</v>
      </c>
      <c r="G207" s="1">
        <v>32.4</v>
      </c>
      <c r="H207" s="11">
        <v>29.19</v>
      </c>
      <c r="I207" s="20">
        <v>28.18</v>
      </c>
      <c r="J207" s="20">
        <f t="shared" si="163"/>
        <v>4.2199999999999989</v>
      </c>
      <c r="K207" s="2">
        <f t="shared" si="164"/>
        <v>143.47999999999996</v>
      </c>
      <c r="L207" s="11">
        <f>I207</f>
        <v>28.18</v>
      </c>
      <c r="M207" s="20">
        <f t="shared" si="165"/>
        <v>4.2199999999999989</v>
      </c>
      <c r="N207" s="21" t="str">
        <f t="shared" si="166"/>
        <v>-</v>
      </c>
      <c r="O207" s="1">
        <f t="shared" si="110"/>
        <v>-0.76066350710900432</v>
      </c>
      <c r="P207" s="1" t="str">
        <f t="shared" si="111"/>
        <v/>
      </c>
      <c r="Q207" s="11"/>
      <c r="R207" s="11">
        <f>R202</f>
        <v>30.43</v>
      </c>
      <c r="S207" s="1">
        <f t="shared" si="167"/>
        <v>-110.1599999999999</v>
      </c>
      <c r="T207" s="1">
        <f t="shared" si="168"/>
        <v>-3.2099999999999973</v>
      </c>
      <c r="U207" s="1">
        <f t="shared" si="112"/>
        <v>1101.5999999999999</v>
      </c>
      <c r="V207" s="25">
        <f t="shared" si="169"/>
        <v>-9.9999999999999908E-2</v>
      </c>
      <c r="W207" s="1">
        <f t="shared" si="115"/>
        <v>992.46</v>
      </c>
      <c r="X207" s="6">
        <f t="shared" si="116"/>
        <v>0</v>
      </c>
      <c r="Y207" s="68">
        <v>1</v>
      </c>
    </row>
    <row r="208" spans="1:26" ht="15" hidden="1" customHeight="1">
      <c r="A208" t="s">
        <v>6</v>
      </c>
      <c r="B208" t="s">
        <v>26</v>
      </c>
      <c r="C208" s="54">
        <v>82</v>
      </c>
      <c r="D208" t="s">
        <v>11</v>
      </c>
      <c r="E208" s="2">
        <v>40</v>
      </c>
      <c r="F208" s="1">
        <v>1.02</v>
      </c>
      <c r="G208" s="1">
        <v>32.4</v>
      </c>
      <c r="H208" s="11">
        <v>29.19</v>
      </c>
      <c r="I208" s="20">
        <v>28.18</v>
      </c>
      <c r="J208" s="20">
        <f t="shared" si="163"/>
        <v>4.2199999999999989</v>
      </c>
      <c r="K208" s="2">
        <f t="shared" si="164"/>
        <v>168.79999999999995</v>
      </c>
      <c r="L208" s="11">
        <f>I208</f>
        <v>28.18</v>
      </c>
      <c r="M208" s="20">
        <f t="shared" si="165"/>
        <v>4.2199999999999989</v>
      </c>
      <c r="N208" s="21" t="str">
        <f t="shared" si="166"/>
        <v>-</v>
      </c>
      <c r="O208" s="1">
        <f t="shared" si="110"/>
        <v>-0.76066350710900432</v>
      </c>
      <c r="P208" s="1" t="str">
        <f t="shared" si="111"/>
        <v/>
      </c>
      <c r="Q208" s="11"/>
      <c r="R208" s="11">
        <f>R202</f>
        <v>30.43</v>
      </c>
      <c r="S208" s="1">
        <f t="shared" si="167"/>
        <v>-129.4199999999999</v>
      </c>
      <c r="T208" s="1">
        <f t="shared" si="168"/>
        <v>-3.2099999999999973</v>
      </c>
      <c r="U208" s="1">
        <f t="shared" si="112"/>
        <v>1296</v>
      </c>
      <c r="V208" s="25">
        <f t="shared" si="169"/>
        <v>-9.9861111111111039E-2</v>
      </c>
      <c r="W208" s="1">
        <f t="shared" si="115"/>
        <v>1167.6000000000001</v>
      </c>
      <c r="X208" s="6">
        <f t="shared" si="116"/>
        <v>0</v>
      </c>
      <c r="Y208" s="68">
        <v>1</v>
      </c>
    </row>
    <row r="209" spans="1:26" hidden="1">
      <c r="A209" t="s">
        <v>23</v>
      </c>
      <c r="B209" t="s">
        <v>26</v>
      </c>
      <c r="C209" s="84">
        <v>136</v>
      </c>
      <c r="D209" t="s">
        <v>11</v>
      </c>
      <c r="E209" s="2">
        <v>59</v>
      </c>
      <c r="F209" s="1"/>
      <c r="G209" s="1">
        <v>34.43</v>
      </c>
      <c r="H209" s="11">
        <v>34.011000000000003</v>
      </c>
      <c r="I209" s="20">
        <v>29.5</v>
      </c>
      <c r="J209" s="20">
        <f t="shared" si="163"/>
        <v>4.93</v>
      </c>
      <c r="K209" s="2">
        <f t="shared" si="164"/>
        <v>290.87</v>
      </c>
      <c r="L209" s="11">
        <v>29.5</v>
      </c>
      <c r="M209" s="20">
        <f t="shared" si="165"/>
        <v>4.93</v>
      </c>
      <c r="N209" s="21" t="str">
        <f t="shared" si="166"/>
        <v>-</v>
      </c>
      <c r="O209" s="1">
        <f t="shared" si="110"/>
        <v>-8.4989858012169767E-2</v>
      </c>
      <c r="P209" s="1" t="str">
        <f t="shared" si="111"/>
        <v/>
      </c>
      <c r="Q209" s="11"/>
      <c r="R209" s="11">
        <f>VLOOKUP(D209,prices!$A$2:$B$19,2)</f>
        <v>17.07</v>
      </c>
      <c r="S209" s="1">
        <f t="shared" si="167"/>
        <v>-24.720999999999819</v>
      </c>
      <c r="T209" s="1">
        <f t="shared" si="168"/>
        <v>-0.41899999999999693</v>
      </c>
      <c r="U209" s="1">
        <f t="shared" si="112"/>
        <v>2031.37</v>
      </c>
      <c r="V209" s="25">
        <f t="shared" si="169"/>
        <v>-1.2169619517862241E-2</v>
      </c>
      <c r="W209" s="1">
        <f t="shared" si="115"/>
        <v>2006.6490000000001</v>
      </c>
      <c r="X209" s="6">
        <f t="shared" si="116"/>
        <v>0</v>
      </c>
      <c r="Y209" s="68">
        <v>1</v>
      </c>
    </row>
    <row r="210" spans="1:26" hidden="1">
      <c r="A210" t="s">
        <v>6</v>
      </c>
      <c r="B210" t="s">
        <v>26</v>
      </c>
      <c r="C210" s="84">
        <v>135</v>
      </c>
      <c r="D210" t="s">
        <v>11</v>
      </c>
      <c r="E210" s="2">
        <v>18</v>
      </c>
      <c r="F210" s="1"/>
      <c r="G210" s="1">
        <v>34.43</v>
      </c>
      <c r="H210" s="11">
        <v>34.011000000000003</v>
      </c>
      <c r="I210" s="20">
        <v>29.5</v>
      </c>
      <c r="J210" s="20">
        <f t="shared" si="163"/>
        <v>4.93</v>
      </c>
      <c r="K210" s="2">
        <f t="shared" si="164"/>
        <v>88.74</v>
      </c>
      <c r="L210" s="11">
        <v>29.5</v>
      </c>
      <c r="M210" s="20">
        <f t="shared" si="165"/>
        <v>4.93</v>
      </c>
      <c r="N210" s="21" t="str">
        <f t="shared" si="166"/>
        <v>-</v>
      </c>
      <c r="O210" s="1">
        <f t="shared" si="110"/>
        <v>-8.4989858012169767E-2</v>
      </c>
      <c r="P210" s="1" t="str">
        <f t="shared" si="111"/>
        <v/>
      </c>
      <c r="Q210" s="11"/>
      <c r="R210" s="11">
        <f>VLOOKUP(D210,prices!$A$2:$B$19,2)</f>
        <v>17.07</v>
      </c>
      <c r="S210" s="1">
        <f t="shared" si="167"/>
        <v>-7.5419999999999447</v>
      </c>
      <c r="T210" s="1">
        <f t="shared" si="168"/>
        <v>-0.41899999999999693</v>
      </c>
      <c r="U210" s="1">
        <f t="shared" si="112"/>
        <v>619.74</v>
      </c>
      <c r="V210" s="25">
        <f t="shared" si="169"/>
        <v>-1.2169619517862241E-2</v>
      </c>
      <c r="W210" s="1">
        <f t="shared" si="115"/>
        <v>612.19800000000009</v>
      </c>
      <c r="X210" s="6">
        <f t="shared" si="116"/>
        <v>0</v>
      </c>
      <c r="Y210" s="68">
        <v>1</v>
      </c>
    </row>
    <row r="211" spans="1:26" hidden="1">
      <c r="A211" t="s">
        <v>23</v>
      </c>
      <c r="B211" t="s">
        <v>26</v>
      </c>
      <c r="C211" s="84">
        <v>140</v>
      </c>
      <c r="D211" t="s">
        <v>11</v>
      </c>
      <c r="E211" s="2">
        <v>49</v>
      </c>
      <c r="F211" s="1"/>
      <c r="G211" s="1">
        <v>35.496000000000002</v>
      </c>
      <c r="H211" s="11">
        <v>34.880000000000003</v>
      </c>
      <c r="I211" s="20">
        <v>30.8</v>
      </c>
      <c r="J211" s="20">
        <f t="shared" si="163"/>
        <v>4.6960000000000015</v>
      </c>
      <c r="K211" s="2">
        <f t="shared" si="164"/>
        <v>230.10400000000007</v>
      </c>
      <c r="L211" s="11">
        <v>34.909999999999997</v>
      </c>
      <c r="M211" s="20">
        <f t="shared" si="165"/>
        <v>0.58600000000000563</v>
      </c>
      <c r="N211" s="21" t="str">
        <f t="shared" si="166"/>
        <v>-</v>
      </c>
      <c r="O211" s="1">
        <f t="shared" ref="O211:O278" si="170">IF(ISNUMBER(H211),(H211-G211)/J211,"")</f>
        <v>-0.13117546848381589</v>
      </c>
      <c r="P211" s="1" t="str">
        <f t="shared" ref="P211:P271" si="171">IF(B211="open",IF(ISNUMBER(R211),(R211-$G211)/$J211,""),"")</f>
        <v/>
      </c>
      <c r="Q211" s="11">
        <f>VLOOKUP($D211,prices!$A$2:$C$19,3)</f>
        <v>18.399999999999999</v>
      </c>
      <c r="R211" s="11">
        <f>VLOOKUP(D211,prices!$A$2:$B$19,2)</f>
        <v>17.07</v>
      </c>
      <c r="S211" s="55">
        <f t="shared" si="167"/>
        <v>-30.183999999999983</v>
      </c>
      <c r="T211" s="55">
        <f t="shared" si="168"/>
        <v>-0.61599999999999966</v>
      </c>
      <c r="U211" s="55">
        <f t="shared" ref="U211:U278" si="172">E211*G211</f>
        <v>1739.3040000000001</v>
      </c>
      <c r="V211" s="42">
        <f t="shared" si="169"/>
        <v>-1.7354068064007203E-2</v>
      </c>
      <c r="W211" s="55">
        <f t="shared" si="115"/>
        <v>1709.1200000000001</v>
      </c>
      <c r="X211" s="48">
        <f t="shared" si="116"/>
        <v>0</v>
      </c>
      <c r="Y211"/>
    </row>
    <row r="212" spans="1:26" hidden="1">
      <c r="A212" t="s">
        <v>6</v>
      </c>
      <c r="B212" t="s">
        <v>26</v>
      </c>
      <c r="C212" s="84">
        <v>139</v>
      </c>
      <c r="D212" t="s">
        <v>11</v>
      </c>
      <c r="E212" s="2">
        <v>15</v>
      </c>
      <c r="F212" s="1"/>
      <c r="G212" s="1">
        <v>35.5</v>
      </c>
      <c r="H212" s="11">
        <v>34.880000000000003</v>
      </c>
      <c r="I212" s="20">
        <v>30.8</v>
      </c>
      <c r="J212" s="20">
        <f t="shared" si="163"/>
        <v>4.6999999999999993</v>
      </c>
      <c r="K212" s="2">
        <f t="shared" si="164"/>
        <v>70.499999999999986</v>
      </c>
      <c r="L212" s="11">
        <v>34.909999999999997</v>
      </c>
      <c r="M212" s="20">
        <f t="shared" si="165"/>
        <v>0.59000000000000341</v>
      </c>
      <c r="N212" s="21" t="str">
        <f t="shared" si="166"/>
        <v>-</v>
      </c>
      <c r="O212" s="1">
        <f t="shared" si="170"/>
        <v>-0.13191489361702075</v>
      </c>
      <c r="P212" s="1" t="str">
        <f t="shared" si="171"/>
        <v/>
      </c>
      <c r="Q212" s="11">
        <f>VLOOKUP($D212,prices!$A$2:$C$19,3)</f>
        <v>18.399999999999999</v>
      </c>
      <c r="R212" s="11">
        <f>VLOOKUP(D212,prices!$A$2:$B$19,2)</f>
        <v>17.07</v>
      </c>
      <c r="S212" s="55">
        <f t="shared" si="167"/>
        <v>-9.2999999999999616</v>
      </c>
      <c r="T212" s="55">
        <f t="shared" si="168"/>
        <v>-0.61999999999999744</v>
      </c>
      <c r="U212" s="55">
        <f t="shared" si="172"/>
        <v>532.5</v>
      </c>
      <c r="V212" s="42">
        <f t="shared" si="169"/>
        <v>-1.7464788732394293E-2</v>
      </c>
      <c r="W212" s="55">
        <f t="shared" si="115"/>
        <v>523.20000000000005</v>
      </c>
      <c r="X212" s="48">
        <f t="shared" si="116"/>
        <v>0</v>
      </c>
      <c r="Y212"/>
    </row>
    <row r="213" spans="1:26" hidden="1">
      <c r="A213" t="s">
        <v>23</v>
      </c>
      <c r="B213" t="s">
        <v>26</v>
      </c>
      <c r="C213" s="95">
        <v>141</v>
      </c>
      <c r="D213" t="s">
        <v>11</v>
      </c>
      <c r="E213" s="2">
        <v>153</v>
      </c>
      <c r="F213" s="1"/>
      <c r="G213" s="1">
        <v>37.32</v>
      </c>
      <c r="H213" s="11">
        <v>34.875999999999998</v>
      </c>
      <c r="I213" s="20">
        <v>33.119999999999997</v>
      </c>
      <c r="J213" s="20">
        <f t="shared" si="163"/>
        <v>4.2000000000000028</v>
      </c>
      <c r="K213" s="2">
        <f t="shared" si="164"/>
        <v>642.60000000000048</v>
      </c>
      <c r="L213" s="11">
        <v>34.909999999999997</v>
      </c>
      <c r="M213" s="20">
        <f t="shared" si="165"/>
        <v>2.4100000000000037</v>
      </c>
      <c r="N213" s="21" t="str">
        <f t="shared" si="166"/>
        <v>-</v>
      </c>
      <c r="O213" s="1">
        <f t="shared" si="170"/>
        <v>-0.58190476190476215</v>
      </c>
      <c r="P213" s="1" t="str">
        <f t="shared" si="171"/>
        <v/>
      </c>
      <c r="Q213" s="11">
        <f>VLOOKUP($D213,prices!$A$2:$C$19,3)</f>
        <v>18.399999999999999</v>
      </c>
      <c r="R213" s="11">
        <f>VLOOKUP(D213,prices!$A$2:$B$19,2)</f>
        <v>17.07</v>
      </c>
      <c r="S213" s="55">
        <f t="shared" si="167"/>
        <v>-373.93200000000041</v>
      </c>
      <c r="T213" s="55">
        <f t="shared" si="168"/>
        <v>-2.4440000000000026</v>
      </c>
      <c r="U213" s="55">
        <f t="shared" si="172"/>
        <v>5709.96</v>
      </c>
      <c r="V213" s="42">
        <f t="shared" si="169"/>
        <v>-6.5487674169346269E-2</v>
      </c>
      <c r="W213" s="55">
        <f t="shared" si="115"/>
        <v>5336.0279999999993</v>
      </c>
      <c r="X213" s="48">
        <f t="shared" si="116"/>
        <v>0</v>
      </c>
      <c r="Y213"/>
    </row>
    <row r="214" spans="1:26" hidden="1">
      <c r="A214" t="s">
        <v>6</v>
      </c>
      <c r="B214" t="s">
        <v>26</v>
      </c>
      <c r="C214" s="95">
        <v>142</v>
      </c>
      <c r="D214" t="s">
        <v>11</v>
      </c>
      <c r="E214" s="2">
        <v>38</v>
      </c>
      <c r="F214" s="1"/>
      <c r="G214" s="1">
        <v>37.32</v>
      </c>
      <c r="H214" s="11">
        <v>34.880000000000003</v>
      </c>
      <c r="I214" s="20">
        <v>33.119999999999997</v>
      </c>
      <c r="J214" s="20">
        <f t="shared" si="163"/>
        <v>4.2000000000000028</v>
      </c>
      <c r="K214" s="2">
        <f t="shared" si="164"/>
        <v>159.60000000000011</v>
      </c>
      <c r="L214" s="11">
        <v>34.909999999999997</v>
      </c>
      <c r="M214" s="20">
        <f t="shared" si="165"/>
        <v>2.4100000000000037</v>
      </c>
      <c r="N214" s="21" t="str">
        <f t="shared" si="166"/>
        <v>-</v>
      </c>
      <c r="O214" s="1">
        <f t="shared" si="170"/>
        <v>-0.58095238095238</v>
      </c>
      <c r="P214" s="1" t="str">
        <f t="shared" si="171"/>
        <v/>
      </c>
      <c r="Q214" s="11">
        <f>VLOOKUP($D214,prices!$A$2:$C$19,3)</f>
        <v>18.399999999999999</v>
      </c>
      <c r="R214" s="11">
        <f>VLOOKUP(D214,prices!$A$2:$B$19,2)</f>
        <v>17.07</v>
      </c>
      <c r="S214" s="55">
        <f t="shared" si="167"/>
        <v>-92.719999999999914</v>
      </c>
      <c r="T214" s="55">
        <f t="shared" si="168"/>
        <v>-2.4399999999999977</v>
      </c>
      <c r="U214" s="55">
        <f t="shared" si="172"/>
        <v>1418.16</v>
      </c>
      <c r="V214" s="42">
        <f t="shared" si="169"/>
        <v>-6.5380493033226086E-2</v>
      </c>
      <c r="W214" s="55">
        <f t="shared" si="115"/>
        <v>1325.44</v>
      </c>
      <c r="X214" s="48">
        <f t="shared" si="116"/>
        <v>0</v>
      </c>
      <c r="Y214"/>
    </row>
    <row r="215" spans="1:26" hidden="1">
      <c r="A215" t="s">
        <v>23</v>
      </c>
      <c r="B215" t="s">
        <v>26</v>
      </c>
      <c r="C215" s="95">
        <v>155</v>
      </c>
      <c r="D215" t="s">
        <v>11</v>
      </c>
      <c r="E215" s="2">
        <v>75</v>
      </c>
      <c r="F215" s="1"/>
      <c r="G215" s="1">
        <v>38.78</v>
      </c>
      <c r="H215" s="11">
        <v>34.880000000000003</v>
      </c>
      <c r="I215" s="20">
        <v>34.58</v>
      </c>
      <c r="J215" s="20">
        <f t="shared" si="163"/>
        <v>4.2000000000000028</v>
      </c>
      <c r="K215" s="2">
        <f t="shared" si="164"/>
        <v>315.00000000000023</v>
      </c>
      <c r="L215" s="11">
        <v>34.909999999999997</v>
      </c>
      <c r="M215" s="20">
        <f t="shared" si="165"/>
        <v>3.8700000000000045</v>
      </c>
      <c r="N215" s="21" t="str">
        <f t="shared" si="166"/>
        <v>-</v>
      </c>
      <c r="O215" s="1">
        <f t="shared" si="170"/>
        <v>-0.9285714285714276</v>
      </c>
      <c r="P215" s="1" t="str">
        <f t="shared" si="171"/>
        <v/>
      </c>
      <c r="Q215" s="11">
        <f>VLOOKUP($D215,prices!$A$2:$C$19,3)</f>
        <v>18.399999999999999</v>
      </c>
      <c r="R215" s="11">
        <f>VLOOKUP(D215,prices!$A$2:$B$19,2)</f>
        <v>17.07</v>
      </c>
      <c r="S215" s="55">
        <f t="shared" si="167"/>
        <v>-292.49999999999989</v>
      </c>
      <c r="T215" s="55">
        <f t="shared" si="168"/>
        <v>-3.8999999999999986</v>
      </c>
      <c r="U215" s="55">
        <f t="shared" si="172"/>
        <v>2908.5</v>
      </c>
      <c r="V215" s="42">
        <f t="shared" si="169"/>
        <v>-0.10056730273336767</v>
      </c>
      <c r="W215" s="55">
        <f t="shared" si="115"/>
        <v>2616</v>
      </c>
      <c r="X215" s="48">
        <f t="shared" si="116"/>
        <v>0</v>
      </c>
      <c r="Y215"/>
    </row>
    <row r="216" spans="1:26">
      <c r="A216" t="s">
        <v>23</v>
      </c>
      <c r="B216" t="s">
        <v>26</v>
      </c>
      <c r="C216" s="111">
        <v>1067</v>
      </c>
      <c r="D216" t="s">
        <v>139</v>
      </c>
      <c r="E216" s="2">
        <v>84</v>
      </c>
      <c r="F216" s="1"/>
      <c r="G216" s="1">
        <v>73.02</v>
      </c>
      <c r="H216" s="11">
        <v>73.78</v>
      </c>
      <c r="I216" s="20">
        <v>70.8</v>
      </c>
      <c r="J216" s="20">
        <f t="shared" ref="J216" si="173">IF(AND(ISNUMBER(G216),ISNUMBER(I216)),G216-I216,"-")</f>
        <v>2.2199999999999989</v>
      </c>
      <c r="K216" s="2">
        <f t="shared" ref="K216" si="174">IFERROR(E216*J216,"-")</f>
        <v>186.4799999999999</v>
      </c>
      <c r="L216" s="11">
        <v>73.81</v>
      </c>
      <c r="M216" s="20">
        <f t="shared" ref="M216" si="175">IF(AND(ISNUMBER(G216),ISNUMBER(L216)),MAX(0,G216-L216),"-")</f>
        <v>0</v>
      </c>
      <c r="N216" s="21" t="str">
        <f t="shared" ref="N216" si="176">IF(B216="open",M216*E216,"-")</f>
        <v>-</v>
      </c>
      <c r="O216" s="1">
        <f t="shared" ref="O216" si="177">IF(ISNUMBER(H216),(H216-G216)/J216,"")</f>
        <v>0.34234234234234484</v>
      </c>
      <c r="P216" s="1" t="str">
        <f t="shared" ref="P216" si="178">IF(B216="open",IF(ISNUMBER(R216),(R216-$G216)/$J216,""),"")</f>
        <v/>
      </c>
      <c r="Q216" s="11">
        <f>VLOOKUP($D216,prices!$A$2:$C$19,3)</f>
        <v>75.08</v>
      </c>
      <c r="R216" s="11">
        <f>VLOOKUP(D216,prices!$A$2:$B$19,2)</f>
        <v>75.08</v>
      </c>
      <c r="S216" s="55">
        <f t="shared" ref="S216" si="179">IF(ISNUMBER(E216),IF(B216="closed",(H216-G216)*E216,(R216-G216)*E216)-F216,"")</f>
        <v>63.84000000000043</v>
      </c>
      <c r="T216" s="55">
        <f t="shared" si="168"/>
        <v>0.76000000000000512</v>
      </c>
      <c r="U216" s="55">
        <f t="shared" ref="U216" si="180">E216*G216</f>
        <v>6133.6799999999994</v>
      </c>
      <c r="V216" s="42">
        <f t="shared" ref="V216" si="181">S216/U216</f>
        <v>1.0408107367844498E-2</v>
      </c>
      <c r="W216" s="55">
        <f t="shared" ref="W216" si="182">IF(B216="closed",H216*E216,R216*E216)</f>
        <v>6197.52</v>
      </c>
      <c r="X216" s="48">
        <f t="shared" ref="X216" si="183">IF(B216="open",(R216-Q216)*E216,0)</f>
        <v>0</v>
      </c>
      <c r="Y216"/>
    </row>
    <row r="217" spans="1:26">
      <c r="A217" t="s">
        <v>58</v>
      </c>
      <c r="B217" t="s">
        <v>25</v>
      </c>
      <c r="C217" s="95"/>
      <c r="D217" t="s">
        <v>11</v>
      </c>
      <c r="E217" s="2">
        <v>200</v>
      </c>
      <c r="F217" s="1"/>
      <c r="G217" s="1">
        <v>18.350000000000001</v>
      </c>
      <c r="H217" s="11"/>
      <c r="I217" s="20">
        <v>18</v>
      </c>
      <c r="J217" s="20">
        <f t="shared" si="163"/>
        <v>0.35000000000000142</v>
      </c>
      <c r="K217" s="2">
        <f t="shared" si="164"/>
        <v>70.000000000000284</v>
      </c>
      <c r="L217" s="11">
        <v>18</v>
      </c>
      <c r="M217" s="20">
        <f t="shared" si="165"/>
        <v>0.35000000000000142</v>
      </c>
      <c r="N217" s="21">
        <f t="shared" si="166"/>
        <v>70.000000000000284</v>
      </c>
      <c r="O217" s="1" t="str">
        <f t="shared" si="170"/>
        <v/>
      </c>
      <c r="P217" s="1">
        <f t="shared" si="171"/>
        <v>-3.6571428571428455</v>
      </c>
      <c r="Q217" s="11">
        <f>VLOOKUP($D217,prices!$A$2:$C$19,3)</f>
        <v>18.399999999999999</v>
      </c>
      <c r="R217" s="11">
        <f>VLOOKUP(D217,prices!$A$2:$B$19,2)</f>
        <v>17.07</v>
      </c>
      <c r="S217" s="55">
        <f t="shared" si="167"/>
        <v>-256.00000000000023</v>
      </c>
      <c r="T217" s="55">
        <f t="shared" si="168"/>
        <v>-1.2800000000000011</v>
      </c>
      <c r="U217" s="55">
        <f t="shared" si="172"/>
        <v>3670.0000000000005</v>
      </c>
      <c r="V217" s="42">
        <f t="shared" si="169"/>
        <v>-6.9754768392370631E-2</v>
      </c>
      <c r="W217" s="55">
        <f t="shared" si="115"/>
        <v>3414</v>
      </c>
      <c r="X217" s="48">
        <f t="shared" si="116"/>
        <v>-265.99999999999966</v>
      </c>
      <c r="Y217"/>
    </row>
    <row r="218" spans="1:26">
      <c r="A218" t="s">
        <v>57</v>
      </c>
      <c r="B218" t="s">
        <v>25</v>
      </c>
      <c r="C218" s="113"/>
      <c r="D218" t="s">
        <v>11</v>
      </c>
      <c r="E218" s="2">
        <v>200</v>
      </c>
      <c r="F218" s="1"/>
      <c r="G218" s="1">
        <v>18.27</v>
      </c>
      <c r="H218" s="11"/>
      <c r="I218" s="20">
        <v>18</v>
      </c>
      <c r="J218" s="20">
        <f t="shared" ref="J218:J219" si="184">IF(AND(ISNUMBER(G218),ISNUMBER(I218)),G218-I218,"-")</f>
        <v>0.26999999999999957</v>
      </c>
      <c r="K218" s="2">
        <f t="shared" ref="K218:K219" si="185">IFERROR(E218*J218,"-")</f>
        <v>53.999999999999915</v>
      </c>
      <c r="L218" s="11">
        <v>18</v>
      </c>
      <c r="M218" s="20">
        <f t="shared" ref="M218:M219" si="186">IF(AND(ISNUMBER(G218),ISNUMBER(L218)),MAX(0,G218-L218),"-")</f>
        <v>0.26999999999999957</v>
      </c>
      <c r="N218" s="21">
        <f t="shared" ref="N218:N219" si="187">IF(B218="open",M218*E218,"-")</f>
        <v>53.999999999999915</v>
      </c>
      <c r="O218" s="1" t="str">
        <f t="shared" ref="O218:O219" si="188">IF(ISNUMBER(H218),(H218-G218)/J218,"")</f>
        <v/>
      </c>
      <c r="P218" s="1">
        <f t="shared" ref="P218:P219" si="189">IF(B218="open",IF(ISNUMBER(R218),(R218-$G218)/$J218,""),"")</f>
        <v>-4.4444444444444491</v>
      </c>
      <c r="Q218" s="11">
        <f>VLOOKUP($D218,prices!$A$2:$C$19,3)</f>
        <v>18.399999999999999</v>
      </c>
      <c r="R218" s="11">
        <f>VLOOKUP(D218,prices!$A$2:$B$19,2)</f>
        <v>17.07</v>
      </c>
      <c r="S218" s="55">
        <f t="shared" ref="S218:S219" si="190">IF(ISNUMBER(E218),IF(B218="closed",(H218-G218)*E218,(R218-G218)*E218)-F218,"")</f>
        <v>-239.99999999999986</v>
      </c>
      <c r="T218" s="55">
        <f t="shared" si="168"/>
        <v>-1.1999999999999993</v>
      </c>
      <c r="U218" s="55">
        <f t="shared" ref="U218:U219" si="191">E218*G218</f>
        <v>3654</v>
      </c>
      <c r="V218" s="42">
        <f t="shared" ref="V218:V219" si="192">S218/U218</f>
        <v>-6.5681444991789781E-2</v>
      </c>
      <c r="W218" s="55">
        <f t="shared" ref="W218:W219" si="193">IF(B218="closed",H218*E218,R218*E218)</f>
        <v>3414</v>
      </c>
      <c r="X218" s="48">
        <f t="shared" ref="X218:X219" si="194">IF(B218="open",(R218-Q218)*E218,0)</f>
        <v>-265.99999999999966</v>
      </c>
      <c r="Y218" s="68">
        <v>1</v>
      </c>
    </row>
    <row r="219" spans="1:26">
      <c r="A219" t="s">
        <v>23</v>
      </c>
      <c r="B219" t="s">
        <v>25</v>
      </c>
      <c r="C219" s="113">
        <v>1070</v>
      </c>
      <c r="D219" t="s">
        <v>141</v>
      </c>
      <c r="E219" s="2">
        <v>192</v>
      </c>
      <c r="F219" s="1"/>
      <c r="G219" s="1">
        <v>35.137</v>
      </c>
      <c r="H219" s="11"/>
      <c r="I219" s="20">
        <v>34.1</v>
      </c>
      <c r="J219" s="20">
        <f t="shared" si="184"/>
        <v>1.036999999999999</v>
      </c>
      <c r="K219" s="2">
        <f t="shared" si="185"/>
        <v>199.10399999999981</v>
      </c>
      <c r="L219" s="11">
        <v>34.1</v>
      </c>
      <c r="M219" s="20">
        <f t="shared" si="186"/>
        <v>1.036999999999999</v>
      </c>
      <c r="N219" s="21">
        <f t="shared" si="187"/>
        <v>199.10399999999981</v>
      </c>
      <c r="O219" s="1" t="str">
        <f t="shared" si="188"/>
        <v/>
      </c>
      <c r="P219" s="1">
        <f t="shared" si="189"/>
        <v>-0.17068466730954654</v>
      </c>
      <c r="Q219" s="11">
        <f>VLOOKUP($D219,prices!$A$2:$C$19,3)</f>
        <v>35.137</v>
      </c>
      <c r="R219" s="11">
        <f>VLOOKUP(D219,prices!$A$2:$B$19,2)</f>
        <v>34.96</v>
      </c>
      <c r="S219" s="55">
        <f t="shared" si="190"/>
        <v>-33.983999999999924</v>
      </c>
      <c r="T219" s="55">
        <f t="shared" si="168"/>
        <v>-0.1769999999999996</v>
      </c>
      <c r="U219" s="55">
        <f t="shared" si="191"/>
        <v>6746.3040000000001</v>
      </c>
      <c r="V219" s="42">
        <f t="shared" si="192"/>
        <v>-5.0374249366764269E-3</v>
      </c>
      <c r="W219" s="55">
        <f t="shared" si="193"/>
        <v>6712.32</v>
      </c>
      <c r="X219" s="48">
        <f t="shared" si="194"/>
        <v>-33.983999999999924</v>
      </c>
      <c r="Y219" s="68">
        <v>1</v>
      </c>
    </row>
    <row r="220" spans="1:26">
      <c r="A220" t="s">
        <v>6</v>
      </c>
      <c r="B220" t="s">
        <v>25</v>
      </c>
      <c r="C220" s="94">
        <v>1071</v>
      </c>
      <c r="D220" t="s">
        <v>141</v>
      </c>
      <c r="E220" s="2">
        <v>54</v>
      </c>
      <c r="F220" s="1"/>
      <c r="G220" s="1">
        <v>35.1389</v>
      </c>
      <c r="H220" s="11"/>
      <c r="I220" s="20">
        <v>34.1</v>
      </c>
      <c r="J220" s="20">
        <f t="shared" si="163"/>
        <v>1.0388999999999982</v>
      </c>
      <c r="K220" s="2">
        <f t="shared" si="164"/>
        <v>56.100599999999901</v>
      </c>
      <c r="L220" s="11">
        <v>34.1</v>
      </c>
      <c r="M220" s="20">
        <f t="shared" si="165"/>
        <v>1.0388999999999982</v>
      </c>
      <c r="N220" s="21">
        <f t="shared" si="166"/>
        <v>56.100599999999901</v>
      </c>
      <c r="O220" s="1" t="str">
        <f t="shared" si="170"/>
        <v/>
      </c>
      <c r="P220" s="1">
        <f t="shared" si="171"/>
        <v>-0.17220136683030035</v>
      </c>
      <c r="Q220" s="11">
        <f>VLOOKUP($D220,prices!$A$2:$C$19,3)</f>
        <v>35.137</v>
      </c>
      <c r="R220" s="11">
        <f>VLOOKUP(D220,prices!$A$2:$B$19,2)</f>
        <v>34.96</v>
      </c>
      <c r="S220" s="55">
        <f t="shared" si="167"/>
        <v>-9.6605999999999312</v>
      </c>
      <c r="T220" s="55">
        <f t="shared" si="168"/>
        <v>-0.17889999999999873</v>
      </c>
      <c r="U220" s="55">
        <f t="shared" si="172"/>
        <v>1897.5006000000001</v>
      </c>
      <c r="V220" s="42">
        <f t="shared" si="169"/>
        <v>-5.0912236865695492E-3</v>
      </c>
      <c r="W220" s="55">
        <f t="shared" si="115"/>
        <v>1887.8400000000001</v>
      </c>
      <c r="X220" s="48">
        <f t="shared" si="116"/>
        <v>-9.5579999999999785</v>
      </c>
      <c r="Y220" s="68">
        <v>1</v>
      </c>
    </row>
    <row r="221" spans="1:26" hidden="1">
      <c r="A221" t="s">
        <v>23</v>
      </c>
      <c r="B221" t="s">
        <v>26</v>
      </c>
      <c r="C221" s="78">
        <v>47</v>
      </c>
      <c r="D221" t="s">
        <v>49</v>
      </c>
      <c r="E221" s="2">
        <v>144</v>
      </c>
      <c r="F221" s="1">
        <v>1.03</v>
      </c>
      <c r="G221" s="1">
        <v>13.66</v>
      </c>
      <c r="H221" s="11">
        <v>12.67</v>
      </c>
      <c r="I221" s="20">
        <v>10.79</v>
      </c>
      <c r="J221" s="20">
        <f t="shared" si="163"/>
        <v>2.870000000000001</v>
      </c>
      <c r="K221" s="2">
        <f t="shared" si="164"/>
        <v>413.28000000000014</v>
      </c>
      <c r="L221" s="11">
        <v>12.69</v>
      </c>
      <c r="M221" s="20">
        <f t="shared" si="165"/>
        <v>0.97000000000000064</v>
      </c>
      <c r="N221" s="21" t="str">
        <f t="shared" si="166"/>
        <v>-</v>
      </c>
      <c r="O221" s="1">
        <f t="shared" si="170"/>
        <v>-0.34494773519163757</v>
      </c>
      <c r="P221" s="1" t="str">
        <f t="shared" si="171"/>
        <v/>
      </c>
      <c r="Q221" s="11"/>
      <c r="R221" s="11">
        <f>VLOOKUP(D221,prices!$A$2:$B$7,2)</f>
        <v>9.84</v>
      </c>
      <c r="S221" s="1">
        <f t="shared" si="167"/>
        <v>-143.59000000000003</v>
      </c>
      <c r="T221" s="1">
        <f t="shared" si="168"/>
        <v>-0.99000000000000021</v>
      </c>
      <c r="U221" s="1">
        <f t="shared" si="172"/>
        <v>1967.04</v>
      </c>
      <c r="V221" s="25">
        <f t="shared" si="169"/>
        <v>-7.2998007157963257E-2</v>
      </c>
      <c r="W221" s="1">
        <f t="shared" si="115"/>
        <v>1824.48</v>
      </c>
      <c r="X221" s="6">
        <f t="shared" si="116"/>
        <v>0</v>
      </c>
      <c r="Y221" s="68">
        <v>1</v>
      </c>
    </row>
    <row r="222" spans="1:26" hidden="1">
      <c r="A222" t="s">
        <v>23</v>
      </c>
      <c r="B222" t="s">
        <v>26</v>
      </c>
      <c r="C222" s="78">
        <v>59</v>
      </c>
      <c r="D222" t="s">
        <v>49</v>
      </c>
      <c r="E222" s="2">
        <v>74</v>
      </c>
      <c r="F222" s="1">
        <v>1.02</v>
      </c>
      <c r="G222" s="1">
        <v>14.87</v>
      </c>
      <c r="H222" s="11">
        <v>12.66</v>
      </c>
      <c r="I222" s="20">
        <v>11.67</v>
      </c>
      <c r="J222" s="20">
        <f t="shared" si="163"/>
        <v>3.1999999999999993</v>
      </c>
      <c r="K222" s="2">
        <f t="shared" si="164"/>
        <v>236.79999999999995</v>
      </c>
      <c r="L222" s="11">
        <v>12.69</v>
      </c>
      <c r="M222" s="20">
        <f t="shared" si="165"/>
        <v>2.1799999999999997</v>
      </c>
      <c r="N222" s="21" t="str">
        <f t="shared" si="166"/>
        <v>-</v>
      </c>
      <c r="O222" s="1">
        <f t="shared" si="170"/>
        <v>-0.69062499999999982</v>
      </c>
      <c r="P222" s="1" t="str">
        <f t="shared" si="171"/>
        <v/>
      </c>
      <c r="Q222" s="11"/>
      <c r="R222" s="11">
        <f>VLOOKUP(D222,prices!$A$2:$B$7,2)</f>
        <v>9.84</v>
      </c>
      <c r="S222" s="1">
        <f t="shared" si="167"/>
        <v>-164.55999999999995</v>
      </c>
      <c r="T222" s="1">
        <f t="shared" si="168"/>
        <v>-2.2099999999999991</v>
      </c>
      <c r="U222" s="1">
        <f t="shared" si="172"/>
        <v>1100.3799999999999</v>
      </c>
      <c r="V222" s="25">
        <f t="shared" si="169"/>
        <v>-0.14954833784692556</v>
      </c>
      <c r="W222" s="1">
        <f t="shared" si="115"/>
        <v>936.84</v>
      </c>
      <c r="X222" s="6">
        <f t="shared" si="116"/>
        <v>0</v>
      </c>
      <c r="Y222" s="68">
        <v>1</v>
      </c>
      <c r="Z222" s="28" t="str">
        <f t="shared" ref="Z222:Z227" si="195">IF(B222="open",(R222-L222)*E222,"-")</f>
        <v>-</v>
      </c>
    </row>
    <row r="223" spans="1:26" hidden="1">
      <c r="A223" t="s">
        <v>23</v>
      </c>
      <c r="B223" t="s">
        <v>26</v>
      </c>
      <c r="C223" s="93">
        <v>60</v>
      </c>
      <c r="D223" t="s">
        <v>49</v>
      </c>
      <c r="E223" s="2">
        <v>75</v>
      </c>
      <c r="F223" s="1">
        <v>1.02</v>
      </c>
      <c r="G223" s="1">
        <v>15.53</v>
      </c>
      <c r="H223" s="11">
        <v>12.66</v>
      </c>
      <c r="I223" s="20">
        <v>12.29</v>
      </c>
      <c r="J223" s="20">
        <f t="shared" si="163"/>
        <v>3.24</v>
      </c>
      <c r="K223" s="2">
        <f t="shared" si="164"/>
        <v>243.00000000000003</v>
      </c>
      <c r="L223" s="11">
        <v>12.69</v>
      </c>
      <c r="M223" s="20">
        <f t="shared" si="165"/>
        <v>2.84</v>
      </c>
      <c r="N223" s="21" t="str">
        <f t="shared" si="166"/>
        <v>-</v>
      </c>
      <c r="O223" s="1">
        <f t="shared" si="170"/>
        <v>-0.88580246913580218</v>
      </c>
      <c r="P223" s="1" t="str">
        <f t="shared" si="171"/>
        <v/>
      </c>
      <c r="Q223" s="11"/>
      <c r="R223" s="11">
        <f>VLOOKUP(D223,prices!$A$2:$B$7,2)</f>
        <v>9.84</v>
      </c>
      <c r="S223" s="1">
        <f t="shared" si="167"/>
        <v>-216.26999999999995</v>
      </c>
      <c r="T223" s="1">
        <f t="shared" si="168"/>
        <v>-2.8699999999999992</v>
      </c>
      <c r="U223" s="1">
        <f t="shared" si="172"/>
        <v>1164.75</v>
      </c>
      <c r="V223" s="25">
        <f t="shared" si="169"/>
        <v>-0.18567933032839662</v>
      </c>
      <c r="W223" s="1">
        <f t="shared" si="115"/>
        <v>949.5</v>
      </c>
      <c r="X223" s="6">
        <f t="shared" si="116"/>
        <v>0</v>
      </c>
      <c r="Y223" s="68">
        <v>1</v>
      </c>
      <c r="Z223" s="28" t="str">
        <f t="shared" si="195"/>
        <v>-</v>
      </c>
    </row>
    <row r="224" spans="1:26" hidden="1">
      <c r="A224" t="s">
        <v>23</v>
      </c>
      <c r="B224" t="s">
        <v>26</v>
      </c>
      <c r="C224" s="93">
        <v>64</v>
      </c>
      <c r="D224" t="s">
        <v>49</v>
      </c>
      <c r="E224" s="2">
        <v>74</v>
      </c>
      <c r="F224" s="1">
        <v>1.02</v>
      </c>
      <c r="G224" s="1">
        <v>15.16</v>
      </c>
      <c r="H224" s="11">
        <v>12.65</v>
      </c>
      <c r="I224" s="20">
        <v>11.88</v>
      </c>
      <c r="J224" s="20">
        <f t="shared" si="163"/>
        <v>3.2799999999999994</v>
      </c>
      <c r="K224" s="2">
        <f t="shared" si="164"/>
        <v>242.71999999999994</v>
      </c>
      <c r="L224" s="11">
        <v>12.66</v>
      </c>
      <c r="M224" s="20">
        <f t="shared" si="165"/>
        <v>2.5</v>
      </c>
      <c r="N224" s="21" t="str">
        <f t="shared" si="166"/>
        <v>-</v>
      </c>
      <c r="O224" s="1">
        <f t="shared" si="170"/>
        <v>-0.76524390243902451</v>
      </c>
      <c r="P224" s="1" t="str">
        <f t="shared" si="171"/>
        <v/>
      </c>
      <c r="Q224" s="11"/>
      <c r="R224" s="11">
        <f>VLOOKUP(D224,prices!$A$2:$B$7,2)</f>
        <v>9.84</v>
      </c>
      <c r="S224" s="1">
        <f t="shared" si="167"/>
        <v>-186.76</v>
      </c>
      <c r="T224" s="1">
        <f t="shared" si="168"/>
        <v>-2.5099999999999998</v>
      </c>
      <c r="U224" s="1">
        <f t="shared" si="172"/>
        <v>1121.8399999999999</v>
      </c>
      <c r="V224" s="25">
        <f t="shared" si="169"/>
        <v>-0.16647650288811239</v>
      </c>
      <c r="W224" s="1">
        <f t="shared" si="115"/>
        <v>936.1</v>
      </c>
      <c r="X224" s="6">
        <f t="shared" si="116"/>
        <v>0</v>
      </c>
      <c r="Y224" s="68">
        <v>1</v>
      </c>
      <c r="Z224" s="28" t="str">
        <f t="shared" si="195"/>
        <v>-</v>
      </c>
    </row>
    <row r="225" spans="1:26" hidden="1">
      <c r="A225" t="s">
        <v>23</v>
      </c>
      <c r="B225" t="s">
        <v>26</v>
      </c>
      <c r="C225" s="59">
        <v>66</v>
      </c>
      <c r="D225" t="s">
        <v>49</v>
      </c>
      <c r="E225" s="2">
        <v>74</v>
      </c>
      <c r="F225" s="1">
        <v>1.02</v>
      </c>
      <c r="G225" s="1">
        <v>15.22</v>
      </c>
      <c r="H225" s="11">
        <v>12.65</v>
      </c>
      <c r="I225" s="20">
        <v>11.95</v>
      </c>
      <c r="J225" s="20">
        <f t="shared" si="163"/>
        <v>3.2700000000000014</v>
      </c>
      <c r="K225" s="2">
        <f t="shared" si="164"/>
        <v>241.9800000000001</v>
      </c>
      <c r="L225" s="11">
        <v>12.66</v>
      </c>
      <c r="M225" s="20">
        <f t="shared" si="165"/>
        <v>2.5600000000000005</v>
      </c>
      <c r="N225" s="21" t="str">
        <f t="shared" si="166"/>
        <v>-</v>
      </c>
      <c r="O225" s="1">
        <f t="shared" si="170"/>
        <v>-0.78593272171253803</v>
      </c>
      <c r="P225" s="1" t="str">
        <f t="shared" si="171"/>
        <v/>
      </c>
      <c r="Q225" s="11"/>
      <c r="R225" s="11">
        <f>VLOOKUP(D225,prices!$A$2:$B$7,2)</f>
        <v>9.84</v>
      </c>
      <c r="S225" s="1">
        <f t="shared" si="167"/>
        <v>-191.20000000000002</v>
      </c>
      <c r="T225" s="1">
        <f t="shared" si="168"/>
        <v>-2.5700000000000003</v>
      </c>
      <c r="U225" s="1">
        <f t="shared" si="172"/>
        <v>1126.28</v>
      </c>
      <c r="V225" s="25">
        <f t="shared" si="169"/>
        <v>-0.16976240366516321</v>
      </c>
      <c r="W225" s="1">
        <f t="shared" ref="W225:W248" si="196">IF(B225="closed",H225*E225,R225*E225)</f>
        <v>936.1</v>
      </c>
      <c r="X225" s="6">
        <f t="shared" ref="X225:X248" si="197">IF(B225="open",(R225-Q225)*E225,0)</f>
        <v>0</v>
      </c>
      <c r="Y225" s="68">
        <v>1</v>
      </c>
      <c r="Z225" s="28" t="str">
        <f t="shared" si="195"/>
        <v>-</v>
      </c>
    </row>
    <row r="226" spans="1:26" ht="15" hidden="1" customHeight="1">
      <c r="A226" t="s">
        <v>23</v>
      </c>
      <c r="B226" t="s">
        <v>26</v>
      </c>
      <c r="C226" s="59">
        <v>68</v>
      </c>
      <c r="D226" t="s">
        <v>49</v>
      </c>
      <c r="E226" s="2">
        <v>72</v>
      </c>
      <c r="F226" s="1">
        <v>1.02</v>
      </c>
      <c r="G226" s="1">
        <v>15.46</v>
      </c>
      <c r="H226" s="11">
        <v>12.65</v>
      </c>
      <c r="I226" s="20">
        <v>12.17</v>
      </c>
      <c r="J226" s="20">
        <f t="shared" si="163"/>
        <v>3.2900000000000009</v>
      </c>
      <c r="K226" s="2">
        <f t="shared" si="164"/>
        <v>236.88000000000005</v>
      </c>
      <c r="L226" s="11">
        <v>12.66</v>
      </c>
      <c r="M226" s="20">
        <f t="shared" si="165"/>
        <v>2.8000000000000007</v>
      </c>
      <c r="N226" s="21" t="str">
        <f t="shared" si="166"/>
        <v>-</v>
      </c>
      <c r="O226" s="1">
        <f t="shared" si="170"/>
        <v>-0.85410334346504546</v>
      </c>
      <c r="P226" s="1" t="str">
        <f t="shared" si="171"/>
        <v/>
      </c>
      <c r="Q226" s="11"/>
      <c r="R226" s="11">
        <f>VLOOKUP(D226,prices!$A$2:$B$7,2)</f>
        <v>9.84</v>
      </c>
      <c r="S226" s="1">
        <f t="shared" si="167"/>
        <v>-203.34000000000006</v>
      </c>
      <c r="T226" s="1">
        <f t="shared" si="168"/>
        <v>-2.8100000000000005</v>
      </c>
      <c r="U226" s="1">
        <f t="shared" si="172"/>
        <v>1113.1200000000001</v>
      </c>
      <c r="V226" s="25">
        <f t="shared" si="169"/>
        <v>-0.18267572229409232</v>
      </c>
      <c r="W226" s="1">
        <f t="shared" si="196"/>
        <v>910.80000000000007</v>
      </c>
      <c r="X226" s="6">
        <f t="shared" si="197"/>
        <v>0</v>
      </c>
      <c r="Y226" s="68">
        <v>1</v>
      </c>
      <c r="Z226" s="28" t="str">
        <f t="shared" si="195"/>
        <v>-</v>
      </c>
    </row>
    <row r="227" spans="1:26" ht="15" hidden="1" customHeight="1">
      <c r="A227" t="s">
        <v>23</v>
      </c>
      <c r="B227" t="s">
        <v>26</v>
      </c>
      <c r="C227" s="52">
        <v>152</v>
      </c>
      <c r="D227" t="s">
        <v>49</v>
      </c>
      <c r="E227" s="2">
        <v>207</v>
      </c>
      <c r="F227" s="1"/>
      <c r="G227" s="1">
        <v>15.27</v>
      </c>
      <c r="H227" s="11">
        <v>13.361000000000001</v>
      </c>
      <c r="I227" s="20">
        <v>12.99</v>
      </c>
      <c r="J227" s="20">
        <f t="shared" si="163"/>
        <v>2.2799999999999994</v>
      </c>
      <c r="K227" s="2">
        <f t="shared" si="164"/>
        <v>471.95999999999987</v>
      </c>
      <c r="L227" s="11">
        <v>13.37</v>
      </c>
      <c r="M227" s="20">
        <f t="shared" si="165"/>
        <v>1.9000000000000004</v>
      </c>
      <c r="N227" s="21" t="str">
        <f t="shared" si="166"/>
        <v>-</v>
      </c>
      <c r="O227" s="1">
        <f t="shared" si="170"/>
        <v>-0.83728070175438574</v>
      </c>
      <c r="P227" s="1" t="str">
        <f t="shared" si="171"/>
        <v/>
      </c>
      <c r="Q227" s="11">
        <f>VLOOKUP($D227,prices!$A$2:$C$19,3)</f>
        <v>18.399999999999999</v>
      </c>
      <c r="R227" s="11">
        <f>VLOOKUP(D227,prices!$A$2:$B$19,2)</f>
        <v>17.07</v>
      </c>
      <c r="S227" s="55">
        <f t="shared" si="167"/>
        <v>-395.16299999999978</v>
      </c>
      <c r="T227" s="55">
        <f t="shared" si="168"/>
        <v>-1.9089999999999989</v>
      </c>
      <c r="U227" s="55">
        <f t="shared" si="172"/>
        <v>3160.89</v>
      </c>
      <c r="V227" s="42">
        <f t="shared" si="169"/>
        <v>-0.12501637197118526</v>
      </c>
      <c r="W227" s="55">
        <f t="shared" si="196"/>
        <v>2765.7270000000003</v>
      </c>
      <c r="X227" s="48">
        <f t="shared" si="197"/>
        <v>0</v>
      </c>
      <c r="Y227" s="68">
        <v>1</v>
      </c>
      <c r="Z227" s="28" t="str">
        <f t="shared" si="195"/>
        <v>-</v>
      </c>
    </row>
    <row r="228" spans="1:26" hidden="1">
      <c r="A228" t="s">
        <v>6</v>
      </c>
      <c r="B228" t="s">
        <v>26</v>
      </c>
      <c r="C228" s="84">
        <v>153</v>
      </c>
      <c r="D228" t="s">
        <v>49</v>
      </c>
      <c r="E228" s="2">
        <v>67</v>
      </c>
      <c r="F228" s="1"/>
      <c r="G228" s="1">
        <v>15.27</v>
      </c>
      <c r="H228" s="11">
        <v>13.37</v>
      </c>
      <c r="I228" s="20">
        <v>12.99</v>
      </c>
      <c r="J228" s="20">
        <f t="shared" si="163"/>
        <v>2.2799999999999994</v>
      </c>
      <c r="K228" s="2">
        <f t="shared" si="164"/>
        <v>152.75999999999996</v>
      </c>
      <c r="L228" s="11">
        <v>13.37</v>
      </c>
      <c r="M228" s="20">
        <f t="shared" si="165"/>
        <v>1.9000000000000004</v>
      </c>
      <c r="N228" s="21" t="str">
        <f t="shared" si="166"/>
        <v>-</v>
      </c>
      <c r="O228" s="1">
        <f t="shared" si="170"/>
        <v>-0.8333333333333337</v>
      </c>
      <c r="P228" s="1" t="str">
        <f t="shared" si="171"/>
        <v/>
      </c>
      <c r="Q228" s="11">
        <f>VLOOKUP($D228,prices!$A$2:$C$19,3)</f>
        <v>18.399999999999999</v>
      </c>
      <c r="R228" s="11">
        <f>VLOOKUP(D228,prices!$A$2:$B$19,2)</f>
        <v>17.07</v>
      </c>
      <c r="S228" s="55">
        <f t="shared" si="167"/>
        <v>-127.30000000000003</v>
      </c>
      <c r="T228" s="55">
        <f t="shared" si="168"/>
        <v>-1.9000000000000004</v>
      </c>
      <c r="U228" s="55">
        <f t="shared" si="172"/>
        <v>1023.0899999999999</v>
      </c>
      <c r="V228" s="42">
        <f t="shared" si="169"/>
        <v>-0.12442698100851346</v>
      </c>
      <c r="W228" s="55">
        <f t="shared" si="196"/>
        <v>895.79</v>
      </c>
      <c r="X228" s="48">
        <f t="shared" si="197"/>
        <v>0</v>
      </c>
      <c r="Y228"/>
    </row>
    <row r="229" spans="1:26" hidden="1">
      <c r="A229" t="s">
        <v>23</v>
      </c>
      <c r="B229" t="s">
        <v>26</v>
      </c>
      <c r="C229" s="84">
        <v>208</v>
      </c>
      <c r="D229" t="s">
        <v>114</v>
      </c>
      <c r="E229" s="2">
        <v>71</v>
      </c>
      <c r="F229" s="1"/>
      <c r="G229" s="1">
        <v>32.99</v>
      </c>
      <c r="H229" s="11">
        <v>30.98</v>
      </c>
      <c r="I229" s="20">
        <v>31.62</v>
      </c>
      <c r="J229" s="20">
        <f t="shared" si="163"/>
        <v>1.370000000000001</v>
      </c>
      <c r="K229" s="2">
        <f t="shared" si="164"/>
        <v>97.270000000000067</v>
      </c>
      <c r="L229" s="11">
        <v>31.62</v>
      </c>
      <c r="M229" s="20">
        <f t="shared" si="165"/>
        <v>1.370000000000001</v>
      </c>
      <c r="N229" s="21" t="str">
        <f t="shared" si="166"/>
        <v>-</v>
      </c>
      <c r="O229" s="1">
        <f t="shared" si="170"/>
        <v>-1.4671532846715329</v>
      </c>
      <c r="P229" s="1" t="str">
        <f t="shared" si="171"/>
        <v/>
      </c>
      <c r="Q229" s="11">
        <f>VLOOKUP($D229,prices!$A$2:$C$19,3)</f>
        <v>18.399999999999999</v>
      </c>
      <c r="R229" s="11">
        <f>VLOOKUP(D229,prices!$A$2:$B$19,2)</f>
        <v>17.07</v>
      </c>
      <c r="S229" s="55">
        <f t="shared" si="167"/>
        <v>-142.71000000000012</v>
      </c>
      <c r="T229" s="55">
        <f t="shared" si="168"/>
        <v>-2.0100000000000016</v>
      </c>
      <c r="U229" s="55">
        <f t="shared" si="172"/>
        <v>2342.29</v>
      </c>
      <c r="V229" s="42">
        <f t="shared" si="169"/>
        <v>-6.0927553804183139E-2</v>
      </c>
      <c r="W229" s="55">
        <f t="shared" si="196"/>
        <v>2199.58</v>
      </c>
      <c r="X229" s="48">
        <f t="shared" si="197"/>
        <v>0</v>
      </c>
      <c r="Y229" s="68">
        <v>1</v>
      </c>
      <c r="Z229" s="28" t="str">
        <f>IF(B229="open",(R229-L229)*E229,"-")</f>
        <v>-</v>
      </c>
    </row>
    <row r="230" spans="1:26" hidden="1">
      <c r="A230" t="s">
        <v>23</v>
      </c>
      <c r="B230" t="s">
        <v>26</v>
      </c>
      <c r="C230" s="94">
        <v>209</v>
      </c>
      <c r="D230" t="s">
        <v>114</v>
      </c>
      <c r="E230" s="2">
        <v>63</v>
      </c>
      <c r="F230" s="1"/>
      <c r="G230" s="1">
        <v>33.130000000000003</v>
      </c>
      <c r="H230" s="11">
        <v>30.98</v>
      </c>
      <c r="I230" s="20">
        <v>31.17</v>
      </c>
      <c r="J230" s="20">
        <f t="shared" si="163"/>
        <v>1.9600000000000009</v>
      </c>
      <c r="K230" s="2">
        <f t="shared" si="164"/>
        <v>123.48000000000005</v>
      </c>
      <c r="L230" s="11">
        <v>32.270000000000003</v>
      </c>
      <c r="M230" s="20">
        <f t="shared" si="165"/>
        <v>0.85999999999999943</v>
      </c>
      <c r="N230" s="21" t="str">
        <f t="shared" si="166"/>
        <v>-</v>
      </c>
      <c r="O230" s="1">
        <f t="shared" si="170"/>
        <v>-1.0969387755102047</v>
      </c>
      <c r="P230" s="1" t="str">
        <f t="shared" si="171"/>
        <v/>
      </c>
      <c r="Q230" s="11">
        <f>VLOOKUP($D230,prices!$A$2:$C$19,3)</f>
        <v>18.399999999999999</v>
      </c>
      <c r="R230" s="11">
        <f>VLOOKUP(D230,prices!$A$2:$B$19,2)</f>
        <v>17.07</v>
      </c>
      <c r="S230" s="55">
        <f t="shared" si="167"/>
        <v>-135.45000000000013</v>
      </c>
      <c r="T230" s="55">
        <f t="shared" si="168"/>
        <v>-2.1500000000000021</v>
      </c>
      <c r="U230" s="55">
        <f t="shared" si="172"/>
        <v>2087.19</v>
      </c>
      <c r="V230" s="42">
        <f t="shared" si="169"/>
        <v>-6.4895864775128348E-2</v>
      </c>
      <c r="W230" s="55">
        <f t="shared" si="196"/>
        <v>1951.74</v>
      </c>
      <c r="X230" s="48">
        <f t="shared" si="197"/>
        <v>0</v>
      </c>
      <c r="Y230" s="68">
        <v>1</v>
      </c>
      <c r="Z230" s="28" t="str">
        <f>IF(B230="open",(R230-L230)*E230,"-")</f>
        <v>-</v>
      </c>
    </row>
    <row r="231" spans="1:26" hidden="1">
      <c r="A231" t="s">
        <v>6</v>
      </c>
      <c r="B231" t="s">
        <v>26</v>
      </c>
      <c r="C231" s="79"/>
      <c r="D231" t="s">
        <v>134</v>
      </c>
      <c r="E231" s="2">
        <v>500</v>
      </c>
      <c r="F231" s="1"/>
      <c r="G231" s="1">
        <v>56.29</v>
      </c>
      <c r="H231" s="11">
        <v>57.51</v>
      </c>
      <c r="I231" s="20">
        <v>56.2</v>
      </c>
      <c r="J231" s="20">
        <f t="shared" si="163"/>
        <v>8.9999999999996305E-2</v>
      </c>
      <c r="K231" s="2">
        <f t="shared" si="164"/>
        <v>44.999999999998153</v>
      </c>
      <c r="L231" s="20">
        <v>56.2</v>
      </c>
      <c r="M231" s="20">
        <f t="shared" si="165"/>
        <v>8.9999999999996305E-2</v>
      </c>
      <c r="N231" s="21" t="str">
        <f t="shared" si="166"/>
        <v>-</v>
      </c>
      <c r="O231" s="1">
        <f t="shared" si="170"/>
        <v>13.555555555556099</v>
      </c>
      <c r="P231" s="1" t="str">
        <f t="shared" si="171"/>
        <v/>
      </c>
      <c r="Q231" s="11">
        <f>VLOOKUP($D231,prices!$A$2:$C$19,3)</f>
        <v>57.51</v>
      </c>
      <c r="R231" s="11">
        <f>VLOOKUP(D231,prices!$A$2:$B$19,2)</f>
        <v>57.51</v>
      </c>
      <c r="S231" s="55">
        <f t="shared" si="167"/>
        <v>609.99999999999943</v>
      </c>
      <c r="T231" s="55">
        <f t="shared" si="168"/>
        <v>1.2199999999999989</v>
      </c>
      <c r="U231" s="55">
        <f t="shared" si="172"/>
        <v>28145</v>
      </c>
      <c r="V231" s="42">
        <f t="shared" si="169"/>
        <v>2.1673476638834586E-2</v>
      </c>
      <c r="W231" s="55">
        <f t="shared" si="196"/>
        <v>28755</v>
      </c>
      <c r="X231" s="48">
        <f t="shared" si="197"/>
        <v>0</v>
      </c>
      <c r="Y231" s="68">
        <v>1</v>
      </c>
      <c r="Z231" s="28" t="str">
        <f>IF(B231="open",(R231-L231)*E231,"-")</f>
        <v>-</v>
      </c>
    </row>
    <row r="232" spans="1:26" hidden="1">
      <c r="A232" t="s">
        <v>23</v>
      </c>
      <c r="B232" t="s">
        <v>26</v>
      </c>
      <c r="C232" s="79">
        <v>134</v>
      </c>
      <c r="D232" t="s">
        <v>81</v>
      </c>
      <c r="E232" s="2">
        <v>108</v>
      </c>
      <c r="F232" s="1"/>
      <c r="G232" s="1">
        <v>20.529</v>
      </c>
      <c r="H232" s="11">
        <v>20.640999999999998</v>
      </c>
      <c r="I232" s="20">
        <v>18.39</v>
      </c>
      <c r="J232" s="20">
        <f t="shared" si="163"/>
        <v>2.1389999999999993</v>
      </c>
      <c r="K232" s="2">
        <f t="shared" si="164"/>
        <v>231.01199999999994</v>
      </c>
      <c r="L232" s="11">
        <v>20.64</v>
      </c>
      <c r="M232" s="20">
        <f t="shared" si="165"/>
        <v>0</v>
      </c>
      <c r="N232" s="21" t="str">
        <f t="shared" si="166"/>
        <v>-</v>
      </c>
      <c r="O232" s="1">
        <f t="shared" si="170"/>
        <v>5.2360916316034761E-2</v>
      </c>
      <c r="P232" s="1" t="str">
        <f t="shared" si="171"/>
        <v/>
      </c>
      <c r="Q232" s="11">
        <f>VLOOKUP($D232,prices!$A$2:$C$19,3)</f>
        <v>57.51</v>
      </c>
      <c r="R232" s="11">
        <f>VLOOKUP(D232,prices!$A$2:$B$19,2)</f>
        <v>57.51</v>
      </c>
      <c r="S232" s="55">
        <f t="shared" si="167"/>
        <v>12.095999999999819</v>
      </c>
      <c r="T232" s="55">
        <f t="shared" si="168"/>
        <v>0.11199999999999832</v>
      </c>
      <c r="U232" s="55">
        <f t="shared" si="172"/>
        <v>2217.1320000000001</v>
      </c>
      <c r="V232" s="42">
        <f t="shared" si="169"/>
        <v>5.4556968191338262E-3</v>
      </c>
      <c r="W232" s="55">
        <f t="shared" si="196"/>
        <v>2229.2279999999996</v>
      </c>
      <c r="X232" s="48">
        <f t="shared" si="197"/>
        <v>0</v>
      </c>
      <c r="Y232" s="68">
        <v>1</v>
      </c>
      <c r="Z232" s="28" t="str">
        <f>IF(B232="open",(R232-L232)*E232,"-")</f>
        <v>-</v>
      </c>
    </row>
    <row r="233" spans="1:26" hidden="1">
      <c r="A233" t="s">
        <v>6</v>
      </c>
      <c r="B233" t="s">
        <v>26</v>
      </c>
      <c r="C233" s="84">
        <v>133</v>
      </c>
      <c r="D233" t="s">
        <v>81</v>
      </c>
      <c r="E233" s="2">
        <v>33</v>
      </c>
      <c r="F233" s="1"/>
      <c r="G233" s="1">
        <v>20.529</v>
      </c>
      <c r="H233" s="11">
        <v>20.640999999999998</v>
      </c>
      <c r="I233" s="20">
        <v>18.39</v>
      </c>
      <c r="J233" s="20">
        <f t="shared" si="163"/>
        <v>2.1389999999999993</v>
      </c>
      <c r="K233" s="2">
        <f t="shared" si="164"/>
        <v>70.586999999999975</v>
      </c>
      <c r="L233" s="11">
        <v>20.64</v>
      </c>
      <c r="M233" s="20">
        <f t="shared" si="165"/>
        <v>0</v>
      </c>
      <c r="N233" s="21" t="str">
        <f t="shared" si="166"/>
        <v>-</v>
      </c>
      <c r="O233" s="1">
        <f t="shared" si="170"/>
        <v>5.2360916316034761E-2</v>
      </c>
      <c r="P233" s="1" t="str">
        <f t="shared" si="171"/>
        <v/>
      </c>
      <c r="Q233" s="11">
        <f>VLOOKUP($D233,prices!$A$2:$C$19,3)</f>
        <v>57.51</v>
      </c>
      <c r="R233" s="11">
        <f>VLOOKUP(D233,prices!$A$2:$B$19,2)</f>
        <v>57.51</v>
      </c>
      <c r="S233" s="55">
        <f t="shared" si="167"/>
        <v>3.6959999999999447</v>
      </c>
      <c r="T233" s="55">
        <f t="shared" si="168"/>
        <v>0.11199999999999832</v>
      </c>
      <c r="U233" s="55">
        <f t="shared" si="172"/>
        <v>677.45699999999999</v>
      </c>
      <c r="V233" s="42">
        <f t="shared" si="169"/>
        <v>5.4556968191338262E-3</v>
      </c>
      <c r="W233" s="55">
        <f t="shared" si="196"/>
        <v>681.15299999999991</v>
      </c>
      <c r="X233" s="48">
        <f t="shared" si="197"/>
        <v>0</v>
      </c>
      <c r="Y233" s="68">
        <v>1</v>
      </c>
      <c r="Z233" s="28" t="str">
        <f>IF(B233="open",(R233-L233)*E233,"-")</f>
        <v>-</v>
      </c>
    </row>
    <row r="234" spans="1:26" hidden="1">
      <c r="A234" t="s">
        <v>23</v>
      </c>
      <c r="B234" t="s">
        <v>26</v>
      </c>
      <c r="C234" s="84">
        <v>197</v>
      </c>
      <c r="D234" t="s">
        <v>81</v>
      </c>
      <c r="E234" s="2">
        <v>106</v>
      </c>
      <c r="F234" s="1"/>
      <c r="G234" s="1">
        <v>22.72</v>
      </c>
      <c r="H234" s="11">
        <v>20.640999999999998</v>
      </c>
      <c r="I234" s="20">
        <v>20.64</v>
      </c>
      <c r="J234" s="20">
        <f t="shared" si="163"/>
        <v>2.0799999999999983</v>
      </c>
      <c r="K234" s="2">
        <f t="shared" si="164"/>
        <v>220.47999999999982</v>
      </c>
      <c r="L234" s="11">
        <v>20.64</v>
      </c>
      <c r="M234" s="20">
        <f t="shared" si="165"/>
        <v>2.0799999999999983</v>
      </c>
      <c r="N234" s="21" t="str">
        <f t="shared" si="166"/>
        <v>-</v>
      </c>
      <c r="O234" s="1">
        <f t="shared" si="170"/>
        <v>-0.99951923076923188</v>
      </c>
      <c r="P234" s="1" t="str">
        <f t="shared" si="171"/>
        <v/>
      </c>
      <c r="Q234" s="11">
        <f>VLOOKUP($D234,prices!$A$2:$C$19,3)</f>
        <v>57.51</v>
      </c>
      <c r="R234" s="11">
        <f>VLOOKUP(D234,prices!$A$2:$B$19,2)</f>
        <v>57.51</v>
      </c>
      <c r="S234" s="55">
        <f t="shared" si="167"/>
        <v>-220.37400000000008</v>
      </c>
      <c r="T234" s="55">
        <f t="shared" si="168"/>
        <v>-2.0790000000000006</v>
      </c>
      <c r="U234" s="55">
        <f t="shared" si="172"/>
        <v>2408.3199999999997</v>
      </c>
      <c r="V234" s="42">
        <f t="shared" si="169"/>
        <v>-9.1505281690140883E-2</v>
      </c>
      <c r="W234" s="55">
        <f t="shared" si="196"/>
        <v>2187.9459999999999</v>
      </c>
      <c r="X234" s="48">
        <f t="shared" si="197"/>
        <v>0</v>
      </c>
      <c r="Y234" s="68">
        <v>1</v>
      </c>
    </row>
    <row r="235" spans="1:26" hidden="1">
      <c r="A235" t="s">
        <v>6</v>
      </c>
      <c r="B235" t="s">
        <v>26</v>
      </c>
      <c r="C235" s="56">
        <v>196</v>
      </c>
      <c r="D235" t="s">
        <v>81</v>
      </c>
      <c r="E235" s="2">
        <v>32</v>
      </c>
      <c r="F235" s="1"/>
      <c r="G235" s="1">
        <v>22.72</v>
      </c>
      <c r="H235" s="11">
        <v>20.64</v>
      </c>
      <c r="I235" s="20">
        <v>20.64</v>
      </c>
      <c r="J235" s="20">
        <f t="shared" si="163"/>
        <v>2.0799999999999983</v>
      </c>
      <c r="K235" s="2">
        <f t="shared" si="164"/>
        <v>66.559999999999945</v>
      </c>
      <c r="L235" s="11">
        <v>20.64</v>
      </c>
      <c r="M235" s="20">
        <f t="shared" si="165"/>
        <v>2.0799999999999983</v>
      </c>
      <c r="N235" s="21" t="str">
        <f t="shared" si="166"/>
        <v>-</v>
      </c>
      <c r="O235" s="1">
        <f t="shared" si="170"/>
        <v>-1</v>
      </c>
      <c r="P235" s="1" t="str">
        <f t="shared" si="171"/>
        <v/>
      </c>
      <c r="Q235" s="11">
        <f>VLOOKUP($D235,prices!$A$2:$C$19,3)</f>
        <v>57.51</v>
      </c>
      <c r="R235" s="11">
        <f>VLOOKUP(D235,prices!$A$2:$B$19,2)</f>
        <v>57.51</v>
      </c>
      <c r="S235" s="55">
        <f t="shared" si="167"/>
        <v>-66.559999999999945</v>
      </c>
      <c r="T235" s="55">
        <f t="shared" si="168"/>
        <v>-2.0799999999999983</v>
      </c>
      <c r="U235" s="55">
        <f t="shared" si="172"/>
        <v>727.04</v>
      </c>
      <c r="V235" s="42">
        <f t="shared" si="169"/>
        <v>-9.1549295774647821E-2</v>
      </c>
      <c r="W235" s="55">
        <f t="shared" si="196"/>
        <v>660.48</v>
      </c>
      <c r="X235" s="48">
        <f t="shared" si="197"/>
        <v>0</v>
      </c>
      <c r="Y235"/>
    </row>
    <row r="236" spans="1:26" ht="15" hidden="1" customHeight="1">
      <c r="A236" t="s">
        <v>6</v>
      </c>
      <c r="B236" t="s">
        <v>26</v>
      </c>
      <c r="C236" s="52">
        <v>-1</v>
      </c>
      <c r="D236" t="s">
        <v>21</v>
      </c>
      <c r="E236" s="2">
        <v>100</v>
      </c>
      <c r="F236" s="1">
        <v>2.06</v>
      </c>
      <c r="G236" s="1">
        <v>27.99</v>
      </c>
      <c r="H236" s="17">
        <v>27.98</v>
      </c>
      <c r="I236" s="1">
        <v>27.36</v>
      </c>
      <c r="J236" s="1">
        <f>IF(AND(ISNUMBER(G236),ISNUMBER(I236)),G236-I236,"")</f>
        <v>0.62999999999999901</v>
      </c>
      <c r="K236" s="2" t="str">
        <f>IF((B236="open"),E236*J236,"-")</f>
        <v>-</v>
      </c>
      <c r="L236" s="11">
        <v>27.36</v>
      </c>
      <c r="M236" s="1">
        <f>IF(AND(ISNUMBER(G236),ISNUMBER(L236)),MAX(0,G236-L236),"")</f>
        <v>0.62999999999999901</v>
      </c>
      <c r="N236" s="2" t="str">
        <f>IF(B236="open",M236*E236,"")</f>
        <v/>
      </c>
      <c r="O236" s="1">
        <f t="shared" si="170"/>
        <v>-1.5873015873012739E-2</v>
      </c>
      <c r="P236" s="1" t="str">
        <f t="shared" si="171"/>
        <v/>
      </c>
      <c r="Q236" s="11"/>
      <c r="R236" s="17">
        <v>27.98</v>
      </c>
      <c r="S236" s="1">
        <f>IF(ISNUMBER(E236),IF(B236="closed",(H236-G236)*E236,(R236-G236)*E236),"")</f>
        <v>-0.99999999999980105</v>
      </c>
      <c r="T236" s="18"/>
      <c r="U236" s="1">
        <f t="shared" si="172"/>
        <v>2799</v>
      </c>
      <c r="V236"/>
      <c r="W236" s="1">
        <f t="shared" si="196"/>
        <v>2798</v>
      </c>
      <c r="X236" s="6">
        <f t="shared" si="197"/>
        <v>0</v>
      </c>
      <c r="Y236"/>
    </row>
    <row r="237" spans="1:26" hidden="1">
      <c r="A237" t="s">
        <v>23</v>
      </c>
      <c r="B237" t="s">
        <v>26</v>
      </c>
      <c r="C237" s="24">
        <v>214</v>
      </c>
      <c r="D237" t="s">
        <v>83</v>
      </c>
      <c r="E237" s="2">
        <v>29</v>
      </c>
      <c r="F237" s="1"/>
      <c r="G237" s="1">
        <v>110.51</v>
      </c>
      <c r="H237" s="11">
        <v>106.807</v>
      </c>
      <c r="I237" s="20">
        <v>106.82</v>
      </c>
      <c r="J237" s="20">
        <f t="shared" ref="J237:J243" si="198">IF(AND(ISNUMBER(G237),ISNUMBER(I237)),G237-I237,"-")</f>
        <v>3.6900000000000119</v>
      </c>
      <c r="K237" s="2">
        <f t="shared" ref="K237:K243" si="199">IFERROR(E237*J237,"-")</f>
        <v>107.01000000000035</v>
      </c>
      <c r="L237" s="11">
        <v>106.82</v>
      </c>
      <c r="M237" s="20">
        <f t="shared" ref="M237:M243" si="200">IF(AND(ISNUMBER(G237),ISNUMBER(L237)),MAX(0,G237-L237),"-")</f>
        <v>3.6900000000000119</v>
      </c>
      <c r="N237" s="21" t="str">
        <f t="shared" ref="N237:N243" si="201">IF(B237="open",M237*E237,"-")</f>
        <v>-</v>
      </c>
      <c r="O237" s="1">
        <f t="shared" si="170"/>
        <v>-1.0035230352303499</v>
      </c>
      <c r="P237" s="1" t="str">
        <f t="shared" si="171"/>
        <v/>
      </c>
      <c r="Q237" s="11">
        <f>VLOOKUP($D237,prices!$A$2:$C$19,3)</f>
        <v>80.709999999999994</v>
      </c>
      <c r="R237" s="11">
        <f>VLOOKUP(D237,prices!$A$2:$B$19,2)</f>
        <v>80.709999999999994</v>
      </c>
      <c r="S237" s="55">
        <f t="shared" ref="S237:S269" si="202">IF(ISNUMBER(E237),IF(B237="closed",(H237-G237)*E237,(R237-G237)*E237)-F237,"")</f>
        <v>-107.38700000000009</v>
      </c>
      <c r="T237" s="55">
        <f t="shared" ref="T237:T243" si="203">IF(ISNUMBER($E237),IF($B237="closed",($H237-$G237),($R237-$G237)),"")</f>
        <v>-3.703000000000003</v>
      </c>
      <c r="U237" s="55">
        <f t="shared" si="172"/>
        <v>3204.79</v>
      </c>
      <c r="V237" s="42">
        <f t="shared" ref="V237:V243" si="204">S237/U237</f>
        <v>-3.3508279793683857E-2</v>
      </c>
      <c r="W237" s="55">
        <f t="shared" si="196"/>
        <v>3097.4030000000002</v>
      </c>
      <c r="X237" s="48">
        <f t="shared" si="197"/>
        <v>0</v>
      </c>
      <c r="Y237" s="68">
        <v>1</v>
      </c>
      <c r="Z237" s="28" t="str">
        <f t="shared" ref="Z237:Z243" si="205">IF(B237="open",(R237-L237)*E237,"-")</f>
        <v>-</v>
      </c>
    </row>
    <row r="238" spans="1:26" hidden="1">
      <c r="A238" t="s">
        <v>23</v>
      </c>
      <c r="B238" t="s">
        <v>26</v>
      </c>
      <c r="C238" s="24">
        <v>183</v>
      </c>
      <c r="D238" t="s">
        <v>83</v>
      </c>
      <c r="E238" s="2">
        <v>26</v>
      </c>
      <c r="F238" s="1"/>
      <c r="G238" s="1">
        <v>103.66</v>
      </c>
      <c r="H238" s="11">
        <v>102.18</v>
      </c>
      <c r="I238" s="20">
        <v>96.85</v>
      </c>
      <c r="J238" s="20">
        <f t="shared" si="198"/>
        <v>6.8100000000000023</v>
      </c>
      <c r="K238" s="2">
        <f t="shared" si="199"/>
        <v>177.06000000000006</v>
      </c>
      <c r="L238" s="11">
        <v>102.82</v>
      </c>
      <c r="M238" s="20">
        <f t="shared" si="200"/>
        <v>0.84000000000000341</v>
      </c>
      <c r="N238" s="21" t="str">
        <f t="shared" si="201"/>
        <v>-</v>
      </c>
      <c r="O238" s="1">
        <f t="shared" si="170"/>
        <v>-0.21732745961820693</v>
      </c>
      <c r="P238" s="1" t="str">
        <f t="shared" si="171"/>
        <v/>
      </c>
      <c r="Q238" s="11">
        <f>VLOOKUP($D238,prices!$A$2:$C$19,3)</f>
        <v>80.709999999999994</v>
      </c>
      <c r="R238" s="11">
        <f>VLOOKUP(D238,prices!$A$2:$B$19,2)</f>
        <v>80.709999999999994</v>
      </c>
      <c r="S238" s="55">
        <f t="shared" si="202"/>
        <v>-38.479999999999734</v>
      </c>
      <c r="T238" s="55">
        <f t="shared" si="203"/>
        <v>-1.4799999999999898</v>
      </c>
      <c r="U238" s="55">
        <f t="shared" si="172"/>
        <v>2695.16</v>
      </c>
      <c r="V238" s="42">
        <f t="shared" si="204"/>
        <v>-1.4277445494887034E-2</v>
      </c>
      <c r="W238" s="55">
        <f t="shared" si="196"/>
        <v>2656.6800000000003</v>
      </c>
      <c r="X238" s="48">
        <f t="shared" si="197"/>
        <v>0</v>
      </c>
      <c r="Y238" s="68">
        <v>1</v>
      </c>
      <c r="Z238" s="28" t="str">
        <f t="shared" si="205"/>
        <v>-</v>
      </c>
    </row>
    <row r="239" spans="1:26" hidden="1">
      <c r="A239" t="s">
        <v>23</v>
      </c>
      <c r="B239" t="s">
        <v>26</v>
      </c>
      <c r="C239" s="24">
        <v>182</v>
      </c>
      <c r="D239" t="s">
        <v>83</v>
      </c>
      <c r="E239" s="2">
        <v>29</v>
      </c>
      <c r="F239" s="1"/>
      <c r="G239" s="1">
        <v>103.66</v>
      </c>
      <c r="H239" s="11">
        <v>102.81</v>
      </c>
      <c r="I239" s="20">
        <v>96.85</v>
      </c>
      <c r="J239" s="20">
        <f t="shared" si="198"/>
        <v>6.8100000000000023</v>
      </c>
      <c r="K239" s="2">
        <f t="shared" si="199"/>
        <v>197.49000000000007</v>
      </c>
      <c r="L239" s="11">
        <v>102.82</v>
      </c>
      <c r="M239" s="20">
        <f t="shared" si="200"/>
        <v>0.84000000000000341</v>
      </c>
      <c r="N239" s="21" t="str">
        <f t="shared" si="201"/>
        <v>-</v>
      </c>
      <c r="O239" s="1">
        <f t="shared" si="170"/>
        <v>-0.12481644640234861</v>
      </c>
      <c r="P239" s="1" t="str">
        <f t="shared" si="171"/>
        <v/>
      </c>
      <c r="Q239" s="11">
        <f>VLOOKUP($D239,prices!$A$2:$C$19,3)</f>
        <v>80.709999999999994</v>
      </c>
      <c r="R239" s="11">
        <f>VLOOKUP(D239,prices!$A$2:$B$19,2)</f>
        <v>80.709999999999994</v>
      </c>
      <c r="S239" s="55">
        <f t="shared" si="202"/>
        <v>-24.649999999999835</v>
      </c>
      <c r="T239" s="55">
        <f t="shared" si="203"/>
        <v>-0.84999999999999432</v>
      </c>
      <c r="U239" s="55">
        <f t="shared" si="172"/>
        <v>3006.14</v>
      </c>
      <c r="V239" s="42">
        <f t="shared" si="204"/>
        <v>-8.1998842369283651E-3</v>
      </c>
      <c r="W239" s="55">
        <f t="shared" si="196"/>
        <v>2981.4900000000002</v>
      </c>
      <c r="X239" s="48">
        <f t="shared" si="197"/>
        <v>0</v>
      </c>
      <c r="Y239" s="68">
        <v>1</v>
      </c>
      <c r="Z239" s="28" t="str">
        <f t="shared" si="205"/>
        <v>-</v>
      </c>
    </row>
    <row r="240" spans="1:26" hidden="1">
      <c r="A240" t="s">
        <v>23</v>
      </c>
      <c r="B240" t="s">
        <v>26</v>
      </c>
      <c r="C240" s="24">
        <v>192</v>
      </c>
      <c r="D240" t="s">
        <v>83</v>
      </c>
      <c r="E240" s="2">
        <v>30</v>
      </c>
      <c r="F240" s="1"/>
      <c r="G240" s="1">
        <v>110.48</v>
      </c>
      <c r="H240" s="11">
        <v>102.75</v>
      </c>
      <c r="I240" s="20">
        <v>102.77</v>
      </c>
      <c r="J240" s="20">
        <f t="shared" si="198"/>
        <v>7.710000000000008</v>
      </c>
      <c r="K240" s="2">
        <f t="shared" si="199"/>
        <v>231.30000000000024</v>
      </c>
      <c r="L240" s="11">
        <v>102.77</v>
      </c>
      <c r="M240" s="20">
        <f t="shared" si="200"/>
        <v>7.710000000000008</v>
      </c>
      <c r="N240" s="21" t="str">
        <f t="shared" si="201"/>
        <v>-</v>
      </c>
      <c r="O240" s="1">
        <f t="shared" si="170"/>
        <v>-1.0025940337224379</v>
      </c>
      <c r="P240" s="1" t="str">
        <f t="shared" si="171"/>
        <v/>
      </c>
      <c r="Q240" s="11">
        <f>VLOOKUP($D240,prices!$A$2:$C$19,3)</f>
        <v>80.709999999999994</v>
      </c>
      <c r="R240" s="11">
        <f>VLOOKUP(D240,prices!$A$2:$B$19,2)</f>
        <v>80.709999999999994</v>
      </c>
      <c r="S240" s="55">
        <f t="shared" si="202"/>
        <v>-231.90000000000012</v>
      </c>
      <c r="T240" s="55">
        <f t="shared" si="203"/>
        <v>-7.730000000000004</v>
      </c>
      <c r="U240" s="55">
        <f t="shared" si="172"/>
        <v>3314.4</v>
      </c>
      <c r="V240" s="42">
        <f t="shared" si="204"/>
        <v>-6.9967414916727047E-2</v>
      </c>
      <c r="W240" s="55">
        <f t="shared" si="196"/>
        <v>3082.5</v>
      </c>
      <c r="X240" s="48">
        <f t="shared" si="197"/>
        <v>0</v>
      </c>
      <c r="Y240" s="68">
        <v>1</v>
      </c>
      <c r="Z240" s="28" t="str">
        <f t="shared" si="205"/>
        <v>-</v>
      </c>
    </row>
    <row r="241" spans="1:26" hidden="1">
      <c r="A241" t="s">
        <v>23</v>
      </c>
      <c r="B241" t="s">
        <v>26</v>
      </c>
      <c r="C241" s="34">
        <v>193</v>
      </c>
      <c r="D241" t="s">
        <v>83</v>
      </c>
      <c r="E241" s="2">
        <v>27</v>
      </c>
      <c r="F241" s="1"/>
      <c r="G241" s="1">
        <v>110.465</v>
      </c>
      <c r="H241" s="11">
        <v>102.81</v>
      </c>
      <c r="I241" s="20">
        <v>102.82</v>
      </c>
      <c r="J241" s="20">
        <f t="shared" si="198"/>
        <v>7.6450000000000102</v>
      </c>
      <c r="K241" s="2">
        <f t="shared" si="199"/>
        <v>206.41500000000028</v>
      </c>
      <c r="L241" s="11">
        <v>102.82</v>
      </c>
      <c r="M241" s="20">
        <f t="shared" si="200"/>
        <v>7.6450000000000102</v>
      </c>
      <c r="N241" s="21" t="str">
        <f t="shared" si="201"/>
        <v>-</v>
      </c>
      <c r="O241" s="1">
        <f t="shared" si="170"/>
        <v>-1.001308044473511</v>
      </c>
      <c r="P241" s="1" t="str">
        <f t="shared" si="171"/>
        <v/>
      </c>
      <c r="Q241" s="11">
        <f>VLOOKUP($D241,prices!$A$2:$C$19,3)</f>
        <v>80.709999999999994</v>
      </c>
      <c r="R241" s="11">
        <f>VLOOKUP(D241,prices!$A$2:$B$19,2)</f>
        <v>80.709999999999994</v>
      </c>
      <c r="S241" s="55">
        <f t="shared" si="202"/>
        <v>-206.68500000000003</v>
      </c>
      <c r="T241" s="55">
        <f t="shared" si="203"/>
        <v>-7.6550000000000011</v>
      </c>
      <c r="U241" s="55">
        <f t="shared" si="172"/>
        <v>2982.5550000000003</v>
      </c>
      <c r="V241" s="42">
        <f t="shared" si="204"/>
        <v>-6.9297967682071249E-2</v>
      </c>
      <c r="W241" s="55">
        <f t="shared" si="196"/>
        <v>2775.87</v>
      </c>
      <c r="X241" s="48">
        <f t="shared" si="197"/>
        <v>0</v>
      </c>
      <c r="Y241" s="68">
        <v>1</v>
      </c>
      <c r="Z241" s="28" t="str">
        <f t="shared" si="205"/>
        <v>-</v>
      </c>
    </row>
    <row r="242" spans="1:26" hidden="1">
      <c r="A242" t="s">
        <v>23</v>
      </c>
      <c r="B242" t="s">
        <v>26</v>
      </c>
      <c r="C242" s="35">
        <v>146</v>
      </c>
      <c r="D242" t="s">
        <v>83</v>
      </c>
      <c r="E242" s="2">
        <v>44</v>
      </c>
      <c r="F242" s="1"/>
      <c r="G242" s="1">
        <v>97.05</v>
      </c>
      <c r="H242" s="11">
        <v>91.11</v>
      </c>
      <c r="I242" s="20">
        <v>88.32</v>
      </c>
      <c r="J242" s="20">
        <f t="shared" si="198"/>
        <v>8.730000000000004</v>
      </c>
      <c r="K242" s="2">
        <f t="shared" si="199"/>
        <v>384.12000000000018</v>
      </c>
      <c r="L242" s="11">
        <v>91.12</v>
      </c>
      <c r="M242" s="20">
        <f t="shared" si="200"/>
        <v>5.9299999999999926</v>
      </c>
      <c r="N242" s="21" t="str">
        <f t="shared" si="201"/>
        <v>-</v>
      </c>
      <c r="O242" s="1">
        <f t="shared" si="170"/>
        <v>-0.68041237113402009</v>
      </c>
      <c r="P242" s="1" t="str">
        <f t="shared" si="171"/>
        <v/>
      </c>
      <c r="Q242" s="11">
        <f>VLOOKUP($D242,prices!$A$2:$C$19,3)</f>
        <v>80.709999999999994</v>
      </c>
      <c r="R242" s="11">
        <f>VLOOKUP(D242,prices!$A$2:$B$19,2)</f>
        <v>80.709999999999994</v>
      </c>
      <c r="S242" s="55">
        <f t="shared" si="202"/>
        <v>-261.3599999999999</v>
      </c>
      <c r="T242" s="55">
        <f t="shared" si="203"/>
        <v>-5.9399999999999977</v>
      </c>
      <c r="U242" s="55">
        <f t="shared" si="172"/>
        <v>4270.2</v>
      </c>
      <c r="V242" s="42">
        <f t="shared" si="204"/>
        <v>-6.1205564142194725E-2</v>
      </c>
      <c r="W242" s="55">
        <f t="shared" si="196"/>
        <v>4008.84</v>
      </c>
      <c r="X242" s="48">
        <f t="shared" si="197"/>
        <v>0</v>
      </c>
      <c r="Y242" s="68">
        <v>1</v>
      </c>
      <c r="Z242" s="28" t="str">
        <f t="shared" si="205"/>
        <v>-</v>
      </c>
    </row>
    <row r="243" spans="1:26" hidden="1">
      <c r="A243" t="s">
        <v>23</v>
      </c>
      <c r="B243" t="s">
        <v>26</v>
      </c>
      <c r="C243" s="35">
        <v>226</v>
      </c>
      <c r="D243" t="s">
        <v>83</v>
      </c>
      <c r="E243" s="2">
        <v>71</v>
      </c>
      <c r="F243" s="1"/>
      <c r="G243" s="1">
        <v>95.25</v>
      </c>
      <c r="H243" s="11">
        <v>93.32</v>
      </c>
      <c r="I243" s="20">
        <v>93.75</v>
      </c>
      <c r="J243" s="20">
        <f t="shared" si="198"/>
        <v>1.5</v>
      </c>
      <c r="K243" s="2">
        <f t="shared" si="199"/>
        <v>106.5</v>
      </c>
      <c r="L243" s="11">
        <v>93.75</v>
      </c>
      <c r="M243" s="20">
        <f t="shared" si="200"/>
        <v>1.5</v>
      </c>
      <c r="N243" s="21" t="str">
        <f t="shared" si="201"/>
        <v>-</v>
      </c>
      <c r="O243" s="1">
        <f t="shared" si="170"/>
        <v>-1.2866666666666713</v>
      </c>
      <c r="P243" s="1" t="str">
        <f t="shared" si="171"/>
        <v/>
      </c>
      <c r="Q243" s="11">
        <f>VLOOKUP($D243,prices!$A$2:$C$19,3)</f>
        <v>80.709999999999994</v>
      </c>
      <c r="R243" s="11">
        <f>VLOOKUP(D243,prices!$A$2:$B$19,2)</f>
        <v>80.709999999999994</v>
      </c>
      <c r="S243" s="55">
        <f t="shared" si="202"/>
        <v>-137.03000000000048</v>
      </c>
      <c r="T243" s="55">
        <f t="shared" si="203"/>
        <v>-1.9300000000000068</v>
      </c>
      <c r="U243" s="55">
        <f t="shared" si="172"/>
        <v>6762.75</v>
      </c>
      <c r="V243" s="42">
        <f t="shared" si="204"/>
        <v>-2.0262467191601123E-2</v>
      </c>
      <c r="W243" s="55">
        <f t="shared" si="196"/>
        <v>6625.7199999999993</v>
      </c>
      <c r="X243" s="48">
        <f t="shared" si="197"/>
        <v>0</v>
      </c>
      <c r="Y243" s="68">
        <v>1</v>
      </c>
      <c r="Z243" s="28" t="str">
        <f t="shared" si="205"/>
        <v>-</v>
      </c>
    </row>
    <row r="244" spans="1:26" hidden="1">
      <c r="A244" t="s">
        <v>6</v>
      </c>
      <c r="B244" t="s">
        <v>26</v>
      </c>
      <c r="C244" s="58">
        <v>-1</v>
      </c>
      <c r="D244" t="s">
        <v>12</v>
      </c>
      <c r="E244" s="2">
        <v>100</v>
      </c>
      <c r="F244" s="1">
        <v>1.0900000000000001</v>
      </c>
      <c r="G244" s="1">
        <v>40.380000000000003</v>
      </c>
      <c r="H244" s="11">
        <v>39.58</v>
      </c>
      <c r="I244" s="1">
        <v>38.1</v>
      </c>
      <c r="J244" s="1">
        <f>IF(AND(ISNUMBER(G244),ISNUMBER(I244)),G244-I244,"")</f>
        <v>2.2800000000000011</v>
      </c>
      <c r="K244" s="2" t="str">
        <f>IF((B244="open"),E244*J244,"-")</f>
        <v>-</v>
      </c>
      <c r="L244" s="11">
        <f>U244</f>
        <v>4038.0000000000005</v>
      </c>
      <c r="M244" s="1">
        <f>IF(AND(ISNUMBER(G244),ISNUMBER(L244)),MAX(0,G244-L244),"")</f>
        <v>0</v>
      </c>
      <c r="N244" s="2" t="str">
        <f>IF(B244="open",M244*E244,"")</f>
        <v/>
      </c>
      <c r="O244" s="1">
        <f t="shared" si="170"/>
        <v>-0.35087719298245784</v>
      </c>
      <c r="P244" s="1" t="str">
        <f t="shared" si="171"/>
        <v/>
      </c>
      <c r="Q244" s="11"/>
      <c r="R244" s="11">
        <v>39.58</v>
      </c>
      <c r="S244" s="1">
        <f t="shared" si="202"/>
        <v>-81.09000000000043</v>
      </c>
      <c r="T244" s="18"/>
      <c r="U244" s="1">
        <f t="shared" si="172"/>
        <v>4038.0000000000005</v>
      </c>
      <c r="V244" s="1">
        <v>23.73</v>
      </c>
      <c r="W244" s="1">
        <f t="shared" si="196"/>
        <v>3958</v>
      </c>
      <c r="X244" s="6">
        <f t="shared" si="197"/>
        <v>0</v>
      </c>
      <c r="Y244" s="68">
        <v>1</v>
      </c>
    </row>
    <row r="245" spans="1:26" hidden="1">
      <c r="A245" t="s">
        <v>23</v>
      </c>
      <c r="B245" t="s">
        <v>26</v>
      </c>
      <c r="C245" s="94">
        <v>34</v>
      </c>
      <c r="D245" t="s">
        <v>12</v>
      </c>
      <c r="E245" s="2">
        <v>64</v>
      </c>
      <c r="F245" s="1">
        <v>1.05</v>
      </c>
      <c r="G245" s="1">
        <v>37.091000000000001</v>
      </c>
      <c r="H245" s="11">
        <v>37.56</v>
      </c>
      <c r="I245" s="20">
        <v>33.479999999999997</v>
      </c>
      <c r="J245" s="20">
        <f t="shared" ref="J245:J251" si="206">IF(AND(ISNUMBER(G245),ISNUMBER(I245)),G245-I245,"-")</f>
        <v>3.6110000000000042</v>
      </c>
      <c r="K245" s="2">
        <f t="shared" ref="K245:K267" si="207">IFERROR(E245*J245,"-")</f>
        <v>231.10400000000027</v>
      </c>
      <c r="L245" s="11">
        <v>35.979999999999997</v>
      </c>
      <c r="M245" s="20">
        <f t="shared" ref="M245:M267" si="208">IF(AND(ISNUMBER(G245),ISNUMBER(L245)),MAX(0,G245-L245),"-")</f>
        <v>1.1110000000000042</v>
      </c>
      <c r="N245" s="21" t="str">
        <f t="shared" ref="N245:N267" si="209">IF(B245="open",M245*E245,"-")</f>
        <v>-</v>
      </c>
      <c r="O245" s="1">
        <f t="shared" si="170"/>
        <v>0.12988091941290519</v>
      </c>
      <c r="P245" s="1" t="str">
        <f t="shared" si="171"/>
        <v/>
      </c>
      <c r="Q245" s="11"/>
      <c r="R245" s="11">
        <v>37.56</v>
      </c>
      <c r="S245" s="1">
        <f t="shared" si="202"/>
        <v>28.966000000000076</v>
      </c>
      <c r="T245" s="1">
        <f t="shared" ref="T245:T267" si="210">IF(ISNUMBER($E245),IF($B245="closed",($H245-$G245),($R245-$G245)),"")</f>
        <v>0.46900000000000119</v>
      </c>
      <c r="U245" s="1">
        <f t="shared" si="172"/>
        <v>2373.8240000000001</v>
      </c>
      <c r="V245" s="25">
        <f>S245/U245</f>
        <v>1.2202252568008443E-2</v>
      </c>
      <c r="W245" s="1">
        <f t="shared" si="196"/>
        <v>2403.84</v>
      </c>
      <c r="X245" s="6">
        <f t="shared" si="197"/>
        <v>0</v>
      </c>
      <c r="Y245" s="68">
        <v>1</v>
      </c>
      <c r="Z245" s="28" t="str">
        <f>IF(B245="open",(R245-L245)*E245,"-")</f>
        <v>-</v>
      </c>
    </row>
    <row r="246" spans="1:26" hidden="1">
      <c r="A246" t="s">
        <v>23</v>
      </c>
      <c r="B246" t="s">
        <v>26</v>
      </c>
      <c r="C246" s="59">
        <v>46</v>
      </c>
      <c r="D246" t="s">
        <v>12</v>
      </c>
      <c r="E246" s="2">
        <v>64</v>
      </c>
      <c r="F246" s="1"/>
      <c r="G246" s="1">
        <v>37.85</v>
      </c>
      <c r="H246" s="11">
        <v>53.83</v>
      </c>
      <c r="I246" s="20">
        <v>33.950000000000003</v>
      </c>
      <c r="J246" s="20">
        <f t="shared" si="206"/>
        <v>3.8999999999999986</v>
      </c>
      <c r="K246" s="2">
        <f t="shared" si="207"/>
        <v>249.59999999999991</v>
      </c>
      <c r="L246" s="11">
        <v>54.66</v>
      </c>
      <c r="M246" s="20">
        <f t="shared" si="208"/>
        <v>0</v>
      </c>
      <c r="N246" s="21" t="str">
        <f t="shared" si="209"/>
        <v>-</v>
      </c>
      <c r="O246" s="1">
        <f t="shared" si="170"/>
        <v>4.097435897435898</v>
      </c>
      <c r="P246" s="1" t="str">
        <f t="shared" si="171"/>
        <v/>
      </c>
      <c r="Q246" s="11">
        <f>VLOOKUP($D246,prices!$A$2:$C$19,3)</f>
        <v>46.14</v>
      </c>
      <c r="R246" s="11">
        <f>VLOOKUP(D246,prices!$A$2:$B$19,2)</f>
        <v>46.14</v>
      </c>
      <c r="S246" s="55">
        <f t="shared" si="202"/>
        <v>1022.7199999999998</v>
      </c>
      <c r="T246" s="55">
        <f t="shared" si="210"/>
        <v>15.979999999999997</v>
      </c>
      <c r="U246" s="55">
        <f t="shared" si="172"/>
        <v>2422.4</v>
      </c>
      <c r="V246" s="42">
        <f>S246/U246</f>
        <v>0.42219286657859961</v>
      </c>
      <c r="W246" s="55">
        <f t="shared" si="196"/>
        <v>3445.12</v>
      </c>
      <c r="X246" s="48">
        <f t="shared" si="197"/>
        <v>0</v>
      </c>
      <c r="Y246" s="68">
        <v>1</v>
      </c>
      <c r="Z246" s="28" t="str">
        <f>IF(B246="open",(R246-L246)*E246,"-")</f>
        <v>-</v>
      </c>
    </row>
    <row r="247" spans="1:26" hidden="1">
      <c r="A247" t="s">
        <v>23</v>
      </c>
      <c r="B247" t="s">
        <v>26</v>
      </c>
      <c r="C247" s="61">
        <v>54</v>
      </c>
      <c r="D247" t="s">
        <v>12</v>
      </c>
      <c r="E247" s="2">
        <v>48</v>
      </c>
      <c r="F247" s="1"/>
      <c r="G247" s="1">
        <v>40.1</v>
      </c>
      <c r="H247" s="11">
        <v>53.77</v>
      </c>
      <c r="I247" s="20">
        <v>36.17</v>
      </c>
      <c r="J247" s="20">
        <f t="shared" si="206"/>
        <v>3.9299999999999997</v>
      </c>
      <c r="K247" s="2">
        <f t="shared" si="207"/>
        <v>188.64</v>
      </c>
      <c r="L247" s="11">
        <v>54.66</v>
      </c>
      <c r="M247" s="20">
        <f t="shared" si="208"/>
        <v>0</v>
      </c>
      <c r="N247" s="21" t="str">
        <f t="shared" si="209"/>
        <v>-</v>
      </c>
      <c r="O247" s="1">
        <f t="shared" si="170"/>
        <v>3.4783715012722651</v>
      </c>
      <c r="P247" s="1" t="str">
        <f t="shared" si="171"/>
        <v/>
      </c>
      <c r="Q247" s="11">
        <f>VLOOKUP($D247,prices!$A$2:$C$19,3)</f>
        <v>46.14</v>
      </c>
      <c r="R247" s="11">
        <f>VLOOKUP(D247,prices!$A$2:$B$19,2)</f>
        <v>46.14</v>
      </c>
      <c r="S247" s="55">
        <f t="shared" si="202"/>
        <v>656.16000000000008</v>
      </c>
      <c r="T247" s="55">
        <f t="shared" si="210"/>
        <v>13.670000000000002</v>
      </c>
      <c r="U247" s="55">
        <f t="shared" si="172"/>
        <v>1924.8000000000002</v>
      </c>
      <c r="V247" s="42">
        <f>S247/U247</f>
        <v>0.34089775561097257</v>
      </c>
      <c r="W247" s="55">
        <f t="shared" si="196"/>
        <v>2580.96</v>
      </c>
      <c r="X247" s="48">
        <f t="shared" si="197"/>
        <v>0</v>
      </c>
      <c r="Y247" s="68">
        <v>1</v>
      </c>
    </row>
    <row r="248" spans="1:26" hidden="1">
      <c r="A248" t="s">
        <v>23</v>
      </c>
      <c r="B248" t="s">
        <v>26</v>
      </c>
      <c r="C248" s="24">
        <v>58</v>
      </c>
      <c r="D248" t="s">
        <v>12</v>
      </c>
      <c r="E248" s="2">
        <v>35</v>
      </c>
      <c r="F248" s="1">
        <v>1</v>
      </c>
      <c r="G248" s="1">
        <v>41.37</v>
      </c>
      <c r="H248" s="11">
        <v>53.77</v>
      </c>
      <c r="I248" s="20">
        <v>37.619999999999997</v>
      </c>
      <c r="J248" s="20">
        <f t="shared" si="206"/>
        <v>3.75</v>
      </c>
      <c r="K248" s="2">
        <f t="shared" si="207"/>
        <v>131.25</v>
      </c>
      <c r="L248" s="11">
        <v>54.66</v>
      </c>
      <c r="M248" s="20">
        <f t="shared" si="208"/>
        <v>0</v>
      </c>
      <c r="N248" s="21" t="str">
        <f t="shared" si="209"/>
        <v>-</v>
      </c>
      <c r="O248" s="1">
        <f t="shared" si="170"/>
        <v>3.306666666666668</v>
      </c>
      <c r="P248" s="1" t="str">
        <f t="shared" si="171"/>
        <v/>
      </c>
      <c r="Q248" s="11">
        <f>VLOOKUP($D248,prices!$A$2:$C$19,3)</f>
        <v>46.14</v>
      </c>
      <c r="R248" s="11">
        <f>VLOOKUP(D248,prices!$A$2:$B$19,2)</f>
        <v>46.14</v>
      </c>
      <c r="S248" s="55">
        <f t="shared" si="202"/>
        <v>433.00000000000023</v>
      </c>
      <c r="T248" s="55">
        <f t="shared" si="210"/>
        <v>12.400000000000006</v>
      </c>
      <c r="U248" s="55">
        <f t="shared" si="172"/>
        <v>1447.9499999999998</v>
      </c>
      <c r="V248" s="42">
        <f>S248/U248</f>
        <v>0.29904347525812375</v>
      </c>
      <c r="W248" s="55">
        <f t="shared" si="196"/>
        <v>1881.95</v>
      </c>
      <c r="X248" s="48">
        <f t="shared" si="197"/>
        <v>0</v>
      </c>
      <c r="Y248" s="68">
        <v>1</v>
      </c>
    </row>
    <row r="249" spans="1:26" ht="15" hidden="1" customHeight="1">
      <c r="A249" t="s">
        <v>23</v>
      </c>
      <c r="B249" t="s">
        <v>51</v>
      </c>
      <c r="C249" s="26"/>
      <c r="D249" t="s">
        <v>44</v>
      </c>
      <c r="E249" s="2">
        <v>387</v>
      </c>
      <c r="F249" s="1"/>
      <c r="G249" s="1">
        <v>3.5670000000000002</v>
      </c>
      <c r="H249" s="11"/>
      <c r="I249" s="20">
        <v>2.97</v>
      </c>
      <c r="J249" s="20">
        <f t="shared" si="206"/>
        <v>0.59699999999999998</v>
      </c>
      <c r="K249" s="2">
        <f t="shared" si="207"/>
        <v>231.03899999999999</v>
      </c>
      <c r="L249" s="11">
        <v>2.97</v>
      </c>
      <c r="M249" s="20">
        <f t="shared" si="208"/>
        <v>0.59699999999999998</v>
      </c>
      <c r="N249" s="21" t="str">
        <f t="shared" si="209"/>
        <v>-</v>
      </c>
      <c r="O249" s="1" t="str">
        <f t="shared" si="170"/>
        <v/>
      </c>
      <c r="P249" s="1" t="str">
        <f t="shared" si="171"/>
        <v/>
      </c>
      <c r="Q249" s="11"/>
      <c r="R249" s="11">
        <v>3.57</v>
      </c>
      <c r="S249" s="1">
        <f t="shared" si="202"/>
        <v>1.1609999999998721</v>
      </c>
      <c r="T249" s="1">
        <f t="shared" si="210"/>
        <v>2.9999999999996696E-3</v>
      </c>
      <c r="U249" s="1">
        <f t="shared" si="172"/>
        <v>1380.4290000000001</v>
      </c>
      <c r="V249" s="25">
        <f>S249/U249</f>
        <v>8.4104289318745994E-4</v>
      </c>
      <c r="W249" s="1">
        <f>E249*R249</f>
        <v>1381.59</v>
      </c>
      <c r="X249"/>
      <c r="Y249"/>
    </row>
    <row r="250" spans="1:26" ht="15" hidden="1" customHeight="1">
      <c r="A250" t="s">
        <v>23</v>
      </c>
      <c r="B250" t="s">
        <v>26</v>
      </c>
      <c r="C250" s="26">
        <v>84</v>
      </c>
      <c r="D250" t="s">
        <v>12</v>
      </c>
      <c r="E250" s="2">
        <v>26</v>
      </c>
      <c r="F250" s="1">
        <v>1</v>
      </c>
      <c r="G250" s="1">
        <v>42.59</v>
      </c>
      <c r="H250" s="11">
        <v>53.76</v>
      </c>
      <c r="I250" s="20">
        <v>39.83</v>
      </c>
      <c r="J250" s="20">
        <f t="shared" si="206"/>
        <v>2.7600000000000051</v>
      </c>
      <c r="K250" s="2">
        <f t="shared" si="207"/>
        <v>71.760000000000133</v>
      </c>
      <c r="L250" s="11">
        <v>54.66</v>
      </c>
      <c r="M250" s="20">
        <f t="shared" si="208"/>
        <v>0</v>
      </c>
      <c r="N250" s="21" t="str">
        <f t="shared" si="209"/>
        <v>-</v>
      </c>
      <c r="O250" s="1">
        <f t="shared" si="170"/>
        <v>4.0471014492753525</v>
      </c>
      <c r="P250" s="1" t="str">
        <f t="shared" si="171"/>
        <v/>
      </c>
      <c r="Q250" s="11">
        <f>VLOOKUP($D250,prices!$A$2:$C$19,3)</f>
        <v>46.14</v>
      </c>
      <c r="R250" s="11">
        <f>VLOOKUP(D250,prices!$A$2:$B$19,2)</f>
        <v>46.14</v>
      </c>
      <c r="S250" s="55">
        <f t="shared" si="202"/>
        <v>289.41999999999985</v>
      </c>
      <c r="T250" s="55">
        <f t="shared" si="210"/>
        <v>11.169999999999995</v>
      </c>
      <c r="U250" s="55">
        <f t="shared" si="172"/>
        <v>1107.3400000000001</v>
      </c>
      <c r="W250" s="55">
        <f t="shared" ref="W250:W270" si="211">IF(B250="closed",H250*E250,R250*E250)</f>
        <v>1397.76</v>
      </c>
      <c r="X250" s="48">
        <f t="shared" ref="X250:X270" si="212">IF(B250="open",(R250-Q250)*E250,0)</f>
        <v>0</v>
      </c>
      <c r="Y250" s="68">
        <v>1</v>
      </c>
      <c r="Z250" s="28" t="str">
        <f>IF(B250="open",(R250-L250)*E250,"-")</f>
        <v>-</v>
      </c>
    </row>
    <row r="251" spans="1:26" ht="15" hidden="1" customHeight="1">
      <c r="A251" t="s">
        <v>6</v>
      </c>
      <c r="B251" t="s">
        <v>26</v>
      </c>
      <c r="C251" s="34">
        <v>85</v>
      </c>
      <c r="D251" t="s">
        <v>12</v>
      </c>
      <c r="E251" s="2">
        <v>58</v>
      </c>
      <c r="F251" s="1">
        <v>42.9</v>
      </c>
      <c r="G251" s="37">
        <v>42.59</v>
      </c>
      <c r="H251" s="11">
        <v>53.83</v>
      </c>
      <c r="I251" s="20">
        <v>39.83</v>
      </c>
      <c r="J251" s="20">
        <f t="shared" si="206"/>
        <v>2.7600000000000051</v>
      </c>
      <c r="K251" s="2">
        <f t="shared" si="207"/>
        <v>160.0800000000003</v>
      </c>
      <c r="L251" s="11">
        <v>54.66</v>
      </c>
      <c r="M251" s="20">
        <f t="shared" si="208"/>
        <v>0</v>
      </c>
      <c r="N251" s="21" t="str">
        <f t="shared" si="209"/>
        <v>-</v>
      </c>
      <c r="O251" s="1">
        <f t="shared" si="170"/>
        <v>4.0724637681159326</v>
      </c>
      <c r="P251" s="1" t="str">
        <f t="shared" si="171"/>
        <v/>
      </c>
      <c r="Q251" s="11">
        <f>VLOOKUP($D251,prices!$A$2:$C$19,3)</f>
        <v>46.14</v>
      </c>
      <c r="R251" s="11">
        <f>VLOOKUP(D251,prices!$A$2:$B$19,2)</f>
        <v>46.14</v>
      </c>
      <c r="S251" s="55">
        <f t="shared" si="202"/>
        <v>609.01999999999975</v>
      </c>
      <c r="T251" s="55">
        <f t="shared" si="210"/>
        <v>11.239999999999995</v>
      </c>
      <c r="U251" s="55">
        <f t="shared" si="172"/>
        <v>2470.2200000000003</v>
      </c>
      <c r="W251" s="55">
        <f t="shared" si="211"/>
        <v>3122.14</v>
      </c>
      <c r="X251" s="48">
        <f t="shared" si="212"/>
        <v>0</v>
      </c>
      <c r="Y251" s="68">
        <v>1</v>
      </c>
      <c r="Z251" s="28" t="str">
        <f>IF(B251="open",(R251-L251)*E251,"-")</f>
        <v>-</v>
      </c>
    </row>
    <row r="252" spans="1:26" hidden="1">
      <c r="A252" t="s">
        <v>6</v>
      </c>
      <c r="B252" t="s">
        <v>26</v>
      </c>
      <c r="C252" s="91">
        <v>88</v>
      </c>
      <c r="D252" t="s">
        <v>12</v>
      </c>
      <c r="E252" s="2">
        <v>57</v>
      </c>
      <c r="F252" s="1">
        <v>45.38</v>
      </c>
      <c r="G252" s="37">
        <v>44.83</v>
      </c>
      <c r="H252" s="11">
        <v>53.78</v>
      </c>
      <c r="I252" s="20">
        <v>44.74</v>
      </c>
      <c r="J252" s="20">
        <v>2.76</v>
      </c>
      <c r="K252" s="2">
        <f t="shared" si="207"/>
        <v>157.32</v>
      </c>
      <c r="L252" s="11">
        <v>54.66</v>
      </c>
      <c r="M252" s="20">
        <f t="shared" si="208"/>
        <v>0</v>
      </c>
      <c r="N252" s="21" t="str">
        <f t="shared" si="209"/>
        <v>-</v>
      </c>
      <c r="O252" s="1">
        <f t="shared" si="170"/>
        <v>3.2427536231884071</v>
      </c>
      <c r="P252" s="1" t="str">
        <f t="shared" si="171"/>
        <v/>
      </c>
      <c r="Q252" s="11">
        <f>VLOOKUP($D252,prices!$A$2:$C$19,3)</f>
        <v>46.14</v>
      </c>
      <c r="R252" s="11">
        <f>VLOOKUP(D252,prices!$A$2:$B$19,2)</f>
        <v>46.14</v>
      </c>
      <c r="S252" s="55">
        <f t="shared" si="202"/>
        <v>464.77000000000015</v>
      </c>
      <c r="T252" s="55">
        <f t="shared" si="210"/>
        <v>8.9500000000000028</v>
      </c>
      <c r="U252" s="55">
        <f t="shared" si="172"/>
        <v>2555.31</v>
      </c>
      <c r="W252" s="55">
        <f t="shared" si="211"/>
        <v>3065.46</v>
      </c>
      <c r="X252" s="48">
        <f t="shared" si="212"/>
        <v>0</v>
      </c>
      <c r="Y252"/>
    </row>
    <row r="253" spans="1:26" hidden="1">
      <c r="A253" t="s">
        <v>6</v>
      </c>
      <c r="B253" t="s">
        <v>26</v>
      </c>
      <c r="C253" s="91">
        <v>96</v>
      </c>
      <c r="D253" t="s">
        <v>12</v>
      </c>
      <c r="E253" s="2">
        <v>43</v>
      </c>
      <c r="F253" s="1"/>
      <c r="G253" s="43">
        <v>46.62</v>
      </c>
      <c r="H253" s="11">
        <v>53.77</v>
      </c>
      <c r="I253" s="20">
        <v>42.54</v>
      </c>
      <c r="J253" s="20">
        <f t="shared" ref="J253:J267" si="213">IF(AND(ISNUMBER(G253),ISNUMBER(I253)),G253-I253,"-")</f>
        <v>4.0799999999999983</v>
      </c>
      <c r="K253" s="2">
        <f t="shared" si="207"/>
        <v>175.43999999999994</v>
      </c>
      <c r="L253" s="11">
        <v>54.66</v>
      </c>
      <c r="M253" s="20">
        <f t="shared" si="208"/>
        <v>0</v>
      </c>
      <c r="N253" s="21" t="str">
        <f t="shared" si="209"/>
        <v>-</v>
      </c>
      <c r="O253" s="1">
        <f t="shared" si="170"/>
        <v>1.7524509803921591</v>
      </c>
      <c r="P253" s="1" t="str">
        <f t="shared" si="171"/>
        <v/>
      </c>
      <c r="Q253" s="11">
        <f>VLOOKUP($D253,prices!$A$2:$C$19,3)</f>
        <v>46.14</v>
      </c>
      <c r="R253" s="11">
        <f>VLOOKUP(D253,prices!$A$2:$B$19,2)</f>
        <v>46.14</v>
      </c>
      <c r="S253" s="55">
        <f t="shared" si="202"/>
        <v>307.45000000000027</v>
      </c>
      <c r="T253" s="55">
        <f t="shared" si="210"/>
        <v>7.1500000000000057</v>
      </c>
      <c r="U253" s="55">
        <f t="shared" si="172"/>
        <v>2004.6599999999999</v>
      </c>
      <c r="W253" s="55">
        <f t="shared" si="211"/>
        <v>2312.11</v>
      </c>
      <c r="X253" s="48">
        <f t="shared" si="212"/>
        <v>0</v>
      </c>
      <c r="Y253"/>
    </row>
    <row r="254" spans="1:26" hidden="1">
      <c r="A254" t="s">
        <v>23</v>
      </c>
      <c r="B254" t="s">
        <v>26</v>
      </c>
      <c r="C254" s="104">
        <v>151</v>
      </c>
      <c r="D254" t="s">
        <v>12</v>
      </c>
      <c r="E254" s="2">
        <v>68</v>
      </c>
      <c r="F254" s="1"/>
      <c r="G254" s="43">
        <v>52.34</v>
      </c>
      <c r="H254" s="11">
        <v>51.91</v>
      </c>
      <c r="I254" s="20">
        <v>48.24</v>
      </c>
      <c r="J254" s="20">
        <f t="shared" si="213"/>
        <v>4.1000000000000014</v>
      </c>
      <c r="K254" s="2">
        <f t="shared" si="207"/>
        <v>278.80000000000007</v>
      </c>
      <c r="L254" s="11">
        <v>48.24</v>
      </c>
      <c r="M254" s="20">
        <f t="shared" si="208"/>
        <v>4.1000000000000014</v>
      </c>
      <c r="N254" s="21" t="str">
        <f t="shared" si="209"/>
        <v>-</v>
      </c>
      <c r="O254" s="1">
        <f t="shared" si="170"/>
        <v>-0.10487804878048944</v>
      </c>
      <c r="P254" s="1" t="str">
        <f t="shared" si="171"/>
        <v/>
      </c>
      <c r="Q254" s="11">
        <f>VLOOKUP($D254,prices!$A$2:$C$19,3)</f>
        <v>46.14</v>
      </c>
      <c r="R254" s="11">
        <f>VLOOKUP(D254,prices!$A$2:$B$19,2)</f>
        <v>46.14</v>
      </c>
      <c r="S254" s="55">
        <f t="shared" si="202"/>
        <v>-29.240000000000464</v>
      </c>
      <c r="T254" s="55">
        <f t="shared" si="210"/>
        <v>-0.43000000000000682</v>
      </c>
      <c r="U254" s="55">
        <f t="shared" si="172"/>
        <v>3559.1200000000003</v>
      </c>
      <c r="W254" s="55">
        <f t="shared" si="211"/>
        <v>3529.8799999999997</v>
      </c>
      <c r="X254" s="48">
        <f t="shared" si="212"/>
        <v>0</v>
      </c>
      <c r="Y254" s="68">
        <v>1</v>
      </c>
      <c r="Z254" s="28" t="str">
        <f t="shared" ref="Z254:Z258" si="214">IF(B254="open",(R254-L254)*E254,"-")</f>
        <v>-</v>
      </c>
    </row>
    <row r="255" spans="1:26" hidden="1">
      <c r="A255" t="s">
        <v>23</v>
      </c>
      <c r="B255" t="s">
        <v>26</v>
      </c>
      <c r="C255" s="97">
        <v>95</v>
      </c>
      <c r="D255" t="s">
        <v>12</v>
      </c>
      <c r="E255" s="2">
        <v>95</v>
      </c>
      <c r="F255" s="1"/>
      <c r="G255" s="43">
        <v>46.624000000000002</v>
      </c>
      <c r="H255" s="11">
        <v>53.76</v>
      </c>
      <c r="I255" s="20">
        <v>42.54</v>
      </c>
      <c r="J255" s="20">
        <f t="shared" si="213"/>
        <v>4.0840000000000032</v>
      </c>
      <c r="K255" s="2">
        <f t="shared" si="207"/>
        <v>387.9800000000003</v>
      </c>
      <c r="L255" s="11">
        <v>54.66</v>
      </c>
      <c r="M255" s="20">
        <f t="shared" si="208"/>
        <v>0</v>
      </c>
      <c r="N255" s="21" t="str">
        <f t="shared" si="209"/>
        <v>-</v>
      </c>
      <c r="O255" s="1">
        <f t="shared" si="170"/>
        <v>1.747306562193925</v>
      </c>
      <c r="P255" s="1" t="str">
        <f t="shared" si="171"/>
        <v/>
      </c>
      <c r="Q255" s="11">
        <f>VLOOKUP($D255,prices!$A$2:$C$19,3)</f>
        <v>46.14</v>
      </c>
      <c r="R255" s="11">
        <f>VLOOKUP(D255,prices!$A$2:$B$19,2)</f>
        <v>46.14</v>
      </c>
      <c r="S255" s="55">
        <f t="shared" si="202"/>
        <v>677.91999999999962</v>
      </c>
      <c r="T255" s="55">
        <f t="shared" si="210"/>
        <v>7.1359999999999957</v>
      </c>
      <c r="U255" s="55">
        <f t="shared" si="172"/>
        <v>4429.2800000000007</v>
      </c>
      <c r="W255" s="55">
        <f t="shared" si="211"/>
        <v>5107.2</v>
      </c>
      <c r="X255" s="48">
        <f t="shared" si="212"/>
        <v>0</v>
      </c>
      <c r="Y255" s="68">
        <v>1</v>
      </c>
      <c r="Z255" s="28" t="str">
        <f t="shared" si="214"/>
        <v>-</v>
      </c>
    </row>
    <row r="256" spans="1:26" hidden="1">
      <c r="A256" t="s">
        <v>23</v>
      </c>
      <c r="B256" t="s">
        <v>26</v>
      </c>
      <c r="C256" s="105">
        <v>212</v>
      </c>
      <c r="D256" t="s">
        <v>12</v>
      </c>
      <c r="E256" s="2">
        <v>33</v>
      </c>
      <c r="F256" s="1"/>
      <c r="G256" s="43">
        <v>57.16</v>
      </c>
      <c r="H256" s="11">
        <v>53.81</v>
      </c>
      <c r="I256" s="20">
        <v>53.54</v>
      </c>
      <c r="J256" s="20">
        <f t="shared" si="213"/>
        <v>3.6199999999999974</v>
      </c>
      <c r="K256" s="2">
        <f t="shared" si="207"/>
        <v>119.45999999999992</v>
      </c>
      <c r="L256" s="11">
        <v>54.66</v>
      </c>
      <c r="M256" s="20">
        <f t="shared" si="208"/>
        <v>2.5</v>
      </c>
      <c r="N256" s="21" t="str">
        <f t="shared" si="209"/>
        <v>-</v>
      </c>
      <c r="O256" s="1">
        <f t="shared" si="170"/>
        <v>-0.92541436464088311</v>
      </c>
      <c r="P256" s="1" t="str">
        <f t="shared" si="171"/>
        <v/>
      </c>
      <c r="Q256" s="11">
        <f>VLOOKUP($D256,prices!$A$2:$C$19,3)</f>
        <v>46.14</v>
      </c>
      <c r="R256" s="11">
        <f>VLOOKUP(D256,prices!$A$2:$B$19,2)</f>
        <v>46.14</v>
      </c>
      <c r="S256" s="55">
        <f t="shared" si="202"/>
        <v>-110.54999999999981</v>
      </c>
      <c r="T256" s="55">
        <f t="shared" si="210"/>
        <v>-3.3499999999999943</v>
      </c>
      <c r="U256" s="55">
        <f t="shared" si="172"/>
        <v>1886.28</v>
      </c>
      <c r="W256" s="55">
        <f t="shared" si="211"/>
        <v>1775.73</v>
      </c>
      <c r="X256" s="48">
        <f t="shared" si="212"/>
        <v>0</v>
      </c>
      <c r="Y256" s="68">
        <v>1</v>
      </c>
      <c r="Z256" s="28" t="str">
        <f t="shared" si="214"/>
        <v>-</v>
      </c>
    </row>
    <row r="257" spans="1:26" hidden="1">
      <c r="A257" t="s">
        <v>23</v>
      </c>
      <c r="B257" t="s">
        <v>26</v>
      </c>
      <c r="C257" s="107">
        <v>154</v>
      </c>
      <c r="D257" t="s">
        <v>12</v>
      </c>
      <c r="E257" s="2">
        <v>62</v>
      </c>
      <c r="F257" s="1"/>
      <c r="G257" s="43">
        <v>52.37</v>
      </c>
      <c r="H257" s="11">
        <v>51.91</v>
      </c>
      <c r="I257" s="20">
        <v>48.51</v>
      </c>
      <c r="J257" s="20">
        <f t="shared" si="213"/>
        <v>3.8599999999999994</v>
      </c>
      <c r="K257" s="2">
        <f t="shared" si="207"/>
        <v>239.31999999999996</v>
      </c>
      <c r="L257" s="11">
        <v>48.51</v>
      </c>
      <c r="M257" s="20">
        <f t="shared" si="208"/>
        <v>3.8599999999999994</v>
      </c>
      <c r="N257" s="21" t="str">
        <f t="shared" si="209"/>
        <v>-</v>
      </c>
      <c r="O257" s="1">
        <f t="shared" si="170"/>
        <v>-0.11917098445595879</v>
      </c>
      <c r="P257" s="1" t="str">
        <f t="shared" si="171"/>
        <v/>
      </c>
      <c r="Q257" s="11">
        <f>VLOOKUP($D257,prices!$A$2:$C$19,3)</f>
        <v>46.14</v>
      </c>
      <c r="R257" s="11">
        <f>VLOOKUP(D257,prices!$A$2:$B$19,2)</f>
        <v>46.14</v>
      </c>
      <c r="S257" s="55">
        <f t="shared" si="202"/>
        <v>-28.520000000000053</v>
      </c>
      <c r="T257" s="55">
        <f t="shared" si="210"/>
        <v>-0.46000000000000085</v>
      </c>
      <c r="U257" s="55">
        <f t="shared" si="172"/>
        <v>3246.94</v>
      </c>
      <c r="W257" s="55">
        <f t="shared" si="211"/>
        <v>3218.4199999999996</v>
      </c>
      <c r="X257" s="48">
        <f t="shared" si="212"/>
        <v>0</v>
      </c>
      <c r="Y257" s="68">
        <v>1</v>
      </c>
      <c r="Z257" s="28" t="str">
        <f t="shared" ref="Z257" si="215">IF(B257="open",(R257-L257)*E257,"-")</f>
        <v>-</v>
      </c>
    </row>
    <row r="258" spans="1:26" hidden="1">
      <c r="A258" t="s">
        <v>23</v>
      </c>
      <c r="B258" t="s">
        <v>26</v>
      </c>
      <c r="C258" s="105">
        <v>160</v>
      </c>
      <c r="D258" t="s">
        <v>12</v>
      </c>
      <c r="E258" s="2">
        <v>56</v>
      </c>
      <c r="F258" s="1"/>
      <c r="G258" s="43">
        <v>52.57</v>
      </c>
      <c r="H258" s="11">
        <v>51.91</v>
      </c>
      <c r="I258" s="20">
        <v>49.13</v>
      </c>
      <c r="J258" s="20">
        <f t="shared" si="213"/>
        <v>3.4399999999999977</v>
      </c>
      <c r="K258" s="2">
        <f t="shared" si="207"/>
        <v>192.63999999999987</v>
      </c>
      <c r="L258" s="11">
        <v>49.13</v>
      </c>
      <c r="M258" s="20">
        <f t="shared" si="208"/>
        <v>3.4399999999999977</v>
      </c>
      <c r="N258" s="21" t="str">
        <f t="shared" si="209"/>
        <v>-</v>
      </c>
      <c r="O258" s="1">
        <f t="shared" si="170"/>
        <v>-0.19186046511628027</v>
      </c>
      <c r="P258" s="1" t="str">
        <f t="shared" si="171"/>
        <v/>
      </c>
      <c r="Q258" s="11">
        <f>VLOOKUP($D258,prices!$A$2:$C$19,3)</f>
        <v>46.14</v>
      </c>
      <c r="R258" s="11">
        <f>VLOOKUP(D258,prices!$A$2:$B$19,2)</f>
        <v>46.14</v>
      </c>
      <c r="S258" s="55">
        <f t="shared" si="202"/>
        <v>-36.960000000000207</v>
      </c>
      <c r="T258" s="55">
        <f t="shared" si="210"/>
        <v>-0.66000000000000369</v>
      </c>
      <c r="U258" s="55">
        <f t="shared" si="172"/>
        <v>2943.92</v>
      </c>
      <c r="W258" s="55">
        <f t="shared" si="211"/>
        <v>2906.96</v>
      </c>
      <c r="X258" s="48">
        <f t="shared" si="212"/>
        <v>0</v>
      </c>
      <c r="Y258" s="68">
        <v>1</v>
      </c>
      <c r="Z258" s="28" t="str">
        <f t="shared" si="214"/>
        <v>-</v>
      </c>
    </row>
    <row r="259" spans="1:26" hidden="1">
      <c r="A259" t="s">
        <v>6</v>
      </c>
      <c r="B259" t="s">
        <v>26</v>
      </c>
      <c r="C259" s="106"/>
      <c r="D259" t="s">
        <v>135</v>
      </c>
      <c r="E259" s="2">
        <v>500</v>
      </c>
      <c r="F259" s="1"/>
      <c r="G259" s="1">
        <v>54.15</v>
      </c>
      <c r="H259" s="11">
        <v>52.87</v>
      </c>
      <c r="I259" s="20">
        <v>54</v>
      </c>
      <c r="J259" s="20">
        <f t="shared" si="213"/>
        <v>0.14999999999999858</v>
      </c>
      <c r="K259" s="2">
        <f t="shared" si="207"/>
        <v>74.999999999999289</v>
      </c>
      <c r="L259" s="20">
        <v>56.2</v>
      </c>
      <c r="M259" s="20">
        <f t="shared" si="208"/>
        <v>0</v>
      </c>
      <c r="N259" s="21" t="str">
        <f t="shared" si="209"/>
        <v>-</v>
      </c>
      <c r="O259" s="1">
        <f t="shared" si="170"/>
        <v>-8.533333333333422</v>
      </c>
      <c r="P259" s="1" t="str">
        <f t="shared" si="171"/>
        <v/>
      </c>
      <c r="Q259" s="11">
        <f>VLOOKUP($D259,prices!$A$2:$C$19,3)</f>
        <v>35.137</v>
      </c>
      <c r="R259" s="11">
        <f>VLOOKUP(D259,prices!$A$2:$B$19,2)</f>
        <v>34.96</v>
      </c>
      <c r="S259" s="55">
        <f t="shared" si="202"/>
        <v>-640.00000000000057</v>
      </c>
      <c r="T259" s="55">
        <f t="shared" si="210"/>
        <v>-1.2800000000000011</v>
      </c>
      <c r="U259" s="55">
        <f t="shared" si="172"/>
        <v>27075</v>
      </c>
      <c r="V259" s="42">
        <f t="shared" ref="V259:V267" si="216">S259/U259</f>
        <v>-2.3638042474607594E-2</v>
      </c>
      <c r="W259" s="55">
        <f t="shared" si="211"/>
        <v>26435</v>
      </c>
      <c r="X259" s="48">
        <f t="shared" si="212"/>
        <v>0</v>
      </c>
      <c r="Y259" s="68">
        <v>1</v>
      </c>
      <c r="Z259" s="28" t="str">
        <f t="shared" ref="Z259" si="217">IF(B259="open",(R259-L259)*E259,"-")</f>
        <v>-</v>
      </c>
    </row>
    <row r="260" spans="1:26" hidden="1">
      <c r="A260" t="s">
        <v>23</v>
      </c>
      <c r="B260" t="s">
        <v>26</v>
      </c>
      <c r="C260" s="108">
        <v>200</v>
      </c>
      <c r="D260" t="s">
        <v>111</v>
      </c>
      <c r="E260" s="2">
        <v>99</v>
      </c>
      <c r="F260" s="1"/>
      <c r="G260" s="1">
        <v>31.1</v>
      </c>
      <c r="H260" s="11">
        <v>34.479999999999997</v>
      </c>
      <c r="I260" s="20">
        <v>27.85</v>
      </c>
      <c r="J260" s="20">
        <f t="shared" si="213"/>
        <v>3.25</v>
      </c>
      <c r="K260" s="2">
        <f t="shared" si="207"/>
        <v>321.75</v>
      </c>
      <c r="L260" s="11">
        <v>32</v>
      </c>
      <c r="M260" s="20">
        <f t="shared" si="208"/>
        <v>0</v>
      </c>
      <c r="N260" s="21" t="str">
        <f t="shared" si="209"/>
        <v>-</v>
      </c>
      <c r="O260" s="1">
        <f t="shared" si="170"/>
        <v>1.0399999999999987</v>
      </c>
      <c r="P260" s="1" t="str">
        <f t="shared" si="171"/>
        <v/>
      </c>
      <c r="Q260" s="11">
        <f>VLOOKUP($D260,prices!$A$2:$C$19,3)</f>
        <v>35.137</v>
      </c>
      <c r="R260" s="11">
        <f>VLOOKUP(D260,prices!$A$2:$B$19,2)</f>
        <v>34.96</v>
      </c>
      <c r="S260" s="55">
        <f t="shared" si="202"/>
        <v>334.61999999999955</v>
      </c>
      <c r="T260" s="55">
        <f t="shared" si="210"/>
        <v>3.3799999999999955</v>
      </c>
      <c r="U260" s="55">
        <f t="shared" si="172"/>
        <v>3078.9</v>
      </c>
      <c r="V260" s="42">
        <f t="shared" si="216"/>
        <v>0.10868167202572332</v>
      </c>
      <c r="W260" s="55">
        <f t="shared" si="211"/>
        <v>3413.5199999999995</v>
      </c>
      <c r="X260" s="48">
        <f t="shared" si="212"/>
        <v>0</v>
      </c>
      <c r="Y260" s="68">
        <v>1</v>
      </c>
      <c r="Z260" s="28" t="str">
        <f t="shared" ref="Z260:Z266" si="218">IF(B260="open",(R260-L260)*E260,"-")</f>
        <v>-</v>
      </c>
    </row>
    <row r="261" spans="1:26" hidden="1">
      <c r="A261" t="s">
        <v>6</v>
      </c>
      <c r="B261" t="s">
        <v>26</v>
      </c>
      <c r="C261" s="108">
        <v>201</v>
      </c>
      <c r="D261" t="s">
        <v>111</v>
      </c>
      <c r="E261" s="2">
        <v>28</v>
      </c>
      <c r="F261" s="1"/>
      <c r="G261" s="1">
        <v>31.1</v>
      </c>
      <c r="H261" s="11">
        <v>34.479999999999997</v>
      </c>
      <c r="I261" s="20">
        <v>27.85</v>
      </c>
      <c r="J261" s="20">
        <f t="shared" si="213"/>
        <v>3.25</v>
      </c>
      <c r="K261" s="2">
        <f t="shared" si="207"/>
        <v>91</v>
      </c>
      <c r="L261" s="11">
        <v>32</v>
      </c>
      <c r="M261" s="20">
        <f t="shared" si="208"/>
        <v>0</v>
      </c>
      <c r="N261" s="21" t="str">
        <f t="shared" si="209"/>
        <v>-</v>
      </c>
      <c r="O261" s="1">
        <f t="shared" si="170"/>
        <v>1.0399999999999987</v>
      </c>
      <c r="P261" s="1" t="str">
        <f t="shared" si="171"/>
        <v/>
      </c>
      <c r="Q261" s="11">
        <f>VLOOKUP($D261,prices!$A$2:$C$19,3)</f>
        <v>35.137</v>
      </c>
      <c r="R261" s="11">
        <f>VLOOKUP(D261,prices!$A$2:$B$19,2)</f>
        <v>34.96</v>
      </c>
      <c r="S261" s="55">
        <f t="shared" si="202"/>
        <v>94.639999999999873</v>
      </c>
      <c r="T261" s="55">
        <f t="shared" si="210"/>
        <v>3.3799999999999955</v>
      </c>
      <c r="U261" s="55">
        <f t="shared" si="172"/>
        <v>870.80000000000007</v>
      </c>
      <c r="V261" s="42">
        <f t="shared" si="216"/>
        <v>0.10868167202572332</v>
      </c>
      <c r="W261" s="55">
        <f t="shared" si="211"/>
        <v>965.43999999999994</v>
      </c>
      <c r="X261" s="48">
        <f t="shared" si="212"/>
        <v>0</v>
      </c>
      <c r="Y261" s="68">
        <v>1</v>
      </c>
      <c r="Z261" s="28" t="str">
        <f t="shared" si="218"/>
        <v>-</v>
      </c>
    </row>
    <row r="262" spans="1:26" hidden="1">
      <c r="A262" t="s">
        <v>23</v>
      </c>
      <c r="B262" t="s">
        <v>26</v>
      </c>
      <c r="C262" s="108">
        <v>41</v>
      </c>
      <c r="D262" t="s">
        <v>44</v>
      </c>
      <c r="E262" s="2">
        <v>330</v>
      </c>
      <c r="F262" s="1"/>
      <c r="G262" s="1">
        <v>3.62</v>
      </c>
      <c r="H262" s="11">
        <v>2.62</v>
      </c>
      <c r="I262" s="20">
        <v>2.83</v>
      </c>
      <c r="J262" s="20">
        <f t="shared" si="213"/>
        <v>0.79</v>
      </c>
      <c r="K262" s="2">
        <f t="shared" si="207"/>
        <v>260.7</v>
      </c>
      <c r="L262" s="11">
        <v>3.17</v>
      </c>
      <c r="M262" s="20">
        <f t="shared" si="208"/>
        <v>0.45000000000000018</v>
      </c>
      <c r="N262" s="21" t="str">
        <f t="shared" si="209"/>
        <v>-</v>
      </c>
      <c r="O262" s="1">
        <f t="shared" si="170"/>
        <v>-1.2658227848101264</v>
      </c>
      <c r="P262" s="1" t="str">
        <f t="shared" si="171"/>
        <v/>
      </c>
      <c r="Q262" s="11"/>
      <c r="R262" s="11">
        <f>VLOOKUP(D262,prices!$A$2:$B$19,2)</f>
        <v>2.3199999999999998</v>
      </c>
      <c r="S262" s="1">
        <f t="shared" si="202"/>
        <v>-330</v>
      </c>
      <c r="T262" s="1">
        <f t="shared" si="210"/>
        <v>-1</v>
      </c>
      <c r="U262" s="1">
        <f t="shared" si="172"/>
        <v>1194.6000000000001</v>
      </c>
      <c r="V262" s="25">
        <f t="shared" si="216"/>
        <v>-0.27624309392265189</v>
      </c>
      <c r="W262" s="1">
        <f t="shared" si="211"/>
        <v>864.6</v>
      </c>
      <c r="X262" s="6">
        <f t="shared" si="212"/>
        <v>0</v>
      </c>
      <c r="Y262" s="68">
        <v>1</v>
      </c>
      <c r="Z262" s="28" t="str">
        <f t="shared" si="218"/>
        <v>-</v>
      </c>
    </row>
    <row r="263" spans="1:26" hidden="1">
      <c r="A263" t="s">
        <v>23</v>
      </c>
      <c r="B263" t="s">
        <v>26</v>
      </c>
      <c r="C263" s="108">
        <v>43</v>
      </c>
      <c r="D263" t="s">
        <v>44</v>
      </c>
      <c r="E263" s="2">
        <v>282</v>
      </c>
      <c r="F263" s="1"/>
      <c r="G263" s="1">
        <v>3.71</v>
      </c>
      <c r="H263" s="11">
        <v>2.62</v>
      </c>
      <c r="I263" s="20">
        <v>2.95</v>
      </c>
      <c r="J263" s="20">
        <f t="shared" si="213"/>
        <v>0.75999999999999979</v>
      </c>
      <c r="K263" s="2">
        <f t="shared" si="207"/>
        <v>214.31999999999994</v>
      </c>
      <c r="L263" s="11">
        <v>3.17</v>
      </c>
      <c r="M263" s="20">
        <f t="shared" si="208"/>
        <v>0.54</v>
      </c>
      <c r="N263" s="21" t="str">
        <f t="shared" si="209"/>
        <v>-</v>
      </c>
      <c r="O263" s="1">
        <f t="shared" si="170"/>
        <v>-1.4342105263157896</v>
      </c>
      <c r="P263" s="1" t="str">
        <f t="shared" si="171"/>
        <v/>
      </c>
      <c r="Q263" s="11"/>
      <c r="R263" s="11">
        <f>VLOOKUP(D263,prices!$A$2:$B$19,2)</f>
        <v>2.3199999999999998</v>
      </c>
      <c r="S263" s="1">
        <f t="shared" si="202"/>
        <v>-307.37999999999994</v>
      </c>
      <c r="T263" s="1">
        <f t="shared" si="210"/>
        <v>-1.0899999999999999</v>
      </c>
      <c r="U263" s="1">
        <f t="shared" si="172"/>
        <v>1046.22</v>
      </c>
      <c r="V263" s="25">
        <f t="shared" si="216"/>
        <v>-0.29380053908355791</v>
      </c>
      <c r="W263" s="1">
        <f t="shared" si="211"/>
        <v>738.84</v>
      </c>
      <c r="X263" s="6">
        <f t="shared" si="212"/>
        <v>0</v>
      </c>
      <c r="Y263" s="68">
        <v>1</v>
      </c>
      <c r="Z263" s="28" t="str">
        <f t="shared" si="218"/>
        <v>-</v>
      </c>
    </row>
    <row r="264" spans="1:26" hidden="1">
      <c r="A264" t="s">
        <v>23</v>
      </c>
      <c r="B264" t="s">
        <v>26</v>
      </c>
      <c r="C264" s="108">
        <v>1017</v>
      </c>
      <c r="D264" t="s">
        <v>44</v>
      </c>
      <c r="E264" s="2">
        <v>387</v>
      </c>
      <c r="F264" s="1"/>
      <c r="G264" s="1">
        <v>3.6259999999999999</v>
      </c>
      <c r="H264" s="11">
        <v>2.16</v>
      </c>
      <c r="I264" s="20">
        <v>2.95</v>
      </c>
      <c r="J264" s="20">
        <f t="shared" si="213"/>
        <v>0.67599999999999971</v>
      </c>
      <c r="K264" s="2">
        <f t="shared" si="207"/>
        <v>261.61199999999991</v>
      </c>
      <c r="L264" s="11">
        <v>2.16</v>
      </c>
      <c r="M264" s="20">
        <f t="shared" si="208"/>
        <v>1.4659999999999997</v>
      </c>
      <c r="N264" s="21" t="str">
        <f t="shared" si="209"/>
        <v>-</v>
      </c>
      <c r="O264" s="1">
        <f t="shared" si="170"/>
        <v>-2.1686390532544384</v>
      </c>
      <c r="P264" s="1" t="str">
        <f t="shared" si="171"/>
        <v/>
      </c>
      <c r="Q264" s="11">
        <f>VLOOKUP($D264,prices!$A$2:$C$19,3)</f>
        <v>2.3199999999999998</v>
      </c>
      <c r="R264" s="11">
        <f>VLOOKUP(D264,prices!$A$2:$B$19,2)</f>
        <v>2.3199999999999998</v>
      </c>
      <c r="S264" s="55">
        <f t="shared" si="202"/>
        <v>-567.34199999999987</v>
      </c>
      <c r="T264" s="55">
        <f t="shared" si="210"/>
        <v>-1.4659999999999997</v>
      </c>
      <c r="U264" s="55">
        <f t="shared" si="172"/>
        <v>1403.2619999999999</v>
      </c>
      <c r="V264" s="42">
        <f t="shared" si="216"/>
        <v>-0.40430226144511849</v>
      </c>
      <c r="W264" s="55">
        <f t="shared" si="211"/>
        <v>835.92000000000007</v>
      </c>
      <c r="X264" s="48">
        <f t="shared" si="212"/>
        <v>0</v>
      </c>
      <c r="Y264" s="68">
        <v>1</v>
      </c>
      <c r="Z264" s="28" t="str">
        <f t="shared" si="218"/>
        <v>-</v>
      </c>
    </row>
    <row r="265" spans="1:26">
      <c r="A265" t="s">
        <v>58</v>
      </c>
      <c r="B265" t="s">
        <v>25</v>
      </c>
      <c r="C265" s="108"/>
      <c r="D265" t="s">
        <v>50</v>
      </c>
      <c r="E265" s="2">
        <v>200</v>
      </c>
      <c r="F265" s="1"/>
      <c r="G265" s="1">
        <v>15.48</v>
      </c>
      <c r="H265" s="11"/>
      <c r="I265" s="20">
        <v>15</v>
      </c>
      <c r="J265" s="20">
        <f t="shared" si="213"/>
        <v>0.48000000000000043</v>
      </c>
      <c r="K265" s="2">
        <f t="shared" si="207"/>
        <v>96.000000000000085</v>
      </c>
      <c r="L265" s="11">
        <v>15</v>
      </c>
      <c r="M265" s="20">
        <f t="shared" si="208"/>
        <v>0.48000000000000043</v>
      </c>
      <c r="N265" s="21">
        <f t="shared" si="209"/>
        <v>96.000000000000085</v>
      </c>
      <c r="O265" s="1" t="str">
        <f t="shared" si="170"/>
        <v/>
      </c>
      <c r="P265" s="1">
        <f t="shared" si="171"/>
        <v>9.1874999999999929</v>
      </c>
      <c r="Q265" s="11">
        <f>VLOOKUP($D265,prices!$A$2:$C$19,3)</f>
        <v>20.27</v>
      </c>
      <c r="R265" s="11">
        <f>VLOOKUP(D265,prices!$A$2:$B$19,2)</f>
        <v>19.89</v>
      </c>
      <c r="S265" s="55">
        <f t="shared" si="202"/>
        <v>882</v>
      </c>
      <c r="T265" s="55">
        <f t="shared" si="210"/>
        <v>4.41</v>
      </c>
      <c r="U265" s="55">
        <f t="shared" si="172"/>
        <v>3096</v>
      </c>
      <c r="V265" s="42">
        <f t="shared" si="216"/>
        <v>0.28488372093023256</v>
      </c>
      <c r="W265" s="55">
        <f t="shared" si="211"/>
        <v>3978</v>
      </c>
      <c r="X265" s="48">
        <f t="shared" si="212"/>
        <v>-75.999999999999801</v>
      </c>
      <c r="Y265" s="68">
        <v>1</v>
      </c>
      <c r="Z265" s="28">
        <f t="shared" si="218"/>
        <v>978.00000000000011</v>
      </c>
    </row>
    <row r="266" spans="1:26">
      <c r="A266" t="s">
        <v>57</v>
      </c>
      <c r="B266" t="s">
        <v>25</v>
      </c>
      <c r="C266" s="104"/>
      <c r="D266" t="s">
        <v>50</v>
      </c>
      <c r="E266" s="2">
        <v>200</v>
      </c>
      <c r="F266" s="1"/>
      <c r="G266" s="1">
        <v>15.41</v>
      </c>
      <c r="H266" s="11"/>
      <c r="I266" s="20">
        <v>15</v>
      </c>
      <c r="J266" s="20">
        <f t="shared" si="213"/>
        <v>0.41000000000000014</v>
      </c>
      <c r="K266" s="2">
        <f t="shared" si="207"/>
        <v>82.000000000000028</v>
      </c>
      <c r="L266" s="11">
        <v>15</v>
      </c>
      <c r="M266" s="20">
        <f t="shared" si="208"/>
        <v>0.41000000000000014</v>
      </c>
      <c r="N266" s="21">
        <f t="shared" si="209"/>
        <v>82.000000000000028</v>
      </c>
      <c r="O266" s="1" t="str">
        <f t="shared" si="170"/>
        <v/>
      </c>
      <c r="P266" s="1">
        <f t="shared" si="171"/>
        <v>10.92682926829268</v>
      </c>
      <c r="Q266" s="11">
        <f>VLOOKUP($D266,prices!$A$2:$C$19,3)</f>
        <v>20.27</v>
      </c>
      <c r="R266" s="11">
        <f>VLOOKUP(D266,prices!$A$2:$B$19,2)</f>
        <v>19.89</v>
      </c>
      <c r="S266" s="55">
        <f t="shared" si="202"/>
        <v>896.00000000000011</v>
      </c>
      <c r="T266" s="55">
        <f t="shared" si="210"/>
        <v>4.4800000000000004</v>
      </c>
      <c r="U266" s="55">
        <f t="shared" si="172"/>
        <v>3082</v>
      </c>
      <c r="V266" s="42">
        <f t="shared" si="216"/>
        <v>0.29072031148604804</v>
      </c>
      <c r="W266" s="55">
        <f t="shared" si="211"/>
        <v>3978</v>
      </c>
      <c r="X266" s="48">
        <f t="shared" si="212"/>
        <v>-75.999999999999801</v>
      </c>
      <c r="Y266" s="68">
        <v>1</v>
      </c>
      <c r="Z266" s="28">
        <f t="shared" si="218"/>
        <v>978.00000000000011</v>
      </c>
    </row>
    <row r="267" spans="1:26" ht="15" hidden="1" customHeight="1">
      <c r="A267" t="s">
        <v>23</v>
      </c>
      <c r="B267" t="s">
        <v>26</v>
      </c>
      <c r="C267" s="26">
        <v>48</v>
      </c>
      <c r="D267" t="s">
        <v>50</v>
      </c>
      <c r="E267" s="2">
        <v>64</v>
      </c>
      <c r="F267" s="1">
        <v>1.03</v>
      </c>
      <c r="G267" s="1">
        <v>36.299999999999997</v>
      </c>
      <c r="H267" s="11">
        <v>31.89</v>
      </c>
      <c r="I267" s="20">
        <v>29.58</v>
      </c>
      <c r="J267" s="20">
        <f t="shared" si="213"/>
        <v>6.7199999999999989</v>
      </c>
      <c r="K267" s="2">
        <f t="shared" si="207"/>
        <v>430.07999999999993</v>
      </c>
      <c r="L267" s="11">
        <v>31.88</v>
      </c>
      <c r="M267" s="20">
        <f t="shared" si="208"/>
        <v>4.4199999999999982</v>
      </c>
      <c r="N267" s="21" t="str">
        <f t="shared" si="209"/>
        <v>-</v>
      </c>
      <c r="O267" s="1">
        <f t="shared" si="170"/>
        <v>-0.65624999999999956</v>
      </c>
      <c r="P267" s="1" t="str">
        <f t="shared" si="171"/>
        <v/>
      </c>
      <c r="Q267" s="11"/>
      <c r="R267" s="11">
        <f>VLOOKUP(D267,prices!$A$2:$B$7,2)</f>
        <v>9.84</v>
      </c>
      <c r="S267" s="1">
        <f t="shared" si="202"/>
        <v>-283.26999999999975</v>
      </c>
      <c r="T267" s="1">
        <f t="shared" si="210"/>
        <v>-4.4099999999999966</v>
      </c>
      <c r="U267" s="1">
        <f t="shared" si="172"/>
        <v>2323.1999999999998</v>
      </c>
      <c r="V267" s="25">
        <f t="shared" si="216"/>
        <v>-0.12193095730027538</v>
      </c>
      <c r="W267" s="1">
        <f t="shared" si="211"/>
        <v>2040.96</v>
      </c>
      <c r="X267" s="6">
        <f t="shared" si="212"/>
        <v>0</v>
      </c>
      <c r="Y267"/>
    </row>
    <row r="268" spans="1:26" ht="15" hidden="1" customHeight="1">
      <c r="A268" t="s">
        <v>6</v>
      </c>
      <c r="B268" t="s">
        <v>26</v>
      </c>
      <c r="C268" s="34">
        <v>-1</v>
      </c>
      <c r="D268" t="s">
        <v>13</v>
      </c>
      <c r="E268" s="2">
        <v>70</v>
      </c>
      <c r="F268" s="1">
        <v>1.08</v>
      </c>
      <c r="G268" s="1">
        <v>45.43</v>
      </c>
      <c r="H268" s="11">
        <v>48.95</v>
      </c>
      <c r="I268" s="1">
        <v>44.31</v>
      </c>
      <c r="J268" s="1">
        <f>IF(AND(ISNUMBER(G268),ISNUMBER(I268)),G268-I268,"")</f>
        <v>1.1199999999999974</v>
      </c>
      <c r="K268" s="2" t="str">
        <f>IF((B268="open"),E268*J268,"-")</f>
        <v>-</v>
      </c>
      <c r="L268" s="11">
        <v>48.95</v>
      </c>
      <c r="M268" s="1">
        <f>IF(AND(ISNUMBER(G268),ISNUMBER(L268)),MAX(0,G268-L268),"")</f>
        <v>0</v>
      </c>
      <c r="N268" s="2" t="str">
        <f>IF(B268="open",M268*E268,"")</f>
        <v/>
      </c>
      <c r="O268" s="1">
        <f t="shared" si="170"/>
        <v>3.142857142857153</v>
      </c>
      <c r="P268" s="1" t="str">
        <f t="shared" si="171"/>
        <v/>
      </c>
      <c r="Q268" s="11"/>
      <c r="R268" s="11">
        <v>48.95</v>
      </c>
      <c r="S268" s="1">
        <f t="shared" si="202"/>
        <v>245.32000000000019</v>
      </c>
      <c r="T268" s="18"/>
      <c r="U268" s="1">
        <f t="shared" si="172"/>
        <v>3180.1</v>
      </c>
      <c r="V268"/>
      <c r="W268" s="1">
        <f t="shared" si="211"/>
        <v>3426.5</v>
      </c>
      <c r="X268" s="6">
        <f t="shared" si="212"/>
        <v>0</v>
      </c>
      <c r="Y268"/>
    </row>
    <row r="269" spans="1:26" ht="15" hidden="1" customHeight="1">
      <c r="A269" t="s">
        <v>23</v>
      </c>
      <c r="B269" t="s">
        <v>26</v>
      </c>
      <c r="C269" s="34">
        <v>67</v>
      </c>
      <c r="D269" t="s">
        <v>54</v>
      </c>
      <c r="E269" s="2">
        <v>96</v>
      </c>
      <c r="F269" s="1">
        <f>1+1.0294</f>
        <v>2.0293999999999999</v>
      </c>
      <c r="G269" s="1">
        <v>14.01</v>
      </c>
      <c r="H269" s="11">
        <v>16.66</v>
      </c>
      <c r="I269" s="20">
        <v>12.35</v>
      </c>
      <c r="J269" s="20">
        <f>IF(AND(ISNUMBER(G269),ISNUMBER(I269)),G269-I269,"-")</f>
        <v>1.6600000000000001</v>
      </c>
      <c r="K269" s="2">
        <f>IFERROR(E269*J269,"-")</f>
        <v>159.36000000000001</v>
      </c>
      <c r="L269" s="11">
        <v>16.66</v>
      </c>
      <c r="M269" s="20">
        <f>IF(AND(ISNUMBER(G269),ISNUMBER(L269)),MAX(0,G269-L269),"-")</f>
        <v>0</v>
      </c>
      <c r="N269" s="21" t="str">
        <f>IF(B269="open",M269*E269,"-")</f>
        <v>-</v>
      </c>
      <c r="O269" s="1">
        <f t="shared" si="170"/>
        <v>1.5963855421686748</v>
      </c>
      <c r="P269" s="1" t="str">
        <f t="shared" si="171"/>
        <v/>
      </c>
      <c r="Q269" s="11"/>
      <c r="R269" s="11">
        <v>16.66</v>
      </c>
      <c r="S269" s="1">
        <f t="shared" si="202"/>
        <v>252.37060000000002</v>
      </c>
      <c r="T269" s="1">
        <f>IF(ISNUMBER($E269),IF($B269="closed",($H269-$G269),($R269-$G269)),"")</f>
        <v>2.6500000000000004</v>
      </c>
      <c r="U269" s="1">
        <f t="shared" si="172"/>
        <v>1344.96</v>
      </c>
      <c r="V269" s="25">
        <f>S269/U269</f>
        <v>0.18764171425172496</v>
      </c>
      <c r="W269" s="1">
        <f t="shared" si="211"/>
        <v>1599.3600000000001</v>
      </c>
      <c r="X269" s="6">
        <f t="shared" si="212"/>
        <v>0</v>
      </c>
      <c r="Y269"/>
    </row>
    <row r="270" spans="1:26" ht="15" hidden="1" customHeight="1">
      <c r="A270" t="s">
        <v>6</v>
      </c>
      <c r="B270" t="s">
        <v>26</v>
      </c>
      <c r="C270" s="34">
        <v>-1</v>
      </c>
      <c r="D270" t="s">
        <v>14</v>
      </c>
      <c r="E270" s="2">
        <v>120</v>
      </c>
      <c r="F270" s="1">
        <v>1.06</v>
      </c>
      <c r="G270" s="1">
        <v>25.2</v>
      </c>
      <c r="H270" s="11">
        <v>24.25</v>
      </c>
      <c r="I270" s="1">
        <v>23.86</v>
      </c>
      <c r="J270" s="1">
        <f>IF(AND(ISNUMBER(G270),ISNUMBER(I270)),G270-I270,"")</f>
        <v>1.3399999999999999</v>
      </c>
      <c r="K270" s="2" t="str">
        <f>IF((B270="open"),E270*J270,"-")</f>
        <v>-</v>
      </c>
      <c r="L270" s="11">
        <f>U270</f>
        <v>3024</v>
      </c>
      <c r="M270" s="1">
        <f>IF(AND(ISNUMBER(G270),ISNUMBER(L270)),MAX(0,G270-L270),"")</f>
        <v>0</v>
      </c>
      <c r="N270" s="2" t="str">
        <f>IF(B270="open",M270*E270,"")</f>
        <v/>
      </c>
      <c r="O270" s="1">
        <f t="shared" si="170"/>
        <v>-0.70895522388059651</v>
      </c>
      <c r="P270" s="1" t="str">
        <f t="shared" si="171"/>
        <v/>
      </c>
      <c r="Q270" s="11"/>
      <c r="R270" s="11">
        <v>24.25</v>
      </c>
      <c r="S270" s="1">
        <f>IF(ISNUMBER(E270),IF(B270="closed",(H270-G270)*E270,(R270-G270)*E270),"")</f>
        <v>-113.99999999999991</v>
      </c>
      <c r="T270" s="18"/>
      <c r="U270" s="1">
        <f t="shared" si="172"/>
        <v>3024</v>
      </c>
      <c r="V270" s="1">
        <v>23.86</v>
      </c>
      <c r="W270" s="1">
        <f t="shared" si="211"/>
        <v>2910</v>
      </c>
      <c r="X270" s="6">
        <f t="shared" si="212"/>
        <v>0</v>
      </c>
      <c r="Y270"/>
    </row>
    <row r="271" spans="1:26" ht="15" hidden="1" customHeight="1">
      <c r="C271" s="26"/>
      <c r="E271" s="2"/>
      <c r="F271" s="1"/>
      <c r="G271" s="1"/>
      <c r="H271" s="11" t="s">
        <v>29</v>
      </c>
      <c r="I271" s="20"/>
      <c r="J271" s="20" t="str">
        <f t="shared" ref="J271:J278" si="219">IF(AND(ISNUMBER(G271),ISNUMBER(I271)),G271-I271,"-")</f>
        <v>-</v>
      </c>
      <c r="K271" s="2" t="str">
        <f t="shared" ref="K271:K278" si="220">IFERROR(E271*J271,"-")</f>
        <v>-</v>
      </c>
      <c r="L271" s="11">
        <f t="shared" ref="L271:L278" si="221">I271</f>
        <v>0</v>
      </c>
      <c r="M271" s="20" t="str">
        <f t="shared" ref="M271:M278" si="222">IF(AND(ISNUMBER(G271),ISNUMBER(L271)),MAX(0,G271-L271),"-")</f>
        <v>-</v>
      </c>
      <c r="N271" s="21" t="str">
        <f>IF(B271="open",M271*E271,"-")</f>
        <v>-</v>
      </c>
      <c r="O271" s="1" t="str">
        <f t="shared" si="170"/>
        <v/>
      </c>
      <c r="P271" s="1" t="str">
        <f t="shared" si="171"/>
        <v/>
      </c>
      <c r="Q271" s="11"/>
      <c r="R271" s="11"/>
      <c r="S271" s="1" t="str">
        <f t="shared" ref="S271:S278" si="223">IF(ISNUMBER(E271),IF(B271="closed",(H271-G271)*E271,(R271-G271)*E271)-F271,"")</f>
        <v/>
      </c>
      <c r="T271" s="1" t="str">
        <f t="shared" ref="T271:T278" si="224">IF(ISNUMBER($E271),IF($B271="closed",($H271-$G271),($R271-$G271)),"")</f>
        <v/>
      </c>
      <c r="U271" s="1">
        <f t="shared" si="172"/>
        <v>0</v>
      </c>
      <c r="V271"/>
      <c r="W271" s="1">
        <f t="shared" ref="W271:W278" si="225">E271*R271</f>
        <v>0</v>
      </c>
      <c r="X271"/>
      <c r="Y271"/>
    </row>
    <row r="272" spans="1:26">
      <c r="A272" t="s">
        <v>23</v>
      </c>
      <c r="B272" t="s">
        <v>25</v>
      </c>
      <c r="C272" t="s">
        <v>62</v>
      </c>
      <c r="E272" s="2">
        <v>71043</v>
      </c>
      <c r="F272" s="1"/>
      <c r="G272" s="1">
        <v>1</v>
      </c>
      <c r="H272" s="11" t="s">
        <v>29</v>
      </c>
      <c r="I272" s="20"/>
      <c r="J272" s="20" t="str">
        <f t="shared" si="219"/>
        <v>-</v>
      </c>
      <c r="K272" s="2" t="str">
        <f t="shared" si="220"/>
        <v>-</v>
      </c>
      <c r="L272" s="11">
        <f t="shared" si="221"/>
        <v>0</v>
      </c>
      <c r="M272" s="20">
        <f t="shared" si="222"/>
        <v>1</v>
      </c>
      <c r="N272" s="21"/>
      <c r="O272" s="1" t="str">
        <f t="shared" si="170"/>
        <v/>
      </c>
      <c r="P272" s="1"/>
      <c r="Q272" s="11"/>
      <c r="R272" s="11">
        <v>1</v>
      </c>
      <c r="S272" s="55">
        <f t="shared" si="223"/>
        <v>0</v>
      </c>
      <c r="T272" s="55">
        <f t="shared" si="224"/>
        <v>0</v>
      </c>
      <c r="U272" s="55">
        <f t="shared" si="172"/>
        <v>71043</v>
      </c>
      <c r="W272" s="55">
        <f t="shared" si="225"/>
        <v>71043</v>
      </c>
    </row>
    <row r="273" spans="1:26">
      <c r="A273" t="s">
        <v>6</v>
      </c>
      <c r="B273" t="s">
        <v>25</v>
      </c>
      <c r="C273" t="s">
        <v>62</v>
      </c>
      <c r="E273" s="2">
        <v>7762</v>
      </c>
      <c r="F273" s="1"/>
      <c r="G273" s="1">
        <v>1</v>
      </c>
      <c r="H273" s="11" t="s">
        <v>29</v>
      </c>
      <c r="I273" s="20"/>
      <c r="J273" s="20" t="str">
        <f t="shared" si="219"/>
        <v>-</v>
      </c>
      <c r="K273" s="2" t="str">
        <f t="shared" si="220"/>
        <v>-</v>
      </c>
      <c r="L273" s="11">
        <f t="shared" si="221"/>
        <v>0</v>
      </c>
      <c r="M273" s="20">
        <f t="shared" si="222"/>
        <v>1</v>
      </c>
      <c r="N273" s="21">
        <f>IF(B273="open",M273*E273,"-")</f>
        <v>7762</v>
      </c>
      <c r="O273" s="1" t="str">
        <f t="shared" si="170"/>
        <v/>
      </c>
      <c r="P273" s="1"/>
      <c r="Q273" s="11"/>
      <c r="R273" s="11">
        <v>1</v>
      </c>
      <c r="S273" s="55">
        <f t="shared" si="223"/>
        <v>0</v>
      </c>
      <c r="T273" s="55">
        <f t="shared" si="224"/>
        <v>0</v>
      </c>
      <c r="U273" s="55">
        <f t="shared" si="172"/>
        <v>7762</v>
      </c>
      <c r="W273" s="55">
        <f t="shared" si="225"/>
        <v>7762</v>
      </c>
    </row>
    <row r="274" spans="1:26">
      <c r="A274" t="s">
        <v>55</v>
      </c>
      <c r="B274" t="s">
        <v>25</v>
      </c>
      <c r="C274" t="s">
        <v>62</v>
      </c>
      <c r="E274" s="2">
        <v>2272.7399999999998</v>
      </c>
      <c r="F274" s="1"/>
      <c r="G274" s="1">
        <v>1</v>
      </c>
      <c r="H274" s="11" t="s">
        <v>29</v>
      </c>
      <c r="I274" s="20"/>
      <c r="J274" s="20" t="str">
        <f t="shared" si="219"/>
        <v>-</v>
      </c>
      <c r="K274" s="2" t="str">
        <f t="shared" si="220"/>
        <v>-</v>
      </c>
      <c r="L274" s="11">
        <f t="shared" si="221"/>
        <v>0</v>
      </c>
      <c r="M274" s="20">
        <f t="shared" si="222"/>
        <v>1</v>
      </c>
      <c r="N274" s="21"/>
      <c r="O274" s="1" t="str">
        <f t="shared" si="170"/>
        <v/>
      </c>
      <c r="P274" s="1"/>
      <c r="Q274" s="11"/>
      <c r="R274" s="11">
        <v>1</v>
      </c>
      <c r="S274" s="55">
        <f t="shared" si="223"/>
        <v>0</v>
      </c>
      <c r="T274" s="55">
        <f t="shared" si="224"/>
        <v>0</v>
      </c>
      <c r="U274" s="28">
        <f t="shared" si="172"/>
        <v>2272.7399999999998</v>
      </c>
      <c r="W274" s="28">
        <f t="shared" si="225"/>
        <v>2272.7399999999998</v>
      </c>
    </row>
    <row r="275" spans="1:26">
      <c r="A275" t="s">
        <v>56</v>
      </c>
      <c r="B275" t="s">
        <v>25</v>
      </c>
      <c r="C275" t="s">
        <v>62</v>
      </c>
      <c r="E275" s="2">
        <v>806</v>
      </c>
      <c r="F275" s="1"/>
      <c r="G275" s="1">
        <v>1</v>
      </c>
      <c r="H275" s="11" t="s">
        <v>29</v>
      </c>
      <c r="I275" s="20"/>
      <c r="J275" s="20" t="str">
        <f t="shared" si="219"/>
        <v>-</v>
      </c>
      <c r="K275" s="2" t="str">
        <f t="shared" si="220"/>
        <v>-</v>
      </c>
      <c r="L275" s="11">
        <f t="shared" si="221"/>
        <v>0</v>
      </c>
      <c r="M275" s="20">
        <f t="shared" si="222"/>
        <v>1</v>
      </c>
      <c r="N275" s="21"/>
      <c r="O275" s="1" t="str">
        <f t="shared" si="170"/>
        <v/>
      </c>
      <c r="P275" s="1"/>
      <c r="Q275" s="11"/>
      <c r="R275" s="11">
        <v>1</v>
      </c>
      <c r="S275" s="55">
        <f t="shared" si="223"/>
        <v>0</v>
      </c>
      <c r="T275" s="55">
        <f t="shared" si="224"/>
        <v>0</v>
      </c>
      <c r="U275" s="28">
        <f t="shared" si="172"/>
        <v>806</v>
      </c>
      <c r="W275" s="28">
        <f t="shared" si="225"/>
        <v>806</v>
      </c>
    </row>
    <row r="276" spans="1:26">
      <c r="A276" t="s">
        <v>57</v>
      </c>
      <c r="B276" t="s">
        <v>25</v>
      </c>
      <c r="C276" t="s">
        <v>62</v>
      </c>
      <c r="E276" s="2">
        <v>8824</v>
      </c>
      <c r="F276" s="1"/>
      <c r="G276" s="1">
        <v>1</v>
      </c>
      <c r="H276" s="11" t="s">
        <v>29</v>
      </c>
      <c r="I276" s="20"/>
      <c r="J276" s="20" t="str">
        <f t="shared" si="219"/>
        <v>-</v>
      </c>
      <c r="K276" s="2" t="str">
        <f t="shared" si="220"/>
        <v>-</v>
      </c>
      <c r="L276" s="11">
        <f t="shared" si="221"/>
        <v>0</v>
      </c>
      <c r="M276" s="20">
        <f t="shared" si="222"/>
        <v>1</v>
      </c>
      <c r="N276" s="21"/>
      <c r="O276" s="1" t="str">
        <f t="shared" si="170"/>
        <v/>
      </c>
      <c r="P276" s="1"/>
      <c r="Q276" s="11"/>
      <c r="R276" s="11">
        <v>1</v>
      </c>
      <c r="S276" s="55">
        <f t="shared" si="223"/>
        <v>0</v>
      </c>
      <c r="T276" s="55">
        <f t="shared" si="224"/>
        <v>0</v>
      </c>
      <c r="U276" s="28">
        <f t="shared" si="172"/>
        <v>8824</v>
      </c>
      <c r="W276" s="28">
        <f t="shared" si="225"/>
        <v>8824</v>
      </c>
    </row>
    <row r="277" spans="1:26">
      <c r="A277" t="s">
        <v>58</v>
      </c>
      <c r="B277" t="s">
        <v>25</v>
      </c>
      <c r="C277" t="s">
        <v>62</v>
      </c>
      <c r="E277" s="2">
        <v>10442</v>
      </c>
      <c r="F277" s="1"/>
      <c r="G277" s="1">
        <v>1</v>
      </c>
      <c r="H277" s="11" t="s">
        <v>29</v>
      </c>
      <c r="I277" s="20"/>
      <c r="J277" s="20" t="str">
        <f t="shared" si="219"/>
        <v>-</v>
      </c>
      <c r="K277" s="2" t="str">
        <f t="shared" si="220"/>
        <v>-</v>
      </c>
      <c r="L277" s="11">
        <f t="shared" si="221"/>
        <v>0</v>
      </c>
      <c r="M277" s="20">
        <f t="shared" si="222"/>
        <v>1</v>
      </c>
      <c r="N277" s="21"/>
      <c r="O277" s="1" t="str">
        <f t="shared" si="170"/>
        <v/>
      </c>
      <c r="P277" s="1"/>
      <c r="Q277" s="11"/>
      <c r="R277" s="11">
        <v>1</v>
      </c>
      <c r="S277" s="55">
        <f t="shared" si="223"/>
        <v>0</v>
      </c>
      <c r="T277" s="55">
        <f t="shared" si="224"/>
        <v>0</v>
      </c>
      <c r="U277" s="28">
        <f t="shared" si="172"/>
        <v>10442</v>
      </c>
      <c r="W277" s="28">
        <f t="shared" si="225"/>
        <v>10442</v>
      </c>
    </row>
    <row r="278" spans="1:26">
      <c r="A278" t="s">
        <v>59</v>
      </c>
      <c r="B278" t="s">
        <v>25</v>
      </c>
      <c r="C278" t="s">
        <v>62</v>
      </c>
      <c r="E278" s="2">
        <v>14011.94</v>
      </c>
      <c r="F278" s="1"/>
      <c r="G278" s="1">
        <v>1</v>
      </c>
      <c r="H278" s="11" t="s">
        <v>29</v>
      </c>
      <c r="I278" s="20"/>
      <c r="J278" s="20" t="str">
        <f t="shared" si="219"/>
        <v>-</v>
      </c>
      <c r="K278" s="2" t="str">
        <f t="shared" si="220"/>
        <v>-</v>
      </c>
      <c r="L278" s="11">
        <f t="shared" si="221"/>
        <v>0</v>
      </c>
      <c r="M278" s="20">
        <f t="shared" si="222"/>
        <v>1</v>
      </c>
      <c r="N278" s="21"/>
      <c r="O278" s="1" t="str">
        <f t="shared" si="170"/>
        <v/>
      </c>
      <c r="P278" s="1"/>
      <c r="Q278" s="11"/>
      <c r="R278" s="11">
        <v>1</v>
      </c>
      <c r="S278" s="55">
        <f t="shared" si="223"/>
        <v>0</v>
      </c>
      <c r="T278" s="55">
        <f t="shared" si="224"/>
        <v>0</v>
      </c>
      <c r="U278" s="28">
        <f t="shared" si="172"/>
        <v>14011.94</v>
      </c>
      <c r="W278" s="28">
        <f t="shared" si="225"/>
        <v>14011.94</v>
      </c>
    </row>
    <row r="279" spans="1:26" ht="15" customHeight="1">
      <c r="B279" t="s">
        <v>137</v>
      </c>
      <c r="F279" t="s">
        <v>45</v>
      </c>
      <c r="G279" t="s">
        <v>46</v>
      </c>
      <c r="K279" s="2">
        <f>SUMIF($B2:$B278,"open",K2:K278)</f>
        <v>12772.630599999999</v>
      </c>
      <c r="N279" s="2">
        <f>SUMIF($B2:$B271,"open",N2:N271)</f>
        <v>9189.5505999999968</v>
      </c>
      <c r="O279" s="1">
        <f>SUM(O3:O278)</f>
        <v>16.054788729418394</v>
      </c>
      <c r="P279" s="1">
        <f>SUM(P3:P278)</f>
        <v>14.921037284722679</v>
      </c>
      <c r="Q279" s="1">
        <f>P279/COUNTIF($B$3:$B278,"open")</f>
        <v>0.64874075150968169</v>
      </c>
      <c r="R279" t="s">
        <v>23</v>
      </c>
      <c r="S279" s="2">
        <f>W279-U279</f>
        <v>2095.2839999999997</v>
      </c>
      <c r="T279" s="22"/>
      <c r="U279" s="2">
        <f>SUMIFS(U$3:U278,$B$3:$B278,"open",$A$3:$A278,$R279)</f>
        <v>88263.906000000003</v>
      </c>
      <c r="V279" s="27">
        <f>(W279-U279)/U279</f>
        <v>2.3738854249210312E-2</v>
      </c>
      <c r="W279" s="2">
        <f>SUMIFS(W$3:W278,$B$3:$B278,"open",$A$3:$A278,$R279)</f>
        <v>90359.19</v>
      </c>
      <c r="X279"/>
      <c r="Y279"/>
    </row>
    <row r="280" spans="1:26" ht="15" customHeight="1">
      <c r="B280" t="s">
        <v>137</v>
      </c>
      <c r="C280"/>
      <c r="E280" s="2"/>
      <c r="F280" s="2"/>
      <c r="G280" s="2"/>
      <c r="P280" s="9">
        <f>O279+P279</f>
        <v>30.975826014141074</v>
      </c>
      <c r="Q280" s="1">
        <f>P280/(COUNTIF($B$3:$B278,"open")+COUNTIF($B$3:$B278,"closed"))</f>
        <v>0.11515176956929767</v>
      </c>
      <c r="R280" t="s">
        <v>6</v>
      </c>
      <c r="S280" s="2">
        <f>W280-U280</f>
        <v>113.48540000000139</v>
      </c>
      <c r="T280" s="23"/>
      <c r="U280" s="2">
        <f>SUMIFS(U$3:U278,$B$3:$B278,"open",$A$3:$A278,$R280)</f>
        <v>11000.374599999999</v>
      </c>
      <c r="V280" s="27">
        <f>(W280-U280)/U280</f>
        <v>1.0316503221626781E-2</v>
      </c>
      <c r="W280" s="2">
        <f>SUMIFS(W$3:W278,$B$3:$B278,"open",$A$3:$A278,$R280)</f>
        <v>11113.86</v>
      </c>
      <c r="X280"/>
      <c r="Y280"/>
    </row>
    <row r="281" spans="1:26">
      <c r="C281"/>
      <c r="E281" s="2"/>
      <c r="F281" s="2"/>
      <c r="G281" s="2"/>
      <c r="N281" s="28">
        <f>SUMIFS(N$3:N$271,$B$3:$B$271,"open")</f>
        <v>9189.5505999999968</v>
      </c>
      <c r="O281" s="62">
        <f>N281/W281</f>
        <v>0.11057220122236987</v>
      </c>
      <c r="P281" s="9"/>
      <c r="Q281" s="1"/>
      <c r="S281" s="28"/>
      <c r="T281" s="69"/>
      <c r="U281" s="28"/>
      <c r="V281" s="33"/>
      <c r="W281" s="28">
        <f>SUMIFS(W$3:W$271,$B$3:$B$271,"open")</f>
        <v>83109.049999999988</v>
      </c>
      <c r="Z281" s="28">
        <f>SUMIFS(Z$3:Z$271,$B$3:$B$271,"open")</f>
        <v>-2720.9200000000019</v>
      </c>
    </row>
    <row r="282" spans="1:26">
      <c r="C282"/>
      <c r="E282" s="2"/>
      <c r="F282" s="2"/>
      <c r="G282" s="2"/>
      <c r="P282" s="9"/>
      <c r="Q282" s="1"/>
      <c r="S282" s="28"/>
      <c r="T282" s="69"/>
      <c r="U282" s="28"/>
      <c r="V282" s="33"/>
      <c r="W282" s="28"/>
    </row>
    <row r="283" spans="1:26">
      <c r="C283" s="29" t="s">
        <v>23</v>
      </c>
      <c r="D283" s="29"/>
      <c r="E283" s="28">
        <f t="shared" ref="E283:E289" si="226">SUMIFS($E$3:$E$271,$B$3:$B$271,"open",$A$3:$A$271,$C283)</f>
        <v>1361</v>
      </c>
      <c r="F283" s="28">
        <v>1361</v>
      </c>
      <c r="G283" s="28">
        <f t="shared" ref="G283" si="227">E283-F283</f>
        <v>0</v>
      </c>
      <c r="H283" s="28">
        <f t="shared" ref="H283:H289" si="228">SUMIFS($W$3:$W$271,$B$3:$B$271,"open",$A$3:$A$271,$C283)</f>
        <v>19316.190000000002</v>
      </c>
      <c r="N283" s="28"/>
      <c r="Q283" s="1"/>
      <c r="R283" t="s">
        <v>55</v>
      </c>
      <c r="S283" s="28">
        <f t="shared" ref="S283:S287" si="229">W283-U283</f>
        <v>-1170</v>
      </c>
      <c r="T283" s="45"/>
      <c r="U283" s="28">
        <f>SUMIFS(U$3:U278,$B$3:$B278,"open",$A$3:$A278,$R283)</f>
        <v>11452.74</v>
      </c>
      <c r="V283" s="33">
        <f t="shared" ref="V283:V287" si="230">(W283-U283)/U283</f>
        <v>-0.10215895934073418</v>
      </c>
      <c r="W283" s="28">
        <f>SUMIFS(W$2:W280,$B$2:$B280,"open",$A$2:$A280,$R283)</f>
        <v>10282.74</v>
      </c>
      <c r="Y283" s="48">
        <f>SUM(X51:X58)</f>
        <v>0</v>
      </c>
    </row>
    <row r="284" spans="1:26">
      <c r="C284" s="29" t="s">
        <v>6</v>
      </c>
      <c r="D284" s="29"/>
      <c r="E284" s="28">
        <f t="shared" si="226"/>
        <v>150</v>
      </c>
      <c r="F284" s="28">
        <v>150</v>
      </c>
      <c r="G284" s="28">
        <f t="shared" ref="G284:G289" si="231">E284-F284</f>
        <v>0</v>
      </c>
      <c r="H284" s="28">
        <f t="shared" si="228"/>
        <v>3351.86</v>
      </c>
      <c r="I284" s="6"/>
      <c r="K284" s="6"/>
      <c r="R284" t="s">
        <v>56</v>
      </c>
      <c r="S284" s="28">
        <f t="shared" si="229"/>
        <v>-800</v>
      </c>
      <c r="T284" s="45"/>
      <c r="U284" s="28">
        <f>SUMIFS(U$2:U283,$B$2:$B283,"open",$A$2:$A283,$R284)</f>
        <v>5611</v>
      </c>
      <c r="V284" s="33">
        <f t="shared" si="230"/>
        <v>-0.14257708073427197</v>
      </c>
      <c r="W284" s="28">
        <f>SUMIFS(W$2:W283,$B$2:$B283,"open",$A$2:$A283,$R284)</f>
        <v>4811</v>
      </c>
      <c r="Y284" s="48">
        <f>SUM(X142:X150)</f>
        <v>0</v>
      </c>
    </row>
    <row r="285" spans="1:26">
      <c r="C285" s="29" t="s">
        <v>55</v>
      </c>
      <c r="D285" s="29"/>
      <c r="E285" s="28">
        <f t="shared" si="226"/>
        <v>1000</v>
      </c>
      <c r="F285" s="28"/>
      <c r="G285" s="28">
        <f t="shared" si="231"/>
        <v>1000</v>
      </c>
      <c r="H285" s="28">
        <f t="shared" si="228"/>
        <v>8010</v>
      </c>
      <c r="R285" t="s">
        <v>57</v>
      </c>
      <c r="S285" s="28">
        <f t="shared" si="229"/>
        <v>-6274</v>
      </c>
      <c r="T285" s="45"/>
      <c r="U285" s="28">
        <f>SUMIFS(U$2:U284,$B$2:$B284,"open",$A$2:$A284,$R285)</f>
        <v>40112</v>
      </c>
      <c r="V285" s="33">
        <f t="shared" si="230"/>
        <v>-0.15641204627044275</v>
      </c>
      <c r="W285" s="28">
        <f>SUMIFS(W$2:W284,$B$2:$B284,"open",$A$2:$A284,$R285)</f>
        <v>33838</v>
      </c>
    </row>
    <row r="286" spans="1:26">
      <c r="C286" s="29" t="s">
        <v>56</v>
      </c>
      <c r="D286" s="29"/>
      <c r="E286" s="28">
        <f t="shared" si="226"/>
        <v>500</v>
      </c>
      <c r="F286" s="28"/>
      <c r="G286" s="28">
        <f t="shared" si="231"/>
        <v>500</v>
      </c>
      <c r="H286" s="28">
        <f t="shared" si="228"/>
        <v>4005</v>
      </c>
      <c r="I286" s="1"/>
      <c r="R286" t="s">
        <v>58</v>
      </c>
      <c r="S286" s="28">
        <f t="shared" si="229"/>
        <v>-2104</v>
      </c>
      <c r="T286" s="45"/>
      <c r="U286" s="28">
        <f>SUMIFS(U$2:U285,$B$2:$B285,"open",$A$2:$A285,$R286)</f>
        <v>27948</v>
      </c>
      <c r="V286" s="33">
        <f t="shared" si="230"/>
        <v>-7.5282667811650203E-2</v>
      </c>
      <c r="W286" s="28">
        <f>SUMIFS(W$2:W285,$B$2:$B285,"open",$A$2:$A285,$R286)</f>
        <v>25844</v>
      </c>
    </row>
    <row r="287" spans="1:26">
      <c r="C287" s="29" t="s">
        <v>57</v>
      </c>
      <c r="D287" s="29"/>
      <c r="E287" s="28">
        <f t="shared" si="226"/>
        <v>2600</v>
      </c>
      <c r="F287" s="28"/>
      <c r="G287" s="28">
        <f t="shared" si="231"/>
        <v>2600</v>
      </c>
      <c r="H287" s="28">
        <f t="shared" si="228"/>
        <v>25014</v>
      </c>
      <c r="R287" t="s">
        <v>59</v>
      </c>
      <c r="S287" s="28">
        <f t="shared" si="229"/>
        <v>-1260</v>
      </c>
      <c r="T287" s="45"/>
      <c r="U287" s="28">
        <f>SUMIFS(U$2:U286,$B$2:$B286,"open",$A$2:$A286,$R287)</f>
        <v>23281.940000000002</v>
      </c>
      <c r="V287" s="33">
        <f t="shared" si="230"/>
        <v>-5.4119201406755614E-2</v>
      </c>
      <c r="W287" s="28">
        <f>SUMIFS(W$2:W286,$B$2:$B286,"open",$A$2:$A286,$R287)</f>
        <v>22021.940000000002</v>
      </c>
    </row>
    <row r="288" spans="1:26">
      <c r="C288" s="29" t="s">
        <v>58</v>
      </c>
      <c r="D288" s="29"/>
      <c r="E288" s="28">
        <f t="shared" si="226"/>
        <v>1400</v>
      </c>
      <c r="F288" s="28"/>
      <c r="G288" s="28">
        <f t="shared" si="231"/>
        <v>1400</v>
      </c>
      <c r="H288" s="28">
        <f t="shared" si="228"/>
        <v>15402</v>
      </c>
      <c r="K288" s="6"/>
      <c r="L288" s="9"/>
      <c r="S288" s="64">
        <f>SUM(S279:S280)</f>
        <v>2208.769400000001</v>
      </c>
      <c r="T288" s="70"/>
      <c r="U288" s="64">
        <f>SUM(U279:U280)</f>
        <v>99264.280599999998</v>
      </c>
      <c r="V288" s="71">
        <f>SUMPRODUCT(U279:U280,V279:V280)/U288</f>
        <v>2.2251401880406124E-2</v>
      </c>
      <c r="W288" s="64">
        <f>SUM(W279:W280)</f>
        <v>101473.05</v>
      </c>
      <c r="X288" s="29" t="s">
        <v>61</v>
      </c>
    </row>
    <row r="289" spans="1:25">
      <c r="C289" s="29" t="s">
        <v>59</v>
      </c>
      <c r="D289" s="29"/>
      <c r="E289" s="28">
        <f t="shared" si="226"/>
        <v>1000</v>
      </c>
      <c r="F289" s="28"/>
      <c r="G289" s="28">
        <f t="shared" si="231"/>
        <v>1000</v>
      </c>
      <c r="H289" s="28">
        <f t="shared" si="228"/>
        <v>8010</v>
      </c>
      <c r="S289" s="64">
        <f>SUM(S283:S287)</f>
        <v>-11608</v>
      </c>
      <c r="T289" s="45"/>
      <c r="U289" s="64">
        <f>SUM(U283:U287)</f>
        <v>108405.68</v>
      </c>
      <c r="V289" s="71">
        <f>SUMPRODUCT(U283:U287,V283:V287)/U289</f>
        <v>-0.10707926005353226</v>
      </c>
      <c r="W289" s="64">
        <f>SUM(W283:W287)</f>
        <v>96797.68</v>
      </c>
      <c r="X289" s="29" t="s">
        <v>60</v>
      </c>
    </row>
    <row r="290" spans="1:25">
      <c r="A290" s="6"/>
      <c r="E290" s="48">
        <f>SUM(E283:E289)</f>
        <v>8011</v>
      </c>
      <c r="F290" s="48">
        <f>SUM(F283:F289)</f>
        <v>1511</v>
      </c>
      <c r="G290" s="48">
        <f>SUM(G283:G289)</f>
        <v>6500</v>
      </c>
      <c r="N290" s="29"/>
      <c r="O290" s="29"/>
      <c r="P290" s="29"/>
      <c r="Q290" s="29"/>
      <c r="R290" s="45"/>
      <c r="X290" s="118" t="s">
        <v>30</v>
      </c>
      <c r="Y290" s="118"/>
    </row>
    <row r="291" spans="1:25">
      <c r="C291" s="28"/>
      <c r="D291" s="53" t="s">
        <v>82</v>
      </c>
      <c r="E291" s="38" t="s">
        <v>63</v>
      </c>
      <c r="F291" s="39" t="s">
        <v>64</v>
      </c>
      <c r="G291" s="39" t="s">
        <v>65</v>
      </c>
      <c r="H291" s="41" t="s">
        <v>5</v>
      </c>
      <c r="I291" s="40" t="s">
        <v>66</v>
      </c>
      <c r="J291" s="39"/>
      <c r="K291" s="39" t="s">
        <v>68</v>
      </c>
      <c r="L291" s="39" t="s">
        <v>69</v>
      </c>
      <c r="M291" s="46" t="s">
        <v>71</v>
      </c>
      <c r="N291" s="39" t="s">
        <v>26</v>
      </c>
      <c r="O291" s="39"/>
      <c r="P291" s="39"/>
      <c r="Q291" s="39"/>
      <c r="R291" s="32" t="s">
        <v>91</v>
      </c>
      <c r="S291" s="60"/>
      <c r="T291" s="60"/>
      <c r="U291" s="60"/>
      <c r="V291" s="60"/>
      <c r="W291" s="60"/>
      <c r="X291" s="60"/>
      <c r="Y291" s="60"/>
    </row>
    <row r="292" spans="1:25">
      <c r="C292" s="53" t="s">
        <v>110</v>
      </c>
      <c r="D292" s="55" t="str">
        <f t="shared" ref="D292:D302" si="232">IFERROR(F292/E292,"")</f>
        <v/>
      </c>
      <c r="E292" s="28">
        <f t="shared" ref="E292:E305" si="233">SUMIFS($E$3:$E$271,$B$3:$B$271,"open",$D$3:$D$271,$C292)</f>
        <v>0</v>
      </c>
      <c r="F292" s="28">
        <f t="shared" ref="F292:F305" si="234">SUMIFS($U$3:$U$267,$B$3:$B$267,"open",$D$3:$D$267,$C292)</f>
        <v>0</v>
      </c>
      <c r="G292" s="28">
        <f t="shared" ref="G292:G305" si="235">SUMIFS($W$3:$W$267,$B$3:$B$267,"open",$D$3:$D$267,$C292)</f>
        <v>0</v>
      </c>
      <c r="H292" s="28">
        <f t="shared" ref="H292:H305" si="236">SUMIFS($N$3:$N$267,$B$3:$B$267,"open",$D$3:$D$267,$C292)</f>
        <v>0</v>
      </c>
      <c r="I292" s="28">
        <f t="shared" ref="I292:I293" si="237">G292-F292</f>
        <v>0</v>
      </c>
      <c r="J292" s="33" t="str">
        <f t="shared" ref="J292:J302" si="238">IFERROR(I292/F292,"")</f>
        <v/>
      </c>
      <c r="K292" s="33">
        <f>G292/G$306</f>
        <v>0</v>
      </c>
      <c r="L292" s="42">
        <f>H292/G$306</f>
        <v>0</v>
      </c>
      <c r="M292" s="42">
        <f t="shared" ref="M292:M305" si="239">H292/($G$306+$G$307)</f>
        <v>0</v>
      </c>
      <c r="N292" s="28">
        <f t="shared" ref="N292:N305" si="240">SUMIFS($S$3:$S$267,$B$3:$B$267,"closed",$D$3:$D$267,$C292)</f>
        <v>122.11000000000051</v>
      </c>
      <c r="O292" s="28"/>
      <c r="P292" s="28"/>
      <c r="Q292" s="28"/>
      <c r="R292" s="28"/>
      <c r="S292" s="28"/>
      <c r="T292" s="28"/>
      <c r="U292" s="28" t="s">
        <v>47</v>
      </c>
      <c r="V292" s="48"/>
      <c r="W292" s="48" t="s">
        <v>53</v>
      </c>
      <c r="X292" s="29" t="s">
        <v>90</v>
      </c>
      <c r="Y292" s="29" t="s">
        <v>30</v>
      </c>
    </row>
    <row r="293" spans="1:25">
      <c r="C293" s="30" t="s">
        <v>138</v>
      </c>
      <c r="D293" s="55" t="str">
        <f t="shared" si="232"/>
        <v/>
      </c>
      <c r="E293" s="28">
        <f t="shared" si="233"/>
        <v>0</v>
      </c>
      <c r="F293" s="28">
        <f t="shared" si="234"/>
        <v>0</v>
      </c>
      <c r="G293" s="28">
        <f t="shared" si="235"/>
        <v>0</v>
      </c>
      <c r="H293" s="28">
        <f t="shared" si="236"/>
        <v>0</v>
      </c>
      <c r="I293" s="28">
        <f t="shared" si="237"/>
        <v>0</v>
      </c>
      <c r="J293" s="33" t="str">
        <f t="shared" si="238"/>
        <v/>
      </c>
      <c r="K293" s="33">
        <f t="shared" ref="K293:K305" si="241">G293/G$306</f>
        <v>0</v>
      </c>
      <c r="L293" s="42">
        <f t="shared" ref="L293:L305" si="242">H293/G$306</f>
        <v>0</v>
      </c>
      <c r="M293" s="42">
        <f t="shared" si="239"/>
        <v>0</v>
      </c>
      <c r="N293" s="28" t="e">
        <f t="shared" si="240"/>
        <v>#REF!</v>
      </c>
      <c r="O293" s="28"/>
      <c r="P293" s="28"/>
      <c r="Q293" s="28"/>
      <c r="R293" s="29" t="s">
        <v>23</v>
      </c>
      <c r="S293" s="28">
        <f>E272+W293</f>
        <v>90359.19</v>
      </c>
      <c r="T293" s="28"/>
      <c r="U293" s="28">
        <f>SUMIFS(U$3:U271,$B$3:$B271,"open",$A$3:$A271,$R293)</f>
        <v>17220.905999999999</v>
      </c>
      <c r="V293" s="48"/>
      <c r="W293" s="28">
        <f>SUMIFS(W$3:W271,$B$3:$B271,"open",$A$3:$A271,$R293)</f>
        <v>19316.190000000002</v>
      </c>
      <c r="X293" s="28">
        <f>SUMIFS(X$3:X271,$B$3:$B271,"open",$A$3:$A271,$R293)</f>
        <v>472.53600000000057</v>
      </c>
      <c r="Y293" s="48">
        <f t="shared" ref="Y293:Y299" si="243">W293-U293</f>
        <v>2095.2840000000033</v>
      </c>
    </row>
    <row r="294" spans="1:25">
      <c r="C294" s="30" t="s">
        <v>140</v>
      </c>
      <c r="D294" s="55">
        <f t="shared" si="232"/>
        <v>6.96</v>
      </c>
      <c r="E294" s="28">
        <f t="shared" si="233"/>
        <v>820</v>
      </c>
      <c r="F294" s="28">
        <f t="shared" si="234"/>
        <v>5707.2</v>
      </c>
      <c r="G294" s="28">
        <f t="shared" si="235"/>
        <v>7421.0000000000009</v>
      </c>
      <c r="H294" s="28">
        <f t="shared" si="236"/>
        <v>229.60000000000019</v>
      </c>
      <c r="I294" s="28">
        <f t="shared" ref="I294" si="244">G294-F294</f>
        <v>1713.8000000000011</v>
      </c>
      <c r="J294" s="33">
        <f t="shared" si="238"/>
        <v>0.30028735632183928</v>
      </c>
      <c r="K294" s="33">
        <f t="shared" si="241"/>
        <v>9.959885323751301E-2</v>
      </c>
      <c r="L294" s="42">
        <f t="shared" si="242"/>
        <v>3.0815114813816202E-3</v>
      </c>
      <c r="M294" s="42">
        <f t="shared" si="239"/>
        <v>2.7157575325308385E-3</v>
      </c>
      <c r="N294" s="28">
        <f t="shared" si="240"/>
        <v>0</v>
      </c>
      <c r="O294" s="28"/>
      <c r="P294" s="28"/>
      <c r="Q294" s="28"/>
      <c r="R294" s="29" t="s">
        <v>6</v>
      </c>
      <c r="S294" s="28">
        <f>E273+W294</f>
        <v>11113.86</v>
      </c>
      <c r="T294" s="28"/>
      <c r="U294" s="28">
        <f>SUMIFS(U$3:U272,$B$3:$B272,"open",$A$3:$A272,$R294)</f>
        <v>3238.3746000000001</v>
      </c>
      <c r="V294" s="48"/>
      <c r="W294" s="28">
        <f>SUMIFS(W$3:W272,$B$3:$B272,"open",$A$3:$A272,$R294)</f>
        <v>3351.86</v>
      </c>
      <c r="X294" s="28">
        <f>SUMIFS(X$3:X272,$B$3:$B272,"open",$A$3:$A272,$R294)</f>
        <v>-16.257999999999932</v>
      </c>
      <c r="Y294" s="48">
        <f t="shared" si="243"/>
        <v>113.48540000000003</v>
      </c>
    </row>
    <row r="295" spans="1:25">
      <c r="C295" s="30" t="s">
        <v>78</v>
      </c>
      <c r="D295" s="55">
        <f t="shared" si="232"/>
        <v>20.018999999999998</v>
      </c>
      <c r="E295" s="28">
        <f t="shared" si="233"/>
        <v>204</v>
      </c>
      <c r="F295" s="28">
        <f t="shared" si="234"/>
        <v>4083.8759999999997</v>
      </c>
      <c r="G295" s="28">
        <f t="shared" si="235"/>
        <v>4716.4799999999996</v>
      </c>
      <c r="H295" s="28">
        <f t="shared" si="236"/>
        <v>95.675999999999533</v>
      </c>
      <c r="I295" s="28">
        <f t="shared" ref="I295:I300" si="245">G295-F295</f>
        <v>632.60399999999981</v>
      </c>
      <c r="J295" s="33">
        <f t="shared" si="238"/>
        <v>0.15490284229981513</v>
      </c>
      <c r="K295" s="33">
        <f t="shared" si="241"/>
        <v>6.3300902751336111E-2</v>
      </c>
      <c r="L295" s="42">
        <f t="shared" si="242"/>
        <v>1.2840883819366996E-3</v>
      </c>
      <c r="M295" s="42">
        <f t="shared" si="239"/>
        <v>1.1316760352021735E-3</v>
      </c>
      <c r="N295" s="28">
        <f t="shared" si="240"/>
        <v>1170.1679999999997</v>
      </c>
      <c r="O295" s="28"/>
      <c r="P295" s="28"/>
      <c r="Q295" s="28"/>
      <c r="R295" s="29" t="s">
        <v>55</v>
      </c>
      <c r="S295" s="28"/>
      <c r="T295" s="28"/>
      <c r="U295" s="28">
        <f>SUMIFS(U$3:U273,$B$3:$B273,"open",$A$3:$A273,$R295)</f>
        <v>9180</v>
      </c>
      <c r="V295" s="48"/>
      <c r="W295" s="28">
        <f>SUMIFS(W$3:W273,$B$3:$B273,"open",$A$3:$A273,$R295)</f>
        <v>8010</v>
      </c>
      <c r="X295" s="28">
        <f>SUMIFS(X$3:X273,$B$3:$B273,"open",$A$3:$A273,$R295)</f>
        <v>-179.99999999999972</v>
      </c>
      <c r="Y295" s="48">
        <f t="shared" si="243"/>
        <v>-1170</v>
      </c>
    </row>
    <row r="296" spans="1:25">
      <c r="C296" s="30" t="s">
        <v>84</v>
      </c>
      <c r="D296" s="55">
        <f t="shared" si="232"/>
        <v>10.271403508771931</v>
      </c>
      <c r="E296" s="28">
        <f t="shared" si="233"/>
        <v>5700</v>
      </c>
      <c r="F296" s="28">
        <f t="shared" si="234"/>
        <v>58547</v>
      </c>
      <c r="G296" s="28">
        <f t="shared" si="235"/>
        <v>45657</v>
      </c>
      <c r="H296" s="28">
        <f t="shared" si="236"/>
        <v>7759.9999999999982</v>
      </c>
      <c r="I296" s="28">
        <f t="shared" si="245"/>
        <v>-12890</v>
      </c>
      <c r="J296" s="33">
        <f t="shared" si="238"/>
        <v>-0.22016499564452491</v>
      </c>
      <c r="K296" s="33">
        <f t="shared" si="241"/>
        <v>0.61277251613867822</v>
      </c>
      <c r="L296" s="42">
        <f t="shared" si="242"/>
        <v>0.10414864588641702</v>
      </c>
      <c r="M296" s="42">
        <f t="shared" si="239"/>
        <v>9.1786927057662393E-2</v>
      </c>
      <c r="N296" s="28">
        <f t="shared" si="240"/>
        <v>11781.030999999999</v>
      </c>
      <c r="O296" s="28"/>
      <c r="P296" s="28"/>
      <c r="Q296" s="28"/>
      <c r="R296" s="29" t="s">
        <v>56</v>
      </c>
      <c r="S296" s="28"/>
      <c r="T296" s="28"/>
      <c r="U296" s="28">
        <f>SUMIFS(U$3:U274,$B$3:$B274,"open",$A$3:$A274,$R296)</f>
        <v>4805</v>
      </c>
      <c r="V296" s="48"/>
      <c r="W296" s="28">
        <f>SUMIFS(W$3:W274,$B$3:$B274,"open",$A$3:$A274,$R296)</f>
        <v>4005</v>
      </c>
      <c r="X296" s="28">
        <f>SUMIFS(X$3:X274,$B$3:$B274,"open",$A$3:$A274,$R296)</f>
        <v>-89.999999999999858</v>
      </c>
      <c r="Y296" s="48">
        <f t="shared" si="243"/>
        <v>-800</v>
      </c>
    </row>
    <row r="297" spans="1:25">
      <c r="C297" s="31" t="s">
        <v>43</v>
      </c>
      <c r="D297" s="55">
        <f t="shared" si="232"/>
        <v>8.4</v>
      </c>
      <c r="E297" s="28">
        <f t="shared" si="233"/>
        <v>241</v>
      </c>
      <c r="F297" s="28">
        <f t="shared" si="234"/>
        <v>2024.4</v>
      </c>
      <c r="G297" s="28">
        <f t="shared" si="235"/>
        <v>1930.4099999999999</v>
      </c>
      <c r="H297" s="28">
        <f t="shared" si="236"/>
        <v>547.07000000000016</v>
      </c>
      <c r="I297" s="28">
        <f t="shared" si="245"/>
        <v>-93.990000000000236</v>
      </c>
      <c r="J297" s="33">
        <f t="shared" si="238"/>
        <v>-4.6428571428571541E-2</v>
      </c>
      <c r="K297" s="33">
        <f t="shared" si="241"/>
        <v>2.5908451998144112E-2</v>
      </c>
      <c r="L297" s="42">
        <f t="shared" si="242"/>
        <v>7.3423453228198699E-3</v>
      </c>
      <c r="M297" s="42">
        <f t="shared" si="239"/>
        <v>6.4708600754427052E-3</v>
      </c>
      <c r="N297" s="28">
        <f t="shared" si="240"/>
        <v>-645.86499999999967</v>
      </c>
      <c r="O297" s="28"/>
      <c r="P297" s="28"/>
      <c r="Q297" s="28"/>
      <c r="R297" s="29" t="s">
        <v>57</v>
      </c>
      <c r="S297" s="28"/>
      <c r="T297" s="28"/>
      <c r="U297" s="28">
        <f>SUMIFS(U$3:U275,$B$3:$B275,"open",$A$3:$A275,$R297)</f>
        <v>31288</v>
      </c>
      <c r="V297" s="48"/>
      <c r="W297" s="28">
        <f>SUMIFS(W$3:W275,$B$3:$B275,"open",$A$3:$A275,$R297)</f>
        <v>25014</v>
      </c>
      <c r="X297" s="28">
        <f>SUMIFS(X$3:X275,$B$3:$B275,"open",$A$3:$A275,$R297)</f>
        <v>-737.99999999999886</v>
      </c>
      <c r="Y297" s="48">
        <f t="shared" si="243"/>
        <v>-6274</v>
      </c>
    </row>
    <row r="298" spans="1:25">
      <c r="C298" s="31" t="s">
        <v>35</v>
      </c>
      <c r="D298" s="55" t="str">
        <f t="shared" si="232"/>
        <v/>
      </c>
      <c r="E298" s="28">
        <f t="shared" si="233"/>
        <v>0</v>
      </c>
      <c r="F298" s="28">
        <f t="shared" si="234"/>
        <v>0</v>
      </c>
      <c r="G298" s="28">
        <f t="shared" si="235"/>
        <v>0</v>
      </c>
      <c r="H298" s="28">
        <f t="shared" si="236"/>
        <v>0</v>
      </c>
      <c r="I298" s="28">
        <f t="shared" si="245"/>
        <v>0</v>
      </c>
      <c r="J298" s="33" t="str">
        <f t="shared" si="238"/>
        <v/>
      </c>
      <c r="K298" s="33">
        <f t="shared" si="241"/>
        <v>0</v>
      </c>
      <c r="L298" s="42">
        <f t="shared" si="242"/>
        <v>0</v>
      </c>
      <c r="M298" s="42">
        <f t="shared" si="239"/>
        <v>0</v>
      </c>
      <c r="N298" s="28">
        <f t="shared" si="240"/>
        <v>-865.91399999999874</v>
      </c>
      <c r="O298" s="28"/>
      <c r="P298" s="28"/>
      <c r="Q298" s="28"/>
      <c r="R298" s="29" t="s">
        <v>58</v>
      </c>
      <c r="S298" s="28"/>
      <c r="T298" s="28"/>
      <c r="U298" s="28">
        <f>SUMIFS(U$3:U276,$B$3:$B276,"open",$A$3:$A276,$R298)</f>
        <v>17506</v>
      </c>
      <c r="V298" s="28"/>
      <c r="W298" s="28">
        <f>SUMIFS(W$3:W276,$B$3:$B276,"open",$A$3:$A276,$R298)</f>
        <v>15402</v>
      </c>
      <c r="X298" s="28">
        <f>SUMIFS(X$3:X276,$B$3:$B276,"open",$A$3:$A276,$R298)</f>
        <v>-521.9999999999992</v>
      </c>
      <c r="Y298" s="48">
        <f t="shared" si="243"/>
        <v>-2104</v>
      </c>
    </row>
    <row r="299" spans="1:25">
      <c r="C299" s="32" t="s">
        <v>118</v>
      </c>
      <c r="D299" s="55" t="str">
        <f t="shared" si="232"/>
        <v/>
      </c>
      <c r="E299" s="28">
        <f t="shared" si="233"/>
        <v>0</v>
      </c>
      <c r="F299" s="28">
        <f t="shared" si="234"/>
        <v>0</v>
      </c>
      <c r="G299" s="28">
        <f t="shared" si="235"/>
        <v>0</v>
      </c>
      <c r="H299" s="28">
        <f t="shared" si="236"/>
        <v>0</v>
      </c>
      <c r="I299" s="28">
        <f t="shared" si="245"/>
        <v>0</v>
      </c>
      <c r="J299" s="33" t="str">
        <f t="shared" si="238"/>
        <v/>
      </c>
      <c r="K299" s="33">
        <f t="shared" si="241"/>
        <v>0</v>
      </c>
      <c r="L299" s="42">
        <f t="shared" si="242"/>
        <v>0</v>
      </c>
      <c r="M299" s="42">
        <f t="shared" si="239"/>
        <v>0</v>
      </c>
      <c r="N299" s="28">
        <f t="shared" si="240"/>
        <v>-1997.89</v>
      </c>
      <c r="O299" s="28"/>
      <c r="P299" s="28"/>
      <c r="Q299" s="28"/>
      <c r="R299" s="29" t="s">
        <v>59</v>
      </c>
      <c r="S299" s="28"/>
      <c r="T299" s="28"/>
      <c r="U299" s="28">
        <f>SUMIFS(U$3:U277,$B$3:$B277,"open",$A$3:$A277,$R299)</f>
        <v>9270</v>
      </c>
      <c r="V299" s="28"/>
      <c r="W299" s="28">
        <f>SUMIFS(W$3:W277,$B$3:$B277,"open",$A$3:$A277,$R299)</f>
        <v>8010</v>
      </c>
      <c r="X299" s="28">
        <f>SUMIFS(X$3:X277,$B$3:$B277,"open",$A$3:$A277,$R299)</f>
        <v>-179.99999999999972</v>
      </c>
      <c r="Y299" s="48">
        <f t="shared" si="243"/>
        <v>-1260</v>
      </c>
    </row>
    <row r="300" spans="1:25">
      <c r="C300" s="32" t="s">
        <v>139</v>
      </c>
      <c r="D300" s="55" t="str">
        <f t="shared" si="232"/>
        <v/>
      </c>
      <c r="E300" s="28">
        <f t="shared" si="233"/>
        <v>0</v>
      </c>
      <c r="F300" s="28">
        <f t="shared" si="234"/>
        <v>0</v>
      </c>
      <c r="G300" s="28">
        <f t="shared" si="235"/>
        <v>0</v>
      </c>
      <c r="H300" s="28">
        <f t="shared" si="236"/>
        <v>0</v>
      </c>
      <c r="I300" s="28">
        <f t="shared" si="245"/>
        <v>0</v>
      </c>
      <c r="J300" s="33" t="str">
        <f t="shared" si="238"/>
        <v/>
      </c>
      <c r="K300" s="33">
        <f t="shared" si="241"/>
        <v>0</v>
      </c>
      <c r="L300" s="42">
        <f t="shared" si="242"/>
        <v>0</v>
      </c>
      <c r="M300" s="42">
        <f t="shared" si="239"/>
        <v>0</v>
      </c>
      <c r="N300" s="28">
        <f t="shared" si="240"/>
        <v>63.84000000000043</v>
      </c>
      <c r="O300" s="28"/>
      <c r="P300" s="28"/>
      <c r="Q300" s="28"/>
      <c r="R300" s="28"/>
      <c r="S300" s="28"/>
      <c r="T300" s="28"/>
      <c r="U300" s="28"/>
      <c r="V300" s="28"/>
      <c r="W300" s="28"/>
      <c r="X300" s="28">
        <f>SUM(X293:X299)</f>
        <v>-1253.7219999999968</v>
      </c>
      <c r="Y300" s="28">
        <f>SUM(Y293:Y299)</f>
        <v>-9399.2305999999971</v>
      </c>
    </row>
    <row r="301" spans="1:25">
      <c r="C301" s="32" t="s">
        <v>11</v>
      </c>
      <c r="D301" s="55">
        <f t="shared" si="232"/>
        <v>18.309999999999999</v>
      </c>
      <c r="E301" s="28">
        <f t="shared" si="233"/>
        <v>400</v>
      </c>
      <c r="F301" s="28">
        <f t="shared" si="234"/>
        <v>7324</v>
      </c>
      <c r="G301" s="28">
        <f t="shared" si="235"/>
        <v>6828</v>
      </c>
      <c r="H301" s="28">
        <f t="shared" si="236"/>
        <v>124.0000000000002</v>
      </c>
      <c r="I301" s="28">
        <f t="shared" ref="I301" si="246">G301-F301</f>
        <v>-496</v>
      </c>
      <c r="J301" s="33">
        <f t="shared" si="238"/>
        <v>-6.772255598033862E-2</v>
      </c>
      <c r="K301" s="33">
        <f t="shared" si="241"/>
        <v>9.1640071406244278E-2</v>
      </c>
      <c r="L301" s="42">
        <f t="shared" si="242"/>
        <v>1.6642309394221306E-3</v>
      </c>
      <c r="M301" s="42">
        <f t="shared" si="239"/>
        <v>1.466698318962649E-3</v>
      </c>
      <c r="N301" s="28">
        <f t="shared" si="240"/>
        <v>-910.64699999999937</v>
      </c>
      <c r="O301" s="28"/>
      <c r="P301" s="28"/>
      <c r="Q301" s="28"/>
      <c r="R301" s="28"/>
      <c r="S301" s="28"/>
      <c r="T301" s="28"/>
      <c r="U301" s="28">
        <f>SUM(U293:U299)</f>
        <v>92508.280599999998</v>
      </c>
      <c r="V301" s="28"/>
      <c r="W301" s="28">
        <f>SUM(W293:W299)</f>
        <v>83109.05</v>
      </c>
      <c r="X301" s="28">
        <f>X293+X294+X295+X296</f>
        <v>186.27800000000107</v>
      </c>
      <c r="Y301" s="28">
        <f>Y293+Y294+Y295+Y296</f>
        <v>238.76940000000332</v>
      </c>
    </row>
    <row r="302" spans="1:25">
      <c r="C302" s="32" t="s">
        <v>83</v>
      </c>
      <c r="D302" s="55" t="str">
        <f t="shared" si="232"/>
        <v/>
      </c>
      <c r="E302" s="28">
        <f t="shared" si="233"/>
        <v>0</v>
      </c>
      <c r="F302" s="28">
        <f t="shared" si="234"/>
        <v>0</v>
      </c>
      <c r="G302" s="28">
        <f t="shared" si="235"/>
        <v>0</v>
      </c>
      <c r="H302" s="28">
        <f t="shared" si="236"/>
        <v>0</v>
      </c>
      <c r="I302" s="28">
        <f>G302-F302</f>
        <v>0</v>
      </c>
      <c r="J302" s="33" t="str">
        <f t="shared" si="238"/>
        <v/>
      </c>
      <c r="K302" s="33">
        <f t="shared" si="241"/>
        <v>0</v>
      </c>
      <c r="L302" s="42">
        <f t="shared" si="242"/>
        <v>0</v>
      </c>
      <c r="M302" s="42">
        <f t="shared" si="239"/>
        <v>0</v>
      </c>
      <c r="N302" s="28">
        <f t="shared" si="240"/>
        <v>-1007.4920000000002</v>
      </c>
      <c r="O302" s="28"/>
      <c r="P302" s="28"/>
      <c r="Q302" s="28"/>
      <c r="R302" s="28"/>
      <c r="S302" s="28"/>
      <c r="T302" s="28"/>
      <c r="U302" s="28"/>
      <c r="V302" s="28"/>
      <c r="W302" s="28"/>
      <c r="X302" s="28">
        <f>X297+X298+X299</f>
        <v>-1439.999999999998</v>
      </c>
      <c r="Y302" s="28">
        <f>Y297+Y298+Y299</f>
        <v>-9638</v>
      </c>
    </row>
    <row r="303" spans="1:25">
      <c r="C303" s="32" t="s">
        <v>12</v>
      </c>
      <c r="D303" s="55" t="str">
        <f t="shared" ref="D303:D305" si="247">IFERROR(F303/E303,"")</f>
        <v/>
      </c>
      <c r="E303" s="28">
        <f t="shared" si="233"/>
        <v>0</v>
      </c>
      <c r="F303" s="28">
        <f t="shared" si="234"/>
        <v>0</v>
      </c>
      <c r="G303" s="28">
        <f t="shared" si="235"/>
        <v>0</v>
      </c>
      <c r="H303" s="28">
        <f t="shared" si="236"/>
        <v>0</v>
      </c>
      <c r="I303" s="28">
        <f>G303-F303</f>
        <v>0</v>
      </c>
      <c r="J303" s="33" t="str">
        <f t="shared" ref="J303:J305" si="248">IFERROR(I303/F303,"")</f>
        <v/>
      </c>
      <c r="K303" s="33">
        <f t="shared" si="241"/>
        <v>0</v>
      </c>
      <c r="L303" s="42">
        <f t="shared" si="242"/>
        <v>0</v>
      </c>
      <c r="M303" s="42">
        <f t="shared" si="239"/>
        <v>0</v>
      </c>
      <c r="N303" s="28">
        <f t="shared" si="240"/>
        <v>4203.0659999999971</v>
      </c>
      <c r="O303" s="29"/>
      <c r="P303" s="29"/>
      <c r="Q303" s="29"/>
      <c r="R303" s="32" t="s">
        <v>92</v>
      </c>
    </row>
    <row r="304" spans="1:25">
      <c r="C304" s="32" t="s">
        <v>111</v>
      </c>
      <c r="D304" s="55" t="str">
        <f t="shared" si="247"/>
        <v/>
      </c>
      <c r="E304" s="28">
        <f t="shared" si="233"/>
        <v>0</v>
      </c>
      <c r="F304" s="28">
        <f t="shared" si="234"/>
        <v>0</v>
      </c>
      <c r="G304" s="28">
        <f t="shared" si="235"/>
        <v>0</v>
      </c>
      <c r="H304" s="28">
        <f t="shared" si="236"/>
        <v>0</v>
      </c>
      <c r="I304" s="28">
        <f>G304-F304</f>
        <v>0</v>
      </c>
      <c r="J304" s="33" t="str">
        <f t="shared" si="248"/>
        <v/>
      </c>
      <c r="K304" s="33">
        <f t="shared" si="241"/>
        <v>0</v>
      </c>
      <c r="L304" s="42">
        <f t="shared" si="242"/>
        <v>0</v>
      </c>
      <c r="M304" s="42">
        <f t="shared" si="239"/>
        <v>0</v>
      </c>
      <c r="N304" s="28">
        <f t="shared" si="240"/>
        <v>429.25999999999942</v>
      </c>
      <c r="O304" s="29"/>
      <c r="P304" s="29"/>
      <c r="Q304" s="29"/>
      <c r="R304" s="28"/>
      <c r="S304" s="28"/>
      <c r="T304" s="28"/>
      <c r="U304" s="28" t="s">
        <v>47</v>
      </c>
      <c r="V304" s="48"/>
      <c r="W304" s="48" t="s">
        <v>53</v>
      </c>
      <c r="X304" s="29" t="s">
        <v>90</v>
      </c>
      <c r="Y304" s="29" t="s">
        <v>30</v>
      </c>
    </row>
    <row r="305" spans="3:25">
      <c r="C305" s="32" t="s">
        <v>50</v>
      </c>
      <c r="D305" s="55">
        <f t="shared" si="247"/>
        <v>15.445</v>
      </c>
      <c r="E305" s="28">
        <f t="shared" si="233"/>
        <v>400</v>
      </c>
      <c r="F305" s="28">
        <f t="shared" si="234"/>
        <v>6178</v>
      </c>
      <c r="G305" s="28">
        <f t="shared" si="235"/>
        <v>7956</v>
      </c>
      <c r="H305" s="28">
        <f t="shared" si="236"/>
        <v>178.00000000000011</v>
      </c>
      <c r="I305" s="28">
        <f>G305-F305</f>
        <v>1778</v>
      </c>
      <c r="J305" s="33">
        <f t="shared" si="248"/>
        <v>0.28779540304305601</v>
      </c>
      <c r="K305" s="33">
        <f t="shared" si="241"/>
        <v>0.10677920446808428</v>
      </c>
      <c r="L305" s="42">
        <f t="shared" si="242"/>
        <v>2.3889766711059596E-3</v>
      </c>
      <c r="M305" s="42">
        <f t="shared" si="239"/>
        <v>2.1054217804463812E-3</v>
      </c>
      <c r="N305" s="28">
        <f t="shared" si="240"/>
        <v>-283.26999999999975</v>
      </c>
      <c r="R305" s="29" t="s">
        <v>23</v>
      </c>
      <c r="S305" s="28"/>
      <c r="T305" s="28"/>
      <c r="U305" s="28">
        <f>SUMIFS(U$3:U271,$B$3:$B271,"open",$A$3:$A271,$R305)+SUMIFS(U$3:U271,$B$3:$B271,"closed",$A$3:$A271,$R305)</f>
        <v>447436.65058000019</v>
      </c>
      <c r="V305" s="48"/>
      <c r="W305" s="28" t="e">
        <f>SUMIFS(W$3:W271,$B$3:$B271,"open",$A$3:$A271,$R305)+SUMIFS(W$3:W271,$B$3:$B271,"closed",$A$3:$A271,$R305)</f>
        <v>#REF!</v>
      </c>
      <c r="X305" s="28">
        <f>SUMIFS(X$3:X271,$B$3:$B271,"open",$A$3:$A271,$R305)+SUMIFS(X$3:X271,$B$3:$B271,closed,$A$3:$A271,$R305)</f>
        <v>472.53600000000057</v>
      </c>
      <c r="Y305" s="48" t="e">
        <f t="shared" ref="Y305:Y311" si="249">W305-U305</f>
        <v>#REF!</v>
      </c>
    </row>
    <row r="306" spans="3:25">
      <c r="C306" s="56"/>
      <c r="E306" s="48">
        <f>SUM(E292:E305)</f>
        <v>7765</v>
      </c>
      <c r="F306" s="28">
        <f>SUM(F292:F305)</f>
        <v>83864.475999999995</v>
      </c>
      <c r="G306" s="48">
        <f>SUM(G292:G305)</f>
        <v>74508.89</v>
      </c>
      <c r="I306" s="48">
        <f>SUM(I292:I305)</f>
        <v>-9355.5859999999993</v>
      </c>
      <c r="K306" s="33">
        <f>SUM(K293:K305)</f>
        <v>1</v>
      </c>
      <c r="L306" s="42">
        <f>SUM(L293:L305)</f>
        <v>0.1199097986830833</v>
      </c>
      <c r="M306" s="42">
        <f>SUM(M293:M305)</f>
        <v>0.10567734080024714</v>
      </c>
      <c r="R306" s="29" t="s">
        <v>6</v>
      </c>
      <c r="S306" s="28"/>
      <c r="T306" s="28"/>
      <c r="U306" s="28">
        <f>SUMIFS(U$3:U272,$B$3:$B272,"open",$A$3:$A272,$R306)+SUMIFS(U$3:U272,$B$3:$B272,"closed",$A$3:$A272,$R306)</f>
        <v>187194.12040000004</v>
      </c>
      <c r="V306" s="48"/>
      <c r="W306" s="28">
        <f>SUMIFS(W$3:W272,$B$3:$B272,"open",$A$3:$A272,$R306)+SUMIFS(W$3:W272,$B$3:$B272,"closed",$A$3:$A272,$R306)</f>
        <v>192027.63799999995</v>
      </c>
      <c r="X306" s="28">
        <f>SUMIFS(X$3:X272,$B$3:$B272,"open",$A$3:$A272,$R306)+SUMIFS(X$3:X272,$B$3:$B272,closed,$A$3:$A272,$R306)</f>
        <v>-16.257999999999932</v>
      </c>
      <c r="Y306" s="48">
        <f t="shared" si="249"/>
        <v>4833.5175999999046</v>
      </c>
    </row>
    <row r="307" spans="3:25">
      <c r="C307" s="57" t="s">
        <v>70</v>
      </c>
      <c r="D307" s="29"/>
      <c r="E307" s="29"/>
      <c r="F307" s="29"/>
      <c r="G307" s="48">
        <f>E273+E274</f>
        <v>10034.74</v>
      </c>
      <c r="R307" s="29" t="s">
        <v>55</v>
      </c>
      <c r="S307" s="28"/>
      <c r="T307" s="28"/>
      <c r="U307" s="28">
        <f>SUMIFS(U$3:U273,$B$3:$B273,"open",$A$3:$A273,$R307)+SUMIFS(U$3:U273,$B$3:$B273,"closed",$A$3:$A273,$R307)</f>
        <v>11492.5</v>
      </c>
      <c r="V307" s="48"/>
      <c r="W307" s="28">
        <f>SUMIFS(W$3:W273,$B$3:$B273,"open",$A$3:$A273,$R307)+SUMIFS(W$3:W273,$B$3:$B273,"closed",$A$3:$A273,$R307)</f>
        <v>11752.5</v>
      </c>
      <c r="X307" s="28">
        <f>SUMIFS(X$3:X273,$B$3:$B273,"open",$A$3:$A273,$R307)+SUMIFS(X$3:X273,$B$3:$B273,closed,$A$3:$A273,$R307)</f>
        <v>-179.99999999999972</v>
      </c>
      <c r="Y307" s="48">
        <f t="shared" si="249"/>
        <v>260</v>
      </c>
    </row>
    <row r="308" spans="3:25">
      <c r="C308" s="57"/>
      <c r="D308" s="29"/>
      <c r="E308" s="48">
        <f>E306-E290</f>
        <v>-246</v>
      </c>
      <c r="F308" s="29"/>
      <c r="G308" s="29"/>
      <c r="R308" s="29" t="s">
        <v>56</v>
      </c>
      <c r="S308" s="28"/>
      <c r="T308" s="28"/>
      <c r="U308" s="28">
        <f>SUMIFS(U$3:U274,$B$3:$B274,"open",$A$3:$A274,$R308)+SUMIFS(U$3:U274,$B$3:$B274,"closed",$A$3:$A274,$R308)</f>
        <v>4805</v>
      </c>
      <c r="V308" s="48"/>
      <c r="W308" s="28">
        <f>SUMIFS(W$3:W274,$B$3:$B274,"open",$A$3:$A274,$R308)+SUMIFS(W$3:W274,$B$3:$B274,"closed",$A$3:$A274,$R308)</f>
        <v>4005</v>
      </c>
      <c r="X308" s="28">
        <f>SUMIFS(X$3:X274,$B$3:$B274,"open",$A$3:$A274,$R308)+SUMIFS(X$3:X274,$B$3:$B274,closed,$A$3:$A274,$R308)</f>
        <v>-89.999999999999858</v>
      </c>
      <c r="Y308" s="48">
        <f t="shared" si="249"/>
        <v>-800</v>
      </c>
    </row>
    <row r="309" spans="3:25">
      <c r="R309" s="29" t="s">
        <v>57</v>
      </c>
      <c r="S309" s="28"/>
      <c r="T309" s="28"/>
      <c r="U309" s="28">
        <f>SUMIFS(U$3:U275,$B$3:$B275,"open",$A$3:$A275,$R309)+SUMIFS(U$3:U275,$B$3:$B275,"closed",$A$3:$A275,$R309)</f>
        <v>41028.5</v>
      </c>
      <c r="V309" s="48"/>
      <c r="W309" s="28">
        <f>SUMIFS(W$3:W275,$B$3:$B275,"open",$A$3:$A275,$R309)+SUMIFS(W$3:W275,$B$3:$B275,"closed",$A$3:$A275,$R309)</f>
        <v>36862</v>
      </c>
      <c r="X309" s="28">
        <f>SUMIFS(X$3:X275,$B$3:$B275,"open",$A$3:$A275,$R309)+SUMIFS(X$3:X275,$B$3:$B275,closed,$A$3:$A275,$R309)</f>
        <v>-737.99999999999886</v>
      </c>
      <c r="Y309" s="48">
        <f t="shared" si="249"/>
        <v>-4166.5</v>
      </c>
    </row>
    <row r="310" spans="3:25">
      <c r="R310" s="29" t="s">
        <v>58</v>
      </c>
      <c r="S310" s="28"/>
      <c r="T310" s="28"/>
      <c r="U310" s="28">
        <f>SUMIFS(U$3:U276,$B$3:$B276,"open",$A$3:$A276,$R310)+SUMIFS(U$3:U276,$B$3:$B276,"closed",$A$3:$A276,$R310)</f>
        <v>27689</v>
      </c>
      <c r="V310" s="28"/>
      <c r="W310" s="28">
        <f>SUMIFS(W$3:W276,$B$3:$B276,"open",$A$3:$A276,$R310)+SUMIFS(W$3:W276,$B$3:$B276,"closed",$A$3:$A276,$R310)</f>
        <v>26355</v>
      </c>
      <c r="X310" s="28">
        <f>SUMIFS(X$3:X276,$B$3:$B276,"open",$A$3:$A276,$R310)+SUMIFS(X$3:X276,$B$3:$B276,closed,$A$3:$A276,$R310)</f>
        <v>-521.9999999999992</v>
      </c>
      <c r="Y310" s="48">
        <f t="shared" si="249"/>
        <v>-1334</v>
      </c>
    </row>
    <row r="311" spans="3:25">
      <c r="R311" s="29" t="s">
        <v>59</v>
      </c>
      <c r="S311" s="28"/>
      <c r="T311" s="28"/>
      <c r="U311" s="28">
        <f>SUMIFS(U$3:U277,$B$3:$B277,"open",$A$3:$A277,$R311)+SUMIFS(U$3:U277,$B$3:$B277,"closed",$A$3:$A277,$R311)</f>
        <v>11560</v>
      </c>
      <c r="V311" s="28"/>
      <c r="W311" s="28">
        <f>SUMIFS(W$3:W277,$B$3:$B277,"open",$A$3:$A277,$R311)+SUMIFS(W$3:W277,$B$3:$B277,"closed",$A$3:$A277,$R311)</f>
        <v>11745</v>
      </c>
      <c r="X311" s="28">
        <f>SUMIFS(X$3:X277,$B$3:$B277,"open",$A$3:$A277,$R311)+SUMIFS(X$3:X277,$B$3:$B277,closed,$A$3:$A277,$R311)</f>
        <v>-179.99999999999972</v>
      </c>
      <c r="Y311" s="48">
        <f t="shared" si="249"/>
        <v>185</v>
      </c>
    </row>
    <row r="312" spans="3:25">
      <c r="R312" s="28"/>
      <c r="S312" s="28"/>
      <c r="T312" s="28"/>
      <c r="U312" s="28"/>
      <c r="V312" s="28"/>
      <c r="W312" s="28"/>
      <c r="X312" s="28">
        <f>SUM(X305:X311)</f>
        <v>-1253.7219999999968</v>
      </c>
      <c r="Y312" s="28" t="e">
        <f>SUM(Y305:Y311)</f>
        <v>#REF!</v>
      </c>
    </row>
    <row r="313" spans="3:25">
      <c r="R313" s="28"/>
      <c r="S313" s="28"/>
      <c r="T313" s="28"/>
      <c r="U313" s="28">
        <f>SUM(U305:U311)</f>
        <v>731205.77098000026</v>
      </c>
      <c r="V313" s="28"/>
      <c r="W313" s="28" t="e">
        <f>SUM(W305:W311)</f>
        <v>#REF!</v>
      </c>
      <c r="X313" s="28">
        <f>X305+X306+X307+X308</f>
        <v>186.27800000000107</v>
      </c>
      <c r="Y313" s="28" t="e">
        <f>Y305+Y306+Y307+Y308</f>
        <v>#REF!</v>
      </c>
    </row>
    <row r="314" spans="3:25">
      <c r="C314"/>
      <c r="H314"/>
      <c r="S314"/>
      <c r="T314"/>
      <c r="U314"/>
      <c r="V314"/>
      <c r="W314"/>
      <c r="X314" s="28">
        <f>X309+X310+X311</f>
        <v>-1439.999999999998</v>
      </c>
      <c r="Y314" s="28">
        <f>Y309+Y310+Y311</f>
        <v>-5315.5</v>
      </c>
    </row>
  </sheetData>
  <autoFilter ref="A2:X280">
    <filterColumn colId="1">
      <filters>
        <filter val="info"/>
        <filter val="open"/>
      </filters>
    </filterColumn>
    <sortState ref="A3:X259">
      <sortCondition ref="D2:D261"/>
    </sortState>
  </autoFilter>
  <sortState ref="A3:Z207">
    <sortCondition ref="D3:D207"/>
  </sortState>
  <mergeCells count="3">
    <mergeCell ref="I1:K1"/>
    <mergeCell ref="O1:P1"/>
    <mergeCell ref="X290:Y290"/>
  </mergeCells>
  <phoneticPr fontId="7" type="noConversion"/>
  <conditionalFormatting sqref="L31 L266">
    <cfRule type="cellIs" dxfId="89" priority="124" operator="greaterThan">
      <formula>$R31</formula>
    </cfRule>
  </conditionalFormatting>
  <conditionalFormatting sqref="L34:L46 L91:L100 L131:L141 L225:L229 L221:L222 L104 L106:L120 L231:L244 L246:L253 L128 L151:L153 L157 L58:L87 L175 L51 L177 L179 L123:L125 L181:L212">
    <cfRule type="cellIs" dxfId="88" priority="120" operator="greaterThan">
      <formula>$R34</formula>
    </cfRule>
  </conditionalFormatting>
  <conditionalFormatting sqref="L130">
    <cfRule type="cellIs" dxfId="87" priority="119" operator="greaterThan">
      <formula>$R130</formula>
    </cfRule>
  </conditionalFormatting>
  <conditionalFormatting sqref="L129">
    <cfRule type="cellIs" dxfId="86" priority="118" operator="greaterThan">
      <formula>$R129</formula>
    </cfRule>
  </conditionalFormatting>
  <conditionalFormatting sqref="L32">
    <cfRule type="cellIs" dxfId="85" priority="116" operator="greaterThan">
      <formula>$R32</formula>
    </cfRule>
  </conditionalFormatting>
  <conditionalFormatting sqref="L90">
    <cfRule type="cellIs" dxfId="84" priority="117" operator="greaterThan">
      <formula>$R90</formula>
    </cfRule>
  </conditionalFormatting>
  <conditionalFormatting sqref="L89">
    <cfRule type="cellIs" dxfId="83" priority="115" operator="greaterThan">
      <formula>$R89</formula>
    </cfRule>
  </conditionalFormatting>
  <conditionalFormatting sqref="L88">
    <cfRule type="cellIs" dxfId="82" priority="113" operator="greaterThan">
      <formula>$R88</formula>
    </cfRule>
  </conditionalFormatting>
  <conditionalFormatting sqref="L224">
    <cfRule type="cellIs" dxfId="81" priority="111" operator="greaterThan">
      <formula>$R224</formula>
    </cfRule>
  </conditionalFormatting>
  <conditionalFormatting sqref="L223">
    <cfRule type="cellIs" dxfId="80" priority="110" operator="greaterThan">
      <formula>$R223</formula>
    </cfRule>
  </conditionalFormatting>
  <conditionalFormatting sqref="L220">
    <cfRule type="cellIs" dxfId="79" priority="108" operator="greaterThan">
      <formula>$R220</formula>
    </cfRule>
  </conditionalFormatting>
  <conditionalFormatting sqref="L103">
    <cfRule type="cellIs" dxfId="78" priority="107" operator="greaterThan">
      <formula>$R103</formula>
    </cfRule>
  </conditionalFormatting>
  <conditionalFormatting sqref="L105">
    <cfRule type="cellIs" dxfId="77" priority="106" operator="greaterThan">
      <formula>$R105</formula>
    </cfRule>
  </conditionalFormatting>
  <conditionalFormatting sqref="L230">
    <cfRule type="cellIs" dxfId="76" priority="105" operator="greaterThan">
      <formula>$R230</formula>
    </cfRule>
  </conditionalFormatting>
  <conditionalFormatting sqref="L102">
    <cfRule type="cellIs" dxfId="75" priority="104" operator="greaterThan">
      <formula>$R102</formula>
    </cfRule>
  </conditionalFormatting>
  <conditionalFormatting sqref="L217">
    <cfRule type="cellIs" dxfId="74" priority="103" operator="greaterThan">
      <formula>$R217</formula>
    </cfRule>
  </conditionalFormatting>
  <conditionalFormatting sqref="L33">
    <cfRule type="cellIs" dxfId="73" priority="101" operator="greaterThan">
      <formula>$R33</formula>
    </cfRule>
  </conditionalFormatting>
  <conditionalFormatting sqref="L101">
    <cfRule type="cellIs" dxfId="72" priority="100" operator="greaterThan">
      <formula>$R101</formula>
    </cfRule>
  </conditionalFormatting>
  <conditionalFormatting sqref="L215">
    <cfRule type="cellIs" dxfId="71" priority="99" operator="greaterThan">
      <formula>$R215</formula>
    </cfRule>
  </conditionalFormatting>
  <conditionalFormatting sqref="L214">
    <cfRule type="cellIs" dxfId="70" priority="98" operator="greaterThan">
      <formula>$R214</formula>
    </cfRule>
  </conditionalFormatting>
  <conditionalFormatting sqref="L213">
    <cfRule type="cellIs" dxfId="69" priority="97" operator="greaterThan">
      <formula>$R213</formula>
    </cfRule>
  </conditionalFormatting>
  <conditionalFormatting sqref="L245">
    <cfRule type="cellIs" dxfId="68" priority="96" operator="greaterThan">
      <formula>$R245</formula>
    </cfRule>
  </conditionalFormatting>
  <conditionalFormatting sqref="L127">
    <cfRule type="cellIs" dxfId="67" priority="95" operator="greaterThan">
      <formula>$R127</formula>
    </cfRule>
  </conditionalFormatting>
  <conditionalFormatting sqref="L126">
    <cfRule type="cellIs" dxfId="66" priority="94" operator="greaterThan">
      <formula>$R126</formula>
    </cfRule>
  </conditionalFormatting>
  <conditionalFormatting sqref="L255">
    <cfRule type="cellIs" dxfId="65" priority="89" operator="greaterThan">
      <formula>$R255</formula>
    </cfRule>
  </conditionalFormatting>
  <conditionalFormatting sqref="L142">
    <cfRule type="cellIs" dxfId="64" priority="91" operator="greaterThan">
      <formula>$R142</formula>
    </cfRule>
  </conditionalFormatting>
  <conditionalFormatting sqref="L155">
    <cfRule type="cellIs" dxfId="63" priority="88" operator="greaterThan">
      <formula>$R155</formula>
    </cfRule>
  </conditionalFormatting>
  <conditionalFormatting sqref="L154">
    <cfRule type="cellIs" dxfId="62" priority="87" operator="greaterThan">
      <formula>$R154</formula>
    </cfRule>
  </conditionalFormatting>
  <conditionalFormatting sqref="L52">
    <cfRule type="cellIs" dxfId="61" priority="70" operator="greaterThan">
      <formula>$R52</formula>
    </cfRule>
  </conditionalFormatting>
  <conditionalFormatting sqref="L156">
    <cfRule type="cellIs" dxfId="60" priority="77" operator="greaterThan">
      <formula>$R156</formula>
    </cfRule>
  </conditionalFormatting>
  <conditionalFormatting sqref="L147">
    <cfRule type="cellIs" dxfId="59" priority="53" operator="greaterThan">
      <formula>$R147</formula>
    </cfRule>
  </conditionalFormatting>
  <conditionalFormatting sqref="L146">
    <cfRule type="cellIs" dxfId="58" priority="54" operator="greaterThan">
      <formula>$R146</formula>
    </cfRule>
  </conditionalFormatting>
  <conditionalFormatting sqref="L148">
    <cfRule type="cellIs" dxfId="57" priority="52" operator="greaterThan">
      <formula>$R148</formula>
    </cfRule>
  </conditionalFormatting>
  <conditionalFormatting sqref="L149">
    <cfRule type="cellIs" dxfId="56" priority="51" operator="greaterThan">
      <formula>$R149</formula>
    </cfRule>
  </conditionalFormatting>
  <conditionalFormatting sqref="L53">
    <cfRule type="cellIs" dxfId="55" priority="69" operator="greaterThan">
      <formula>$R53</formula>
    </cfRule>
  </conditionalFormatting>
  <conditionalFormatting sqref="L54">
    <cfRule type="cellIs" dxfId="54" priority="68" operator="greaterThan">
      <formula>$R54</formula>
    </cfRule>
  </conditionalFormatting>
  <conditionalFormatting sqref="L55">
    <cfRule type="cellIs" dxfId="53" priority="67" operator="greaterThan">
      <formula>$R55</formula>
    </cfRule>
  </conditionalFormatting>
  <conditionalFormatting sqref="L158">
    <cfRule type="cellIs" dxfId="52" priority="58" operator="greaterThan">
      <formula>$R158</formula>
    </cfRule>
  </conditionalFormatting>
  <conditionalFormatting sqref="L143">
    <cfRule type="cellIs" dxfId="51" priority="57" operator="greaterThan">
      <formula>$R143</formula>
    </cfRule>
  </conditionalFormatting>
  <conditionalFormatting sqref="L144">
    <cfRule type="cellIs" dxfId="50" priority="56" operator="greaterThan">
      <formula>$R144</formula>
    </cfRule>
  </conditionalFormatting>
  <conditionalFormatting sqref="L145">
    <cfRule type="cellIs" dxfId="49" priority="55" operator="greaterThan">
      <formula>$R145</formula>
    </cfRule>
  </conditionalFormatting>
  <conditionalFormatting sqref="L150">
    <cfRule type="cellIs" dxfId="48" priority="50" operator="greaterThan">
      <formula>$R150</formula>
    </cfRule>
  </conditionalFormatting>
  <conditionalFormatting sqref="L168">
    <cfRule type="cellIs" dxfId="47" priority="48" operator="greaterThan">
      <formula>$R168</formula>
    </cfRule>
  </conditionalFormatting>
  <conditionalFormatting sqref="L254">
    <cfRule type="cellIs" dxfId="46" priority="47" operator="greaterThan">
      <formula>$R254</formula>
    </cfRule>
  </conditionalFormatting>
  <conditionalFormatting sqref="L161">
    <cfRule type="cellIs" dxfId="45" priority="46" operator="greaterThan">
      <formula>$R161</formula>
    </cfRule>
  </conditionalFormatting>
  <conditionalFormatting sqref="L162">
    <cfRule type="cellIs" dxfId="44" priority="45" operator="greaterThan">
      <formula>$R162</formula>
    </cfRule>
  </conditionalFormatting>
  <conditionalFormatting sqref="L256">
    <cfRule type="cellIs" dxfId="43" priority="44" operator="greaterThan">
      <formula>$R256</formula>
    </cfRule>
  </conditionalFormatting>
  <conditionalFormatting sqref="L50">
    <cfRule type="cellIs" dxfId="42" priority="43" operator="greaterThan">
      <formula>$R50</formula>
    </cfRule>
  </conditionalFormatting>
  <conditionalFormatting sqref="L56">
    <cfRule type="cellIs" dxfId="41" priority="41" operator="greaterThan">
      <formula>$R56</formula>
    </cfRule>
  </conditionalFormatting>
  <conditionalFormatting sqref="L167">
    <cfRule type="cellIs" dxfId="40" priority="40" operator="greaterThan">
      <formula>$R167</formula>
    </cfRule>
  </conditionalFormatting>
  <conditionalFormatting sqref="L258">
    <cfRule type="cellIs" dxfId="39" priority="39" operator="greaterThan">
      <formula>$R258</formula>
    </cfRule>
  </conditionalFormatting>
  <conditionalFormatting sqref="L47">
    <cfRule type="cellIs" dxfId="38" priority="38" operator="greaterThan">
      <formula>$R47</formula>
    </cfRule>
  </conditionalFormatting>
  <conditionalFormatting sqref="L57">
    <cfRule type="cellIs" dxfId="37" priority="36" operator="greaterThan">
      <formula>$R57</formula>
    </cfRule>
  </conditionalFormatting>
  <conditionalFormatting sqref="L160">
    <cfRule type="cellIs" dxfId="36" priority="35" operator="greaterThan">
      <formula>$R160</formula>
    </cfRule>
  </conditionalFormatting>
  <conditionalFormatting sqref="L259">
    <cfRule type="cellIs" dxfId="35" priority="34" operator="greaterThan">
      <formula>$R259</formula>
    </cfRule>
  </conditionalFormatting>
  <conditionalFormatting sqref="L257">
    <cfRule type="cellIs" dxfId="34" priority="33" operator="greaterThan">
      <formula>$R257</formula>
    </cfRule>
  </conditionalFormatting>
  <conditionalFormatting sqref="L49">
    <cfRule type="cellIs" dxfId="33" priority="31" operator="greaterThan">
      <formula>$R49</formula>
    </cfRule>
  </conditionalFormatting>
  <conditionalFormatting sqref="L166">
    <cfRule type="cellIs" dxfId="32" priority="30" operator="greaterThan">
      <formula>$R166</formula>
    </cfRule>
  </conditionalFormatting>
  <conditionalFormatting sqref="L165">
    <cfRule type="cellIs" dxfId="31" priority="26" operator="greaterThan">
      <formula>$R165</formula>
    </cfRule>
  </conditionalFormatting>
  <conditionalFormatting sqref="L164">
    <cfRule type="cellIs" dxfId="30" priority="25" operator="greaterThan">
      <formula>$R164</formula>
    </cfRule>
  </conditionalFormatting>
  <conditionalFormatting sqref="L159">
    <cfRule type="cellIs" dxfId="29" priority="23" operator="greaterThan">
      <formula>$R159</formula>
    </cfRule>
  </conditionalFormatting>
  <conditionalFormatting sqref="L265">
    <cfRule type="cellIs" dxfId="28" priority="22" operator="greaterThan">
      <formula>$R265</formula>
    </cfRule>
  </conditionalFormatting>
  <conditionalFormatting sqref="L163">
    <cfRule type="cellIs" dxfId="27" priority="24" operator="greaterThan">
      <formula>$R163</formula>
    </cfRule>
  </conditionalFormatting>
  <conditionalFormatting sqref="L264">
    <cfRule type="cellIs" dxfId="26" priority="21" operator="greaterThan">
      <formula>$R264</formula>
    </cfRule>
  </conditionalFormatting>
  <conditionalFormatting sqref="L260">
    <cfRule type="cellIs" dxfId="25" priority="19" operator="greaterThan">
      <formula>$R260</formula>
    </cfRule>
  </conditionalFormatting>
  <conditionalFormatting sqref="L261">
    <cfRule type="cellIs" dxfId="24" priority="20" operator="greaterThan">
      <formula>$R261</formula>
    </cfRule>
  </conditionalFormatting>
  <conditionalFormatting sqref="L48">
    <cfRule type="cellIs" dxfId="23" priority="18" operator="greaterThan">
      <formula>$R48</formula>
    </cfRule>
  </conditionalFormatting>
  <conditionalFormatting sqref="L169">
    <cfRule type="cellIs" dxfId="22" priority="16" operator="greaterThan">
      <formula>$R169</formula>
    </cfRule>
  </conditionalFormatting>
  <conditionalFormatting sqref="L121">
    <cfRule type="cellIs" dxfId="21" priority="14" operator="greaterThan">
      <formula>$R121</formula>
    </cfRule>
  </conditionalFormatting>
  <conditionalFormatting sqref="L170">
    <cfRule type="cellIs" dxfId="20" priority="13" operator="greaterThan">
      <formula>$R170</formula>
    </cfRule>
  </conditionalFormatting>
  <conditionalFormatting sqref="L173">
    <cfRule type="cellIs" dxfId="19" priority="12" operator="greaterThan">
      <formula>$R173</formula>
    </cfRule>
  </conditionalFormatting>
  <conditionalFormatting sqref="L174">
    <cfRule type="cellIs" dxfId="18" priority="11" operator="greaterThan">
      <formula>$R174</formula>
    </cfRule>
  </conditionalFormatting>
  <conditionalFormatting sqref="L176">
    <cfRule type="cellIs" dxfId="17" priority="10" operator="greaterThan">
      <formula>$R176</formula>
    </cfRule>
  </conditionalFormatting>
  <conditionalFormatting sqref="L178">
    <cfRule type="cellIs" dxfId="16" priority="9" operator="greaterThan">
      <formula>$R178</formula>
    </cfRule>
  </conditionalFormatting>
  <conditionalFormatting sqref="L180">
    <cfRule type="cellIs" dxfId="15" priority="8" operator="greaterThan">
      <formula>$R180</formula>
    </cfRule>
  </conditionalFormatting>
  <conditionalFormatting sqref="L216">
    <cfRule type="cellIs" dxfId="14" priority="6" operator="greaterThan">
      <formula>$R216</formula>
    </cfRule>
  </conditionalFormatting>
  <conditionalFormatting sqref="L122">
    <cfRule type="cellIs" dxfId="13" priority="5" operator="greaterThan">
      <formula>$R122</formula>
    </cfRule>
  </conditionalFormatting>
  <conditionalFormatting sqref="L218">
    <cfRule type="cellIs" dxfId="12" priority="4" operator="greaterThan">
      <formula>$R218</formula>
    </cfRule>
  </conditionalFormatting>
  <conditionalFormatting sqref="L172">
    <cfRule type="cellIs" dxfId="11" priority="3" operator="greaterThan">
      <formula>$R172</formula>
    </cfRule>
  </conditionalFormatting>
  <conditionalFormatting sqref="L219">
    <cfRule type="cellIs" dxfId="10" priority="2" operator="greaterThan">
      <formula>$R219</formula>
    </cfRule>
  </conditionalFormatting>
  <conditionalFormatting sqref="L171">
    <cfRule type="cellIs" dxfId="9" priority="1" operator="greaterThan">
      <formula>$R171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115" zoomScaleNormal="115" zoomScalePageLayoutView="115" workbookViewId="0">
      <selection activeCell="B19" sqref="B19"/>
    </sheetView>
  </sheetViews>
  <sheetFormatPr baseColWidth="10" defaultRowHeight="15" x14ac:dyDescent="0"/>
  <cols>
    <col min="2" max="2" width="10.83203125" style="1"/>
    <col min="11" max="11" width="7.83203125" customWidth="1"/>
    <col min="12" max="12" width="10.83203125" style="2"/>
    <col min="16" max="16" width="11.5" bestFit="1" customWidth="1"/>
  </cols>
  <sheetData>
    <row r="1" spans="1:16">
      <c r="B1" s="1" t="s">
        <v>28</v>
      </c>
      <c r="C1" t="s">
        <v>87</v>
      </c>
      <c r="D1" t="s">
        <v>82</v>
      </c>
      <c r="E1" t="s">
        <v>90</v>
      </c>
      <c r="F1" t="s">
        <v>30</v>
      </c>
      <c r="G1" t="s">
        <v>115</v>
      </c>
      <c r="H1" s="1" t="s">
        <v>100</v>
      </c>
      <c r="J1" t="s">
        <v>52</v>
      </c>
      <c r="K1" t="s">
        <v>4</v>
      </c>
      <c r="L1" s="2" t="s">
        <v>104</v>
      </c>
      <c r="M1" t="s">
        <v>103</v>
      </c>
      <c r="O1" t="s">
        <v>106</v>
      </c>
      <c r="P1" t="s">
        <v>53</v>
      </c>
    </row>
    <row r="2" spans="1:16">
      <c r="A2" t="s">
        <v>76</v>
      </c>
      <c r="B2" s="1">
        <v>0</v>
      </c>
      <c r="C2" s="1">
        <v>0</v>
      </c>
      <c r="D2" s="9" t="str">
        <f>IFERROR(SUMIFS(Holdings!$U$3:$U$271,Holdings!$B$3:$B$271,"open",Holdings!$D$3:$D$271,A2)/SUMIFS(Holdings!$E$3:$E$271,Holdings!$B$3:$B$271,"open",Holdings!$D$3:$D$271,A2),"")</f>
        <v/>
      </c>
      <c r="E2" s="1">
        <f>(B2-C2)*SUMIFS(Holdings!$E$3:$E$271,Holdings!$B$3:$B$271,"open",Holdings!$D$3:$D$271,A2)</f>
        <v>0</v>
      </c>
      <c r="F2" s="1" t="str">
        <f>IFERROR((C2-D2)*SUMIFS(Holdings!$E$3:$E$271,Holdings!$B$3:$B$271,"open",Holdings!$D$3:$D$271,A2),"")</f>
        <v/>
      </c>
      <c r="G2" s="25" t="str">
        <f t="shared" ref="G2" si="0">IFERROR((B2-C2)/C2,"")</f>
        <v/>
      </c>
      <c r="H2" s="25" t="str">
        <f>IFERROR((B2-D2)/D2,"")</f>
        <v/>
      </c>
      <c r="J2" s="2">
        <f>IFERROR(SUMIFS(Holdings!$E$3:$E$271,Holdings!$B$3:$B$271,"open",Holdings!$D$3:$D$271,$A2),"")</f>
        <v>0</v>
      </c>
      <c r="K2" s="81" t="str">
        <f>IFERROR(AVERAGEIFS(Holdings!$J$3:$J$271,Holdings!$B$3:$B$271,"open",Holdings!$D$3:$D$271,$A2),"")</f>
        <v/>
      </c>
      <c r="M2" s="1" t="str">
        <f t="shared" ref="M2:M6" si="1">IFERROR(K2*L2+D2,"")</f>
        <v/>
      </c>
      <c r="N2" s="9" t="str">
        <f t="shared" ref="N2" si="2">IFERROR(M2-B2,"")</f>
        <v/>
      </c>
      <c r="O2" s="9" t="str">
        <f t="shared" ref="O2:O6" si="3">IFERROR((B2-D2)/K2,"")</f>
        <v/>
      </c>
      <c r="P2" s="2">
        <f>J2*B2</f>
        <v>0</v>
      </c>
    </row>
    <row r="3" spans="1:16">
      <c r="A3" t="s">
        <v>138</v>
      </c>
      <c r="B3" s="1">
        <v>29.45</v>
      </c>
      <c r="C3" s="1">
        <v>29.45</v>
      </c>
      <c r="D3" s="9" t="str">
        <f>IFERROR(SUMIFS(Holdings!$U$3:$U$271,Holdings!$B$3:$B$271,"open",Holdings!$D$3:$D$271,A3)/SUMIFS(Holdings!$E$3:$E$271,Holdings!$B$3:$B$271,"open",Holdings!$D$3:$D$271,A3),"")</f>
        <v/>
      </c>
      <c r="E3" s="1">
        <f>(B3-C3)*SUMIFS(Holdings!$E$3:$E$271,Holdings!$B$3:$B$271,"open",Holdings!$D$3:$D$271,A3)</f>
        <v>0</v>
      </c>
      <c r="F3" s="1" t="str">
        <f>IFERROR((B3-D3)*SUMIFS(Holdings!$E$3:$E$271,Holdings!$B$3:$B$271,"open",Holdings!$D$3:$D$271,A3),"")</f>
        <v/>
      </c>
      <c r="G3" s="25">
        <f>IFERROR((B3-C3)/C3,"")</f>
        <v>0</v>
      </c>
      <c r="H3" s="25" t="str">
        <f t="shared" ref="H3:H19" si="4">IFERROR((B3-D3)/D3,"")</f>
        <v/>
      </c>
      <c r="J3" s="2">
        <f>IFERROR(SUMIFS(Holdings!$E$3:$E$271,Holdings!$B$3:$B$271,"open",Holdings!$D$3:$D$271,$A3),"")</f>
        <v>0</v>
      </c>
      <c r="K3" s="81" t="str">
        <f>IFERROR(AVERAGEIFS(Holdings!$J$3:$J$271,Holdings!$B$3:$B$271,"open",Holdings!$D$3:$D$271,$A3),"")</f>
        <v/>
      </c>
      <c r="L3" s="2">
        <v>2</v>
      </c>
      <c r="M3" s="1" t="str">
        <f t="shared" si="1"/>
        <v/>
      </c>
      <c r="N3" s="9" t="str">
        <f t="shared" ref="N3:N19" si="5">IFERROR(M3-B3,"")</f>
        <v/>
      </c>
      <c r="O3" s="9" t="str">
        <f t="shared" si="3"/>
        <v/>
      </c>
      <c r="P3" s="2">
        <f t="shared" ref="P3:P19" si="6">J3*B3</f>
        <v>0</v>
      </c>
    </row>
    <row r="4" spans="1:16">
      <c r="A4" t="s">
        <v>132</v>
      </c>
      <c r="B4" s="1">
        <f>B5/4</f>
        <v>2.2625000000000002</v>
      </c>
      <c r="C4" s="1">
        <f>C5/4</f>
        <v>2.1</v>
      </c>
      <c r="D4" s="9" t="str">
        <f>IFERROR(SUMIFS(Holdings!$U$3:$U$271,Holdings!$B$3:$B$271,"open",Holdings!$D$3:$D$271,A4)/SUMIFS(Holdings!$E$3:$E$271,Holdings!$B$3:$B$271,"open",Holdings!$D$3:$D$271,A4),"")</f>
        <v/>
      </c>
      <c r="E4" s="1">
        <f>(B4-C4)*SUMIFS(Holdings!$E$3:$E$271,Holdings!$B$3:$B$271,"open",Holdings!$D$3:$D$271,A4)</f>
        <v>0</v>
      </c>
      <c r="F4" s="1" t="str">
        <f>IFERROR((B4-D4)*SUMIFS(Holdings!$E$3:$E$271,Holdings!$B$3:$B$271,"open",Holdings!$D$3:$D$271,A4),"")</f>
        <v/>
      </c>
      <c r="G4" s="25">
        <f t="shared" ref="G4:G19" si="7">IFERROR((B4-C4)/C4,"")</f>
        <v>7.7380952380952425E-2</v>
      </c>
      <c r="H4" s="25" t="str">
        <f t="shared" si="4"/>
        <v/>
      </c>
      <c r="J4" s="2">
        <f>IFERROR(SUMIFS(Holdings!$E$3:$E$271,Holdings!$B$3:$B$271,"open",Holdings!$D$3:$D$271,$A4),"")</f>
        <v>0</v>
      </c>
      <c r="K4" s="81" t="str">
        <f>IFERROR(AVERAGEIFS(Holdings!$J$3:$J$271,Holdings!$B$3:$B$271,"open",Holdings!$D$3:$D$271,$A4),"")</f>
        <v/>
      </c>
      <c r="L4" s="2">
        <v>1</v>
      </c>
      <c r="M4" s="1" t="str">
        <f t="shared" si="1"/>
        <v/>
      </c>
      <c r="N4" s="9" t="str">
        <f t="shared" si="5"/>
        <v/>
      </c>
      <c r="O4" s="9" t="str">
        <f t="shared" si="3"/>
        <v/>
      </c>
      <c r="P4" s="2">
        <f t="shared" si="6"/>
        <v>0</v>
      </c>
    </row>
    <row r="5" spans="1:16">
      <c r="A5" t="s">
        <v>140</v>
      </c>
      <c r="B5" s="1">
        <v>9.0500000000000007</v>
      </c>
      <c r="C5" s="1">
        <v>8.4</v>
      </c>
      <c r="D5" s="9">
        <f>IFERROR(SUMIFS(Holdings!$U$3:$U$271,Holdings!$B$3:$B$271,"open",Holdings!$D$3:$D$271,A5)/SUMIFS(Holdings!$E$3:$E$271,Holdings!$B$3:$B$271,"open",Holdings!$D$3:$D$271,A5),"")</f>
        <v>6.96</v>
      </c>
      <c r="E5" s="1">
        <f>(B5-C5)*SUMIFS(Holdings!$E$3:$E$271,Holdings!$B$3:$B$271,"open",Holdings!$D$3:$D$271,A5)</f>
        <v>533.00000000000034</v>
      </c>
      <c r="F5" s="1">
        <f>IFERROR((B5-D5)*SUMIFS(Holdings!$E$3:$E$271,Holdings!$B$3:$B$271,"open",Holdings!$D$3:$D$271,A5),"")</f>
        <v>1713.8000000000006</v>
      </c>
      <c r="G5" s="25">
        <f t="shared" ref="G5" si="8">IFERROR((B5-C5)/C5,"")</f>
        <v>7.7380952380952425E-2</v>
      </c>
      <c r="H5" s="25">
        <f t="shared" ref="H5" si="9">IFERROR((B5-D5)/D5,"")</f>
        <v>0.30028735632183917</v>
      </c>
      <c r="J5" s="2">
        <f>IFERROR(SUMIFS(Holdings!$E$3:$E$271,Holdings!$B$3:$B$271,"open",Holdings!$D$3:$D$271,$A5),"")</f>
        <v>820</v>
      </c>
      <c r="K5" s="81">
        <f>IFERROR(AVERAGEIFS(Holdings!$J$3:$J$271,Holdings!$B$3:$B$271,"open",Holdings!$D$3:$D$271,$A5),"")</f>
        <v>0.28000000000000025</v>
      </c>
      <c r="L5" s="2">
        <v>11</v>
      </c>
      <c r="M5" s="1">
        <f t="shared" ref="M5" si="10">IFERROR(K5*L5+D5,"")</f>
        <v>10.040000000000003</v>
      </c>
      <c r="N5" s="9">
        <f t="shared" ref="N5" si="11">IFERROR(M5-B5,"")</f>
        <v>0.99000000000000199</v>
      </c>
      <c r="O5" s="9">
        <f t="shared" ref="O5" si="12">IFERROR((B5-D5)/K5,"")</f>
        <v>7.46428571428571</v>
      </c>
      <c r="P5" s="2">
        <f t="shared" ref="P5" si="13">J5*B5</f>
        <v>7421.0000000000009</v>
      </c>
    </row>
    <row r="6" spans="1:16">
      <c r="A6" t="s">
        <v>78</v>
      </c>
      <c r="B6" s="1">
        <v>23.12</v>
      </c>
      <c r="C6" s="1">
        <v>23.07</v>
      </c>
      <c r="D6" s="9">
        <f>IFERROR(SUMIFS(Holdings!$U$3:$U$271,Holdings!$B$3:$B$271,"open",Holdings!$D$3:$D$271,A6)/SUMIFS(Holdings!$E$3:$E$271,Holdings!$B$3:$B$271,"open",Holdings!$D$3:$D$271,A6),"")</f>
        <v>20.018999999999998</v>
      </c>
      <c r="E6" s="1">
        <f>(B6-C6)*SUMIFS(Holdings!$E$3:$E$271,Holdings!$B$3:$B$271,"open",Holdings!$D$3:$D$271,A6)</f>
        <v>10.200000000000145</v>
      </c>
      <c r="F6" s="1">
        <f>IFERROR((B6-D6)*SUMIFS(Holdings!$E$3:$E$271,Holdings!$B$3:$B$271,"open",Holdings!$D$3:$D$271,A6),"")</f>
        <v>632.6040000000005</v>
      </c>
      <c r="G6" s="25">
        <f t="shared" si="7"/>
        <v>2.1673168617252149E-3</v>
      </c>
      <c r="H6" s="25">
        <f t="shared" si="4"/>
        <v>0.15490284229981532</v>
      </c>
      <c r="J6" s="2">
        <f>IFERROR(SUMIFS(Holdings!$E$3:$E$271,Holdings!$B$3:$B$271,"open",Holdings!$D$3:$D$271,$A6),"")</f>
        <v>204</v>
      </c>
      <c r="K6" s="81">
        <f>IFERROR(AVERAGEIFS(Holdings!$J$3:$J$271,Holdings!$B$3:$B$271,"open",Holdings!$D$3:$D$271,$A6),"")</f>
        <v>2.4889999999999972</v>
      </c>
      <c r="L6" s="2">
        <v>1</v>
      </c>
      <c r="M6" s="1">
        <f t="shared" si="1"/>
        <v>22.507999999999996</v>
      </c>
      <c r="N6" s="9">
        <f t="shared" si="5"/>
        <v>-0.61200000000000543</v>
      </c>
      <c r="O6" s="9">
        <f t="shared" si="3"/>
        <v>1.2458818802732046</v>
      </c>
      <c r="P6" s="2">
        <f t="shared" si="6"/>
        <v>4716.4800000000005</v>
      </c>
    </row>
    <row r="7" spans="1:16">
      <c r="A7" t="s">
        <v>35</v>
      </c>
      <c r="B7" s="1">
        <v>9.84</v>
      </c>
      <c r="C7" s="1">
        <v>9.84</v>
      </c>
      <c r="D7" s="9" t="str">
        <f>IFERROR(SUMIFS(Holdings!$U$3:$U$271,Holdings!$B$3:$B$271,"open",Holdings!$D$3:$D$271,A7)/SUMIFS(Holdings!$E$3:$E$271,Holdings!$B$3:$B$271,"open",Holdings!$D$3:$D$271,A7),"")</f>
        <v/>
      </c>
      <c r="E7" s="1">
        <f>(B7-C7)*SUMIFS(Holdings!$E$3:$E$271,Holdings!$B$3:$B$271,"open",Holdings!$D$3:$D$271,A7)</f>
        <v>0</v>
      </c>
      <c r="F7" s="1" t="str">
        <f>IFERROR((B7-D7)*SUMIFS(Holdings!$E$3:$E$271,Holdings!$B$3:$B$271,"open",Holdings!$D$3:$D$271,A7),"")</f>
        <v/>
      </c>
      <c r="G7" s="25">
        <f t="shared" si="7"/>
        <v>0</v>
      </c>
      <c r="H7" s="25" t="str">
        <f t="shared" si="4"/>
        <v/>
      </c>
      <c r="J7" s="2">
        <f>IFERROR(SUMIFS(Holdings!$E$3:$E$271,Holdings!$B$3:$B$271,"open",Holdings!$D$3:$D$271,$A7),"")</f>
        <v>0</v>
      </c>
      <c r="K7" s="81" t="str">
        <f>IFERROR(AVERAGEIFS(Holdings!$J$3:$J$271,Holdings!$B$3:$B$271,"open",Holdings!$D$3:$D$271,$A7),"")</f>
        <v/>
      </c>
      <c r="L7" s="2">
        <v>1</v>
      </c>
      <c r="M7" s="1" t="str">
        <f t="shared" ref="M7:M19" si="14">IFERROR(K7*L7+D7,"")</f>
        <v/>
      </c>
      <c r="N7" s="9" t="str">
        <f t="shared" si="5"/>
        <v/>
      </c>
      <c r="O7" s="9" t="str">
        <f t="shared" ref="O7:O19" si="15">IFERROR((B7-D7)/K7,"")</f>
        <v/>
      </c>
      <c r="P7" s="2">
        <f t="shared" si="6"/>
        <v>0</v>
      </c>
    </row>
    <row r="8" spans="1:16">
      <c r="A8" t="s">
        <v>43</v>
      </c>
      <c r="B8" s="98">
        <v>8.01</v>
      </c>
      <c r="C8" s="98">
        <v>8.19</v>
      </c>
      <c r="D8" s="9">
        <f>IFERROR(SUMIFS(Holdings!$U$3:$U$271,Holdings!$B$3:$B$271,"open",Holdings!$D$3:$D$271,A8)/SUMIFS(Holdings!$E$3:$E$271,Holdings!$B$3:$B$271,"open",Holdings!$D$3:$D$271,A8),"")</f>
        <v>8.4</v>
      </c>
      <c r="E8" s="1">
        <f>(B8-C8)*SUMIFS(Holdings!$E$3:$E$271,Holdings!$B$3:$B$271,"open",Holdings!$D$3:$D$271,A8)</f>
        <v>-43.379999999999932</v>
      </c>
      <c r="F8" s="1">
        <f>IFERROR((B8-D8)*SUMIFS(Holdings!$E$3:$E$271,Holdings!$B$3:$B$271,"open",Holdings!$D$3:$D$271,A8),"")</f>
        <v>-93.990000000000137</v>
      </c>
      <c r="G8" s="25">
        <f t="shared" si="7"/>
        <v>-2.1978021978021945E-2</v>
      </c>
      <c r="H8" s="25">
        <f t="shared" si="4"/>
        <v>-4.6428571428571493E-2</v>
      </c>
      <c r="J8" s="2">
        <f>IFERROR(SUMIFS(Holdings!$E$3:$E$271,Holdings!$B$3:$B$271,"open",Holdings!$D$3:$D$271,$A8),"")</f>
        <v>241</v>
      </c>
      <c r="K8" s="81">
        <f>IFERROR(AVERAGEIFS(Holdings!$J$3:$J$271,Holdings!$B$3:$B$271,"open",Holdings!$D$3:$D$271,$A8),"")</f>
        <v>2.2700000000000005</v>
      </c>
      <c r="L8" s="2">
        <v>1</v>
      </c>
      <c r="M8" s="1">
        <f t="shared" si="14"/>
        <v>10.670000000000002</v>
      </c>
      <c r="N8" s="9">
        <f t="shared" si="5"/>
        <v>2.6600000000000019</v>
      </c>
      <c r="O8" s="9">
        <f t="shared" si="15"/>
        <v>-0.17180616740088128</v>
      </c>
      <c r="P8" s="2">
        <f t="shared" si="6"/>
        <v>1930.4099999999999</v>
      </c>
    </row>
    <row r="9" spans="1:16">
      <c r="A9" t="s">
        <v>84</v>
      </c>
      <c r="B9" s="98">
        <f>B8</f>
        <v>8.01</v>
      </c>
      <c r="C9" s="98">
        <f>C8</f>
        <v>8.19</v>
      </c>
      <c r="D9" s="9">
        <f>IFERROR(SUMIFS(Holdings!$U$3:$U$271,Holdings!$B$3:$B$271,"open",Holdings!$D$3:$D$271,A9)/SUMIFS(Holdings!$E$3:$E$271,Holdings!$B$3:$B$271,"open",Holdings!$D$3:$D$271,A9),"")</f>
        <v>10.271403508771931</v>
      </c>
      <c r="E9" s="1">
        <f>(B9-C9)*SUMIFS(Holdings!$E$3:$E$271,Holdings!$B$3:$B$271,"open",Holdings!$D$3:$D$271,A9)</f>
        <v>-1025.9999999999984</v>
      </c>
      <c r="F9" s="1">
        <f>IFERROR((B9-D9)*SUMIFS(Holdings!$E$3:$E$271,Holdings!$B$3:$B$271,"open",Holdings!$D$3:$D$271,A9),"")</f>
        <v>-12890.000000000005</v>
      </c>
      <c r="G9" s="25">
        <f t="shared" si="7"/>
        <v>-2.1978021978021945E-2</v>
      </c>
      <c r="H9" s="25">
        <f t="shared" ref="H9:H11" si="16">IFERROR((B9-D9)/D9,"")</f>
        <v>-0.22016499564452499</v>
      </c>
      <c r="J9" s="2">
        <f>IFERROR(SUMIFS(Holdings!$E$3:$E$271,Holdings!$B$3:$B$271,"open",Holdings!$D$3:$D$271,$A9),"")</f>
        <v>5700</v>
      </c>
      <c r="K9" s="81">
        <f>IFERROR(AVERAGEIFS(Holdings!$J$3:$J$271,Holdings!$B$3:$B$271,"open",Holdings!$D$3:$D$271,$A9),"")</f>
        <v>1.8079999999999998</v>
      </c>
      <c r="L9" s="2">
        <v>1</v>
      </c>
      <c r="M9" s="1">
        <f t="shared" ref="M9:M11" si="17">IFERROR(K9*L9+D9,"")</f>
        <v>12.07940350877193</v>
      </c>
      <c r="N9" s="9">
        <f t="shared" ref="N9:N11" si="18">IFERROR(M9-B9,"")</f>
        <v>4.0694035087719307</v>
      </c>
      <c r="O9" s="9">
        <f t="shared" ref="O9:O11" si="19">IFERROR((B9-D9)/K9,"")</f>
        <v>-1.2507762769756257</v>
      </c>
      <c r="P9" s="2">
        <f t="shared" si="6"/>
        <v>45657</v>
      </c>
    </row>
    <row r="10" spans="1:16">
      <c r="A10" t="s">
        <v>118</v>
      </c>
      <c r="B10" s="1">
        <v>12.78</v>
      </c>
      <c r="C10" s="1">
        <v>12.78</v>
      </c>
      <c r="D10" s="9" t="str">
        <f>IFERROR(SUMIFS(Holdings!$U$3:$U$271,Holdings!$B$3:$B$271,"open",Holdings!$D$3:$D$271,A10)/SUMIFS(Holdings!$E$3:$E$271,Holdings!$B$3:$B$271,"open",Holdings!$D$3:$D$271,A10),"")</f>
        <v/>
      </c>
      <c r="E10" s="1">
        <f>(B10-C10)*SUMIFS(Holdings!$E$3:$E$271,Holdings!$B$3:$B$271,"open",Holdings!$D$3:$D$271,A10)</f>
        <v>0</v>
      </c>
      <c r="F10" s="1" t="str">
        <f>IFERROR((B10-D10)*SUMIFS(Holdings!$E$3:$E$271,Holdings!$B$3:$B$271,"open",Holdings!$D$3:$D$271,A10),"")</f>
        <v/>
      </c>
      <c r="G10" s="25">
        <f t="shared" ref="G10:G11" si="20">IFERROR((B10-C10)/C10,"")</f>
        <v>0</v>
      </c>
      <c r="H10" s="25" t="str">
        <f t="shared" si="16"/>
        <v/>
      </c>
      <c r="J10" s="2">
        <f>IFERROR(SUMIFS(Holdings!$E$3:$E$271,Holdings!$B$3:$B$271,"open",Holdings!$D$3:$D$271,$A10),"")</f>
        <v>0</v>
      </c>
      <c r="K10" s="81" t="str">
        <f>IFERROR(AVERAGEIFS(Holdings!$J$3:$J$271,Holdings!$B$3:$B$271,"open",Holdings!$D$3:$D$271,$A10),"")</f>
        <v/>
      </c>
      <c r="L10" s="2">
        <v>1</v>
      </c>
      <c r="M10" s="1" t="str">
        <f t="shared" si="17"/>
        <v/>
      </c>
      <c r="N10" s="9" t="str">
        <f t="shared" si="18"/>
        <v/>
      </c>
      <c r="O10" s="9" t="str">
        <f t="shared" si="19"/>
        <v/>
      </c>
      <c r="P10" s="2">
        <f t="shared" ref="P10:P11" si="21">J10*B10</f>
        <v>0</v>
      </c>
    </row>
    <row r="11" spans="1:16">
      <c r="A11" t="s">
        <v>139</v>
      </c>
      <c r="B11" s="1">
        <v>75.08</v>
      </c>
      <c r="C11" s="1">
        <v>75.08</v>
      </c>
      <c r="D11" s="9" t="str">
        <f>IFERROR(SUMIFS(Holdings!$U$3:$U$271,Holdings!$B$3:$B$271,"open",Holdings!$D$3:$D$271,A11)/SUMIFS(Holdings!$E$3:$E$271,Holdings!$B$3:$B$271,"open",Holdings!$D$3:$D$271,A11),"")</f>
        <v/>
      </c>
      <c r="E11" s="1">
        <f>(B11-C11)*SUMIFS(Holdings!$E$3:$E$271,Holdings!$B$3:$B$271,"open",Holdings!$D$3:$D$271,A11)</f>
        <v>0</v>
      </c>
      <c r="F11" s="1" t="str">
        <f>IFERROR((B11-D11)*SUMIFS(Holdings!$E$3:$E$271,Holdings!$B$3:$B$271,"open",Holdings!$D$3:$D$271,A11),"")</f>
        <v/>
      </c>
      <c r="G11" s="25">
        <f t="shared" si="20"/>
        <v>0</v>
      </c>
      <c r="H11" s="25" t="str">
        <f t="shared" si="16"/>
        <v/>
      </c>
      <c r="J11" s="2">
        <f>IFERROR(SUMIFS(Holdings!$E$3:$E$271,Holdings!$B$3:$B$271,"open",Holdings!$D$3:$D$271,$A11),"")</f>
        <v>0</v>
      </c>
      <c r="K11" s="81" t="str">
        <f>IFERROR(AVERAGEIFS(Holdings!$J$3:$J$271,Holdings!$B$3:$B$271,"open",Holdings!$D$3:$D$271,$A11),"")</f>
        <v/>
      </c>
      <c r="L11" s="2">
        <v>1</v>
      </c>
      <c r="M11" s="1" t="str">
        <f t="shared" si="17"/>
        <v/>
      </c>
      <c r="N11" s="9" t="str">
        <f t="shared" si="18"/>
        <v/>
      </c>
      <c r="O11" s="9" t="str">
        <f t="shared" si="19"/>
        <v/>
      </c>
      <c r="P11" s="2">
        <f t="shared" si="21"/>
        <v>0</v>
      </c>
    </row>
    <row r="12" spans="1:16">
      <c r="A12" t="s">
        <v>11</v>
      </c>
      <c r="B12" s="1">
        <v>17.07</v>
      </c>
      <c r="C12" s="1">
        <v>18.399999999999999</v>
      </c>
      <c r="D12" s="9">
        <f>IFERROR(SUMIFS(Holdings!$U$3:$U$271,Holdings!$B$3:$B$271,"open",Holdings!$D$3:$D$271,A12)/SUMIFS(Holdings!$E$3:$E$271,Holdings!$B$3:$B$271,"open",Holdings!$D$3:$D$271,A12),"")</f>
        <v>18.309999999999999</v>
      </c>
      <c r="E12" s="1">
        <f>(B12-C12)*SUMIFS(Holdings!$E$3:$E$271,Holdings!$B$3:$B$271,"open",Holdings!$D$3:$D$271,A12)</f>
        <v>-531.99999999999932</v>
      </c>
      <c r="F12" s="1">
        <f>IFERROR((B12-D12)*SUMIFS(Holdings!$E$3:$E$271,Holdings!$B$3:$B$271,"open",Holdings!$D$3:$D$271,A12),"")</f>
        <v>-495.99999999999937</v>
      </c>
      <c r="G12" s="25">
        <f t="shared" si="7"/>
        <v>-7.228260869565209E-2</v>
      </c>
      <c r="H12" s="25">
        <f t="shared" ref="H12:H18" si="22">IFERROR((B12-D12)/D12,"")</f>
        <v>-6.7722555980338536E-2</v>
      </c>
      <c r="J12" s="2">
        <f>IFERROR(SUMIFS(Holdings!$E$3:$E$271,Holdings!$B$3:$B$271,"open",Holdings!$D$3:$D$271,$A12),"")</f>
        <v>400</v>
      </c>
      <c r="K12" s="81">
        <f>IFERROR(AVERAGEIFS(Holdings!$J$3:$J$271,Holdings!$B$3:$B$271,"open",Holdings!$D$3:$D$271,$A12),"")</f>
        <v>0.3100000000000005</v>
      </c>
      <c r="L12" s="2">
        <v>1</v>
      </c>
      <c r="M12" s="1">
        <f t="shared" si="14"/>
        <v>18.619999999999997</v>
      </c>
      <c r="N12" s="9">
        <f t="shared" si="5"/>
        <v>1.5499999999999972</v>
      </c>
      <c r="O12" s="9">
        <f t="shared" si="15"/>
        <v>-3.9999999999999885</v>
      </c>
      <c r="P12" s="2">
        <f t="shared" si="6"/>
        <v>6828</v>
      </c>
    </row>
    <row r="13" spans="1:16">
      <c r="A13" t="s">
        <v>134</v>
      </c>
      <c r="B13" s="1">
        <v>57.51</v>
      </c>
      <c r="C13" s="1">
        <v>57.51</v>
      </c>
      <c r="D13" s="9" t="str">
        <f>IFERROR(SUMIFS(Holdings!$U$3:$U$271,Holdings!$B$3:$B$271,"open",Holdings!$D$3:$D$271,A13)/SUMIFS(Holdings!$E$3:$E$271,Holdings!$B$3:$B$271,"open",Holdings!$D$3:$D$271,A13),"")</f>
        <v/>
      </c>
      <c r="E13" s="1">
        <f>(B13-C13)*SUMIFS(Holdings!$E$3:$E$271,Holdings!$B$3:$B$271,"open",Holdings!$D$3:$D$271,A13)</f>
        <v>0</v>
      </c>
      <c r="F13" s="1" t="str">
        <f>IFERROR((B13-D13)*SUMIFS(Holdings!$E$3:$E$271,Holdings!$B$3:$B$271,"open",Holdings!$D$3:$D$271,A13),"")</f>
        <v/>
      </c>
      <c r="G13" s="25">
        <f t="shared" si="7"/>
        <v>0</v>
      </c>
      <c r="H13" s="25" t="str">
        <f t="shared" si="22"/>
        <v/>
      </c>
      <c r="J13" s="2">
        <f>IFERROR(SUMIFS(Holdings!$E$3:$E$271,Holdings!$B$3:$B$271,"open",Holdings!$D$3:$D$271,$A13),"")</f>
        <v>0</v>
      </c>
      <c r="K13" s="81" t="str">
        <f>IFERROR(AVERAGEIFS(Holdings!$J$3:$J$271,Holdings!$B$3:$B$271,"open",Holdings!$D$3:$D$271,$A13),"")</f>
        <v/>
      </c>
      <c r="L13" s="2">
        <v>1</v>
      </c>
      <c r="M13" s="1" t="str">
        <f t="shared" si="14"/>
        <v/>
      </c>
      <c r="N13" s="9" t="str">
        <f t="shared" si="5"/>
        <v/>
      </c>
      <c r="O13" s="9" t="str">
        <f t="shared" si="15"/>
        <v/>
      </c>
      <c r="P13" s="2">
        <f t="shared" si="6"/>
        <v>0</v>
      </c>
    </row>
    <row r="14" spans="1:16">
      <c r="A14" t="s">
        <v>83</v>
      </c>
      <c r="B14" s="1">
        <v>80.709999999999994</v>
      </c>
      <c r="C14" s="1">
        <v>80.709999999999994</v>
      </c>
      <c r="D14" s="9" t="str">
        <f>IFERROR(SUMIFS(Holdings!$U$3:$U$271,Holdings!$B$3:$B$271,"open",Holdings!$D$3:$D$271,$A14)/SUMIFS(Holdings!$E$3:$E$271,Holdings!$B$3:$B$271,"open",Holdings!$D$3:$D$271,$A14),"")</f>
        <v/>
      </c>
      <c r="E14" s="1">
        <f>(B14-C14)*SUMIFS(Holdings!$E$3:$E$271,Holdings!$B$3:$B$271,"open",Holdings!$D$3:$D$271,A14)</f>
        <v>0</v>
      </c>
      <c r="F14" s="1" t="str">
        <f>IFERROR((B14-D14)*SUMIFS(Holdings!$E$3:$E$271,Holdings!$B$3:$B$271,"open",Holdings!$D$3:$D$271,A14),"")</f>
        <v/>
      </c>
      <c r="G14" s="25">
        <f t="shared" si="7"/>
        <v>0</v>
      </c>
      <c r="H14" s="25" t="str">
        <f t="shared" si="22"/>
        <v/>
      </c>
      <c r="J14" s="2">
        <f>IFERROR(SUMIFS(Holdings!$E$3:$E$271,Holdings!$B$3:$B$271,"open",Holdings!$D$3:$D$271,$A14),"")</f>
        <v>0</v>
      </c>
      <c r="K14" s="81" t="str">
        <f>IFERROR(AVERAGEIFS(Holdings!$J$3:$J$271,Holdings!$B$3:$B$271,"open",Holdings!$D$3:$D$271,$A14),"")</f>
        <v/>
      </c>
      <c r="L14" s="2">
        <v>1</v>
      </c>
      <c r="M14" s="1" t="str">
        <f t="shared" si="14"/>
        <v/>
      </c>
      <c r="N14" s="9" t="str">
        <f t="shared" si="5"/>
        <v/>
      </c>
      <c r="O14" s="9" t="str">
        <f t="shared" si="15"/>
        <v/>
      </c>
      <c r="P14" s="2">
        <f t="shared" si="6"/>
        <v>0</v>
      </c>
    </row>
    <row r="15" spans="1:16">
      <c r="A15" t="s">
        <v>12</v>
      </c>
      <c r="B15" s="1">
        <v>46.14</v>
      </c>
      <c r="C15" s="1">
        <v>46.14</v>
      </c>
      <c r="D15" s="9" t="str">
        <f>IFERROR(SUMIFS(Holdings!$U$3:$U$271,Holdings!$B$3:$B$271,"open",Holdings!$D$3:$D$271,A15)/SUMIFS(Holdings!$E$3:$E$271,Holdings!$B$3:$B$271,"open",Holdings!$D$3:$D$271,A15),"")</f>
        <v/>
      </c>
      <c r="E15" s="1">
        <f>(B15-C15)*SUMIFS(Holdings!$E$3:$E$271,Holdings!$B$3:$B$271,"open",Holdings!$D$3:$D$271,A15)</f>
        <v>0</v>
      </c>
      <c r="F15" s="1" t="str">
        <f>IFERROR((B15-D15)*SUMIFS(Holdings!$E$3:$E$271,Holdings!$B$3:$B$271,"open",Holdings!$D$3:$D$271,A15),"")</f>
        <v/>
      </c>
      <c r="G15" s="25">
        <f t="shared" ref="G15" si="23">IFERROR((B15-C15)/C15,"")</f>
        <v>0</v>
      </c>
      <c r="H15" s="25" t="str">
        <f t="shared" ref="H15" si="24">IFERROR((B15-D15)/D15,"")</f>
        <v/>
      </c>
      <c r="J15" s="2">
        <f>IFERROR(SUMIFS(Holdings!$E$3:$E$271,Holdings!$B$3:$B$271,"open",Holdings!$D$3:$D$271,$A15),"")</f>
        <v>0</v>
      </c>
      <c r="K15" s="81" t="str">
        <f>IFERROR(AVERAGEIFS(Holdings!$J$3:$J$271,Holdings!$B$3:$B$271,"open",Holdings!$D$3:$D$271,$A15),"")</f>
        <v/>
      </c>
      <c r="L15" s="2">
        <v>4</v>
      </c>
      <c r="M15" s="1" t="str">
        <f t="shared" si="14"/>
        <v/>
      </c>
      <c r="N15" s="9" t="str">
        <f t="shared" ref="N15" si="25">IFERROR(M15-B15,"")</f>
        <v/>
      </c>
      <c r="O15" s="9" t="str">
        <f t="shared" ref="O15" si="26">IFERROR((B15-D15)/K15,"")</f>
        <v/>
      </c>
      <c r="P15" s="2">
        <f t="shared" ref="P15" si="27">J15*B15</f>
        <v>0</v>
      </c>
    </row>
    <row r="16" spans="1:16">
      <c r="A16" t="s">
        <v>141</v>
      </c>
      <c r="B16" s="1">
        <v>34.96</v>
      </c>
      <c r="C16" s="1">
        <v>35.137</v>
      </c>
      <c r="D16" s="9">
        <f>IFERROR(SUMIFS(Holdings!$U$3:$U$271,Holdings!$B$3:$B$271,"open",Holdings!$D$3:$D$271,A16)/SUMIFS(Holdings!$E$3:$E$271,Holdings!$B$3:$B$271,"open",Holdings!$D$3:$D$271,A16),"")</f>
        <v>35.137417073170731</v>
      </c>
      <c r="E16" s="1">
        <f>(B16-C16)*SUMIFS(Holdings!$E$3:$E$271,Holdings!$B$3:$B$271,"open",Holdings!$D$3:$D$271,A16)</f>
        <v>-43.541999999999902</v>
      </c>
      <c r="F16" s="1">
        <f>IFERROR((B16-D16)*SUMIFS(Holdings!$E$3:$E$271,Holdings!$B$3:$B$271,"open",Holdings!$D$3:$D$271,A16),"")</f>
        <v>-43.644599999999599</v>
      </c>
      <c r="G16" s="25">
        <f t="shared" si="7"/>
        <v>-5.0374249366764269E-3</v>
      </c>
      <c r="H16" s="25">
        <f t="shared" si="22"/>
        <v>-5.0492349167633429E-3</v>
      </c>
      <c r="J16" s="2">
        <f>IFERROR(SUMIFS(Holdings!$E$3:$E$271,Holdings!$B$3:$B$271,"open",Holdings!$D$3:$D$271,$A16),"")</f>
        <v>246</v>
      </c>
      <c r="K16" s="81">
        <f>IFERROR(AVERAGEIFS(Holdings!$J$3:$J$271,Holdings!$B$3:$B$271,"open",Holdings!$D$3:$D$271,$A16),"")</f>
        <v>1.0379499999999986</v>
      </c>
      <c r="L16" s="2">
        <v>4</v>
      </c>
      <c r="M16" s="1">
        <f t="shared" ref="M16:M17" si="28">IFERROR(K16*L16+D16,"")</f>
        <v>39.289217073170725</v>
      </c>
      <c r="N16" s="9">
        <f t="shared" si="5"/>
        <v>4.3292170731707245</v>
      </c>
      <c r="O16" s="9">
        <f t="shared" si="15"/>
        <v>-0.17093026944528186</v>
      </c>
      <c r="P16" s="2">
        <f t="shared" si="6"/>
        <v>8600.16</v>
      </c>
    </row>
    <row r="17" spans="1:16">
      <c r="A17" t="s">
        <v>44</v>
      </c>
      <c r="B17" s="1">
        <v>2.3199999999999998</v>
      </c>
      <c r="C17" s="1">
        <v>2.3199999999999998</v>
      </c>
      <c r="D17" s="9" t="str">
        <f>IFERROR(SUMIFS(Holdings!$U$3:$U$271,Holdings!$B$3:$B$271,"open",Holdings!$D$3:$D$271,A17)/SUMIFS(Holdings!$E$3:$E$271,Holdings!$B$3:$B$271,"open",Holdings!$D$3:$D$271,A17),"")</f>
        <v/>
      </c>
      <c r="E17" s="1">
        <f>(B17-C17)*SUMIFS(Holdings!$E$3:$E$271,Holdings!$B$3:$B$271,"open",Holdings!$D$3:$D$271,A17)</f>
        <v>0</v>
      </c>
      <c r="F17" s="1" t="str">
        <f>IFERROR((B17-D17)*SUMIFS(Holdings!$E$3:$E$271,Holdings!$B$3:$B$271,"open",Holdings!$D$3:$D$271,A17),"")</f>
        <v/>
      </c>
      <c r="G17" s="25">
        <f t="shared" ref="G17" si="29">IFERROR((B17-C17)/C17,"")</f>
        <v>0</v>
      </c>
      <c r="H17" s="25" t="str">
        <f t="shared" ref="H17" si="30">IFERROR((B17-D17)/D17,"")</f>
        <v/>
      </c>
      <c r="J17" s="2">
        <f>IFERROR(SUMIFS(Holdings!$E$3:$E$271,Holdings!$B$3:$B$271,"open",Holdings!$D$3:$D$271,$A17),"")</f>
        <v>0</v>
      </c>
      <c r="K17" s="81" t="str">
        <f>IFERROR(AVERAGEIFS(Holdings!$J$3:$J$271,Holdings!$B$3:$B$271,"open",Holdings!$D$3:$D$271,$A17),"")</f>
        <v/>
      </c>
      <c r="L17" s="2">
        <v>1</v>
      </c>
      <c r="M17" s="1" t="str">
        <f t="shared" si="28"/>
        <v/>
      </c>
      <c r="N17" s="9" t="str">
        <f t="shared" ref="N17" si="31">IFERROR(M17-B17,"")</f>
        <v/>
      </c>
      <c r="O17" s="9" t="str">
        <f t="shared" ref="O17" si="32">IFERROR((B17-D17)/K17,"")</f>
        <v/>
      </c>
      <c r="P17" s="2">
        <f t="shared" ref="P17" si="33">J17*B17</f>
        <v>0</v>
      </c>
    </row>
    <row r="18" spans="1:16">
      <c r="A18" t="s">
        <v>50</v>
      </c>
      <c r="B18" s="1">
        <v>19.89</v>
      </c>
      <c r="C18" s="1">
        <v>20.27</v>
      </c>
      <c r="D18" s="9">
        <f>IFERROR(SUMIFS(Holdings!$U$3:$U$271,Holdings!$B$3:$B$271,"open",Holdings!$D$3:$D$271,A18)/SUMIFS(Holdings!$E$3:$E$271,Holdings!$B$3:$B$271,"open",Holdings!$D$3:$D$271,A18),"")</f>
        <v>15.445</v>
      </c>
      <c r="E18" s="1">
        <f>(B18-C18)*SUMIFS(Holdings!$E$3:$E$271,Holdings!$B$3:$B$271,"open",Holdings!$D$3:$D$271,A18)</f>
        <v>-151.9999999999996</v>
      </c>
      <c r="F18" s="1">
        <f>IFERROR((B18-D18)*SUMIFS(Holdings!$E$3:$E$271,Holdings!$B$3:$B$271,"open",Holdings!$D$3:$D$271,A18),"")</f>
        <v>1778</v>
      </c>
      <c r="G18" s="25">
        <f t="shared" si="7"/>
        <v>-1.8746916625554957E-2</v>
      </c>
      <c r="H18" s="25">
        <f t="shared" si="22"/>
        <v>0.28779540304305601</v>
      </c>
      <c r="J18" s="2">
        <f>IFERROR(SUMIFS(Holdings!$E$3:$E$271,Holdings!$B$3:$B$271,"open",Holdings!$D$3:$D$271,$A18),"")</f>
        <v>400</v>
      </c>
      <c r="K18" s="81">
        <f>IFERROR(AVERAGEIFS(Holdings!$J$3:$J$271,Holdings!$B$3:$B$271,"open",Holdings!$D$3:$D$271,$A18),"")</f>
        <v>0.44500000000000028</v>
      </c>
      <c r="L18" s="2">
        <v>1</v>
      </c>
      <c r="M18" s="1">
        <f t="shared" si="14"/>
        <v>15.89</v>
      </c>
      <c r="N18" s="9">
        <f t="shared" si="5"/>
        <v>-4</v>
      </c>
      <c r="O18" s="9">
        <f t="shared" si="15"/>
        <v>9.9887640449438138</v>
      </c>
      <c r="P18" s="2">
        <f t="shared" si="6"/>
        <v>7956</v>
      </c>
    </row>
    <row r="19" spans="1:16">
      <c r="A19" t="s">
        <v>75</v>
      </c>
      <c r="B19" s="1">
        <v>0</v>
      </c>
      <c r="C19" s="1">
        <v>0</v>
      </c>
      <c r="D19" s="9" t="str">
        <f>IFERROR(SUMIFS(Holdings!$U$3:$U$271,Holdings!$B$3:$B$271,"open",Holdings!$D$3:$D$271,A19)/SUMIFS(Holdings!$E$3:$E$271,Holdings!$B$3:$B$271,"open",Holdings!$D$3:$D$271,A19),"")</f>
        <v/>
      </c>
      <c r="E19" s="1">
        <f>(B19-C19)*SUMIFS(Holdings!$E$3:$E$271,Holdings!$B$3:$B$271,"open",Holdings!$D$3:$D$271,A19)</f>
        <v>0</v>
      </c>
      <c r="F19" s="1" t="str">
        <f>IFERROR((B19-D19)*SUMIFS(Holdings!$E$3:$E$271,Holdings!$B$3:$B$271,"open",Holdings!$D$3:$D$271,A19),"")</f>
        <v/>
      </c>
      <c r="G19" s="25" t="str">
        <f t="shared" si="7"/>
        <v/>
      </c>
      <c r="H19" s="25" t="str">
        <f t="shared" si="4"/>
        <v/>
      </c>
      <c r="J19" s="2">
        <f>IFERROR(SUMIFS(Holdings!$E$3:$E$271,Holdings!$B$3:$B$271,"open",Holdings!$D$3:$D$271,$A19),"")</f>
        <v>0</v>
      </c>
      <c r="K19" s="81" t="str">
        <f>IFERROR(AVERAGEIFS(Holdings!$J$3:$J$271,Holdings!$B$3:$B$271,"open",Holdings!$D$3:$D$271,$A19),"")</f>
        <v/>
      </c>
      <c r="M19" s="1" t="str">
        <f t="shared" si="14"/>
        <v/>
      </c>
      <c r="N19" s="9" t="str">
        <f t="shared" si="5"/>
        <v/>
      </c>
      <c r="O19" s="9" t="str">
        <f t="shared" si="15"/>
        <v/>
      </c>
      <c r="P19" s="2">
        <f t="shared" si="6"/>
        <v>0</v>
      </c>
    </row>
    <row r="20" spans="1:16">
      <c r="D20" t="s">
        <v>98</v>
      </c>
      <c r="E20" s="9">
        <f>SUM(E2:E19)</f>
        <v>-1253.7219999999966</v>
      </c>
      <c r="F20" s="9">
        <f>SUM(F2:F19)</f>
        <v>-9399.2306000000044</v>
      </c>
      <c r="G20" s="9"/>
    </row>
    <row r="21" spans="1:16">
      <c r="D21" t="s">
        <v>99</v>
      </c>
      <c r="E21" s="1">
        <f>Holdings!$R$1</f>
        <v>456.76940000000104</v>
      </c>
    </row>
    <row r="25" spans="1:16">
      <c r="E25">
        <v>0.75</v>
      </c>
      <c r="F25">
        <f>1-E25</f>
        <v>0.25</v>
      </c>
    </row>
    <row r="26" spans="1:16">
      <c r="A26" t="s">
        <v>122</v>
      </c>
      <c r="B26" s="1" t="s">
        <v>121</v>
      </c>
      <c r="C26" t="s">
        <v>123</v>
      </c>
      <c r="D26" t="s">
        <v>124</v>
      </c>
      <c r="E26" t="s">
        <v>120</v>
      </c>
      <c r="F26" t="s">
        <v>125</v>
      </c>
    </row>
    <row r="27" spans="1:16">
      <c r="A27">
        <v>1200</v>
      </c>
      <c r="B27" s="1">
        <v>600</v>
      </c>
      <c r="C27">
        <v>8</v>
      </c>
      <c r="D27" s="9">
        <f>B27*C27</f>
        <v>4800</v>
      </c>
      <c r="E27" s="9">
        <f>D27*E25</f>
        <v>3600</v>
      </c>
      <c r="F27" s="9">
        <f>D27-E27</f>
        <v>1200</v>
      </c>
    </row>
    <row r="28" spans="1:16">
      <c r="D28" s="9">
        <v>4800</v>
      </c>
      <c r="E28" s="9">
        <v>2400</v>
      </c>
      <c r="F28" s="9">
        <f>D28-E28</f>
        <v>2400</v>
      </c>
    </row>
    <row r="29" spans="1:16">
      <c r="D29" s="9">
        <v>4800</v>
      </c>
      <c r="E29" s="9">
        <v>3000</v>
      </c>
      <c r="F29" s="9">
        <f>D29-E29</f>
        <v>1800</v>
      </c>
    </row>
    <row r="30" spans="1:16">
      <c r="D30" s="9">
        <v>4800</v>
      </c>
      <c r="E30" s="9">
        <v>2800</v>
      </c>
      <c r="F30" s="9">
        <f>D30-E30</f>
        <v>2000</v>
      </c>
    </row>
    <row r="31" spans="1:16">
      <c r="A31">
        <v>1200</v>
      </c>
      <c r="B31" s="1">
        <v>600</v>
      </c>
      <c r="C31">
        <v>7</v>
      </c>
      <c r="D31" s="9">
        <f>B31*C31</f>
        <v>4200</v>
      </c>
      <c r="E31" s="9">
        <v>4200</v>
      </c>
      <c r="F31" s="9">
        <f>E31*0.2+600</f>
        <v>1440</v>
      </c>
    </row>
  </sheetData>
  <sortState ref="A1:B9">
    <sortCondition ref="A1"/>
  </sortState>
  <phoneticPr fontId="7" type="noConversion"/>
  <conditionalFormatting sqref="M2:M4 M12:M13 M6:M8">
    <cfRule type="cellIs" dxfId="8" priority="34" operator="lessThanOrEqual">
      <formula>$B2</formula>
    </cfRule>
  </conditionalFormatting>
  <conditionalFormatting sqref="M18:M19 M14">
    <cfRule type="cellIs" dxfId="7" priority="17" operator="lessThanOrEqual">
      <formula>$B14</formula>
    </cfRule>
  </conditionalFormatting>
  <conditionalFormatting sqref="M9">
    <cfRule type="cellIs" dxfId="6" priority="15" operator="lessThanOrEqual">
      <formula>$B9</formula>
    </cfRule>
  </conditionalFormatting>
  <conditionalFormatting sqref="M16">
    <cfRule type="cellIs" dxfId="5" priority="12" operator="lessThanOrEqual">
      <formula>$B16</formula>
    </cfRule>
  </conditionalFormatting>
  <conditionalFormatting sqref="M10">
    <cfRule type="cellIs" dxfId="4" priority="7" operator="lessThanOrEqual">
      <formula>$B10</formula>
    </cfRule>
  </conditionalFormatting>
  <conditionalFormatting sqref="M15">
    <cfRule type="cellIs" dxfId="3" priority="5" operator="lessThanOrEqual">
      <formula>$B15</formula>
    </cfRule>
  </conditionalFormatting>
  <conditionalFormatting sqref="M17">
    <cfRule type="cellIs" dxfId="2" priority="4" operator="lessThanOrEqual">
      <formula>$B17</formula>
    </cfRule>
  </conditionalFormatting>
  <conditionalFormatting sqref="M11">
    <cfRule type="cellIs" dxfId="1" priority="2" operator="lessThanOrEqual">
      <formula>$B11</formula>
    </cfRule>
  </conditionalFormatting>
  <conditionalFormatting sqref="M5">
    <cfRule type="cellIs" dxfId="0" priority="1" operator="lessThanOrEqual">
      <formula>$B5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8" workbookViewId="0">
      <selection activeCell="A27" sqref="A27"/>
    </sheetView>
  </sheetViews>
  <sheetFormatPr baseColWidth="10" defaultRowHeight="15" x14ac:dyDescent="0"/>
  <cols>
    <col min="2" max="2" width="7.1640625" customWidth="1"/>
    <col min="3" max="3" width="7" customWidth="1"/>
    <col min="4" max="4" width="7.33203125" customWidth="1"/>
    <col min="5" max="5" width="8.1640625" customWidth="1"/>
    <col min="6" max="6" width="7.5" customWidth="1"/>
    <col min="7" max="7" width="5.83203125" customWidth="1"/>
    <col min="8" max="8" width="11.5" bestFit="1" customWidth="1"/>
    <col min="10" max="10" width="11.33203125" customWidth="1"/>
    <col min="11" max="11" width="11.5" bestFit="1" customWidth="1"/>
    <col min="12" max="12" width="8" customWidth="1"/>
    <col min="14" max="14" width="12.1640625" customWidth="1"/>
    <col min="15" max="15" width="7.1640625" customWidth="1"/>
    <col min="16" max="16" width="5.6640625" customWidth="1"/>
    <col min="19" max="19" width="6.83203125" customWidth="1"/>
    <col min="22" max="22" width="12" customWidth="1"/>
  </cols>
  <sheetData>
    <row r="1" spans="1:23">
      <c r="A1">
        <v>304000</v>
      </c>
      <c r="C1" t="s">
        <v>127</v>
      </c>
      <c r="D1" t="s">
        <v>128</v>
      </c>
      <c r="E1" t="s">
        <v>129</v>
      </c>
      <c r="G1" t="s">
        <v>130</v>
      </c>
      <c r="H1" t="s">
        <v>131</v>
      </c>
    </row>
    <row r="2" spans="1:23">
      <c r="A2">
        <v>2</v>
      </c>
      <c r="C2">
        <f>E2/(250/12)</f>
        <v>480</v>
      </c>
      <c r="D2">
        <f>C2*5</f>
        <v>2400</v>
      </c>
      <c r="E2">
        <v>10000</v>
      </c>
      <c r="G2" s="102">
        <f>C2/(A1*A2)</f>
        <v>7.894736842105263E-4</v>
      </c>
      <c r="H2" s="27">
        <f>(1+G2)^250-1</f>
        <v>0.21809791183954852</v>
      </c>
      <c r="K2" s="2">
        <f>C2*250</f>
        <v>120000</v>
      </c>
    </row>
    <row r="3" spans="1:23">
      <c r="E3" s="2"/>
    </row>
    <row r="11" spans="1:23">
      <c r="E11" t="s">
        <v>159</v>
      </c>
      <c r="G11" t="s">
        <v>160</v>
      </c>
    </row>
    <row r="12" spans="1:23">
      <c r="E12" s="102">
        <v>5.0000000000000001E-3</v>
      </c>
      <c r="G12" s="102">
        <v>0.05</v>
      </c>
    </row>
    <row r="14" spans="1:23">
      <c r="A14" t="s">
        <v>142</v>
      </c>
      <c r="B14" t="s">
        <v>143</v>
      </c>
      <c r="C14" t="s">
        <v>144</v>
      </c>
      <c r="D14" t="s">
        <v>145</v>
      </c>
      <c r="E14" t="s">
        <v>146</v>
      </c>
      <c r="F14" t="s">
        <v>161</v>
      </c>
      <c r="G14" t="s">
        <v>147</v>
      </c>
      <c r="H14" t="s">
        <v>148</v>
      </c>
      <c r="I14" t="s">
        <v>149</v>
      </c>
      <c r="J14" t="s">
        <v>150</v>
      </c>
      <c r="K14" t="s">
        <v>151</v>
      </c>
      <c r="L14" t="s">
        <v>48</v>
      </c>
      <c r="M14" t="s">
        <v>152</v>
      </c>
      <c r="N14" t="s">
        <v>66</v>
      </c>
      <c r="O14" t="s">
        <v>153</v>
      </c>
      <c r="P14" t="s">
        <v>106</v>
      </c>
      <c r="Q14" t="s">
        <v>154</v>
      </c>
      <c r="R14" t="s">
        <v>155</v>
      </c>
      <c r="S14" t="s">
        <v>156</v>
      </c>
      <c r="T14" t="s">
        <v>157</v>
      </c>
      <c r="U14" t="s">
        <v>158</v>
      </c>
    </row>
    <row r="15" spans="1:23">
      <c r="C15">
        <v>0</v>
      </c>
      <c r="F15" s="6"/>
      <c r="G15">
        <v>2.5</v>
      </c>
      <c r="H15" s="2">
        <v>100000</v>
      </c>
      <c r="J15" s="1"/>
      <c r="R15" s="6">
        <f>H15+Q15</f>
        <v>100000</v>
      </c>
      <c r="T15" s="6">
        <f>MIN($H$15,K15)</f>
        <v>100000</v>
      </c>
      <c r="U15" s="9">
        <f>MAX(0,K15-T15)</f>
        <v>0</v>
      </c>
      <c r="V15" s="9">
        <f>T15-M15</f>
        <v>100000</v>
      </c>
      <c r="W15" s="6">
        <f>U15+V15</f>
        <v>100000</v>
      </c>
    </row>
    <row r="16" spans="1:23">
      <c r="A16" s="1">
        <v>50</v>
      </c>
      <c r="B16">
        <f>ROUNDDOWN(F16/G15,0)</f>
        <v>200</v>
      </c>
      <c r="C16" s="2">
        <f>C15+B16</f>
        <v>200</v>
      </c>
      <c r="D16" s="1">
        <f>A16-G15</f>
        <v>47.5</v>
      </c>
      <c r="E16">
        <f>ROUND(R15*$E$12,0)</f>
        <v>500</v>
      </c>
      <c r="F16" s="6">
        <f>$E$12*V15+$G$12*U15</f>
        <v>500</v>
      </c>
      <c r="G16">
        <f>G15</f>
        <v>2.5</v>
      </c>
      <c r="H16" s="2">
        <f>ROUND(H15-(B16*A16),0)</f>
        <v>90000</v>
      </c>
      <c r="I16" s="25">
        <f>J16/K16</f>
        <v>0.1</v>
      </c>
      <c r="J16" s="2">
        <f>A16*C16</f>
        <v>10000</v>
      </c>
      <c r="K16" s="9">
        <f>H16+J16</f>
        <v>100000</v>
      </c>
      <c r="L16" s="25">
        <f>(K16-$K$16)/$K$16</f>
        <v>0</v>
      </c>
      <c r="M16" s="9">
        <f>C16*(A16-D16)</f>
        <v>500</v>
      </c>
      <c r="N16" s="1">
        <f>(A16-O16)*C16</f>
        <v>0</v>
      </c>
      <c r="O16" s="9">
        <f>A16</f>
        <v>50</v>
      </c>
      <c r="P16" s="9">
        <f>N16/G15</f>
        <v>0</v>
      </c>
      <c r="Q16" s="6">
        <f>D16*C16</f>
        <v>9500</v>
      </c>
      <c r="R16" s="6">
        <f>H16+Q16</f>
        <v>99500</v>
      </c>
      <c r="S16" s="25">
        <f>M16/R16</f>
        <v>5.0251256281407036E-3</v>
      </c>
      <c r="T16" s="6">
        <f>MIN($H$15,K16)</f>
        <v>100000</v>
      </c>
      <c r="U16" s="9">
        <f>MAX(0,K16-T16)</f>
        <v>0</v>
      </c>
      <c r="V16" s="9">
        <f>T16-M16</f>
        <v>99500</v>
      </c>
      <c r="W16" s="6">
        <f>U16+V16</f>
        <v>99500</v>
      </c>
    </row>
    <row r="17" spans="1:23">
      <c r="A17" s="1">
        <f>A16+G16</f>
        <v>52.5</v>
      </c>
      <c r="B17">
        <f>ROUNDDOWN(F17/G16,0)</f>
        <v>199</v>
      </c>
      <c r="C17" s="2">
        <f>C16+B17</f>
        <v>399</v>
      </c>
      <c r="D17" s="1">
        <f>A17-G16</f>
        <v>50</v>
      </c>
      <c r="E17">
        <f t="shared" ref="E17:E27" si="0">ROUND(R16*$E$12,0)</f>
        <v>498</v>
      </c>
      <c r="F17" s="6">
        <f>$E$12*V16+$G$12*U16</f>
        <v>497.5</v>
      </c>
      <c r="G17">
        <f>G16</f>
        <v>2.5</v>
      </c>
      <c r="H17" s="2">
        <f t="shared" ref="H17:H27" si="1">ROUND(H16-(B17*A17),0)</f>
        <v>79553</v>
      </c>
      <c r="I17" s="25">
        <f>J17/K17</f>
        <v>0.2084317988467719</v>
      </c>
      <c r="J17" s="2">
        <f>A17*C17</f>
        <v>20947.5</v>
      </c>
      <c r="K17" s="9">
        <f>H17+J17</f>
        <v>100500.5</v>
      </c>
      <c r="L17" s="25">
        <f>(K17-$K$16)/$K$16</f>
        <v>5.0049999999999999E-3</v>
      </c>
      <c r="M17" s="9">
        <f>C17*(A17-D17)</f>
        <v>997.5</v>
      </c>
      <c r="N17" s="1">
        <f>(A17-O17)*C17</f>
        <v>499.99999999999881</v>
      </c>
      <c r="O17" s="1">
        <f>(O16*C16+A17*B17)/C17</f>
        <v>51.246867167919802</v>
      </c>
      <c r="P17" s="9">
        <f>(N17/C17)/G16</f>
        <v>0.50125313283207906</v>
      </c>
      <c r="Q17" s="6">
        <f>D17*C17</f>
        <v>19950</v>
      </c>
      <c r="R17" s="6">
        <f>H17+Q17</f>
        <v>99503</v>
      </c>
      <c r="S17" s="25">
        <f>M17/R17</f>
        <v>1.0024823372159633E-2</v>
      </c>
      <c r="T17" s="6">
        <f>MIN($H$15,K17)</f>
        <v>100000</v>
      </c>
      <c r="U17" s="9">
        <f>MAX(0,K17-T17)</f>
        <v>500.5</v>
      </c>
      <c r="V17" s="9">
        <f>T17-M17</f>
        <v>99002.5</v>
      </c>
      <c r="W17" s="6">
        <f t="shared" ref="W17:W27" si="2">U17+V17</f>
        <v>99503</v>
      </c>
    </row>
    <row r="18" spans="1:23">
      <c r="A18" s="1">
        <f t="shared" ref="A18:A27" si="3">A17+G17</f>
        <v>55</v>
      </c>
      <c r="B18">
        <f>ROUNDDOWN(F18/G17,0)</f>
        <v>208</v>
      </c>
      <c r="C18" s="2">
        <f>C17+B18</f>
        <v>607</v>
      </c>
      <c r="D18" s="1">
        <f>A18-G17</f>
        <v>52.5</v>
      </c>
      <c r="E18">
        <f t="shared" si="0"/>
        <v>498</v>
      </c>
      <c r="F18" s="6">
        <f>$E$12*V17+$G$12*U17</f>
        <v>520.03750000000002</v>
      </c>
      <c r="G18">
        <f>G17</f>
        <v>2.5</v>
      </c>
      <c r="H18" s="2">
        <f t="shared" si="1"/>
        <v>68113</v>
      </c>
      <c r="I18" s="25">
        <f>J18/K18</f>
        <v>0.32892273739384026</v>
      </c>
      <c r="J18" s="2">
        <f>A18*C18</f>
        <v>33385</v>
      </c>
      <c r="K18" s="9">
        <f t="shared" ref="K18:K27" si="4">H18+J18</f>
        <v>101498</v>
      </c>
      <c r="L18" s="25">
        <f>(K18-$K$16)/$K$16</f>
        <v>1.498E-2</v>
      </c>
      <c r="M18" s="9">
        <f>C18*(A18-D18)</f>
        <v>1517.5</v>
      </c>
      <c r="N18" s="1">
        <f>(A18-O18)*C18</f>
        <v>1497.5000000000009</v>
      </c>
      <c r="O18" s="1">
        <f>(O17*C17+A18*B18)/C18</f>
        <v>52.532948929159801</v>
      </c>
      <c r="P18" s="9">
        <f>(N18/C18)/G17</f>
        <v>0.98682042833607964</v>
      </c>
      <c r="Q18" s="6">
        <f>D18*C18</f>
        <v>31867.5</v>
      </c>
      <c r="R18" s="6">
        <f>H18+Q18</f>
        <v>99980.5</v>
      </c>
      <c r="S18" s="25">
        <f>M18/R18</f>
        <v>1.5177959702141917E-2</v>
      </c>
      <c r="T18" s="6">
        <f>MIN($H$15,K18)</f>
        <v>100000</v>
      </c>
      <c r="U18" s="9">
        <f>MAX(0,K18-T18)</f>
        <v>1498</v>
      </c>
      <c r="V18" s="9">
        <f>T18-M18</f>
        <v>98482.5</v>
      </c>
      <c r="W18" s="6">
        <f t="shared" si="2"/>
        <v>99980.5</v>
      </c>
    </row>
    <row r="19" spans="1:23">
      <c r="A19" s="1">
        <f t="shared" si="3"/>
        <v>57.5</v>
      </c>
      <c r="B19">
        <f>ROUNDDOWN(F19/G18,0)</f>
        <v>226</v>
      </c>
      <c r="C19" s="2">
        <f>C18+B19</f>
        <v>833</v>
      </c>
      <c r="D19" s="1">
        <f>A19-G18</f>
        <v>55</v>
      </c>
      <c r="E19">
        <f t="shared" si="0"/>
        <v>500</v>
      </c>
      <c r="F19" s="6">
        <f>$E$12*V18+$G$12*U18</f>
        <v>567.3125</v>
      </c>
      <c r="G19">
        <f>G18</f>
        <v>2.5</v>
      </c>
      <c r="H19" s="2">
        <f t="shared" si="1"/>
        <v>55118</v>
      </c>
      <c r="I19" s="25">
        <f>J19/K19</f>
        <v>0.46495430299323887</v>
      </c>
      <c r="J19" s="2">
        <f t="shared" ref="J19:J27" si="5">A19*C19</f>
        <v>47897.5</v>
      </c>
      <c r="K19" s="9">
        <f t="shared" si="4"/>
        <v>103015.5</v>
      </c>
      <c r="L19" s="25">
        <f>(K19-$K$16)/$K$16</f>
        <v>3.0155000000000001E-2</v>
      </c>
      <c r="M19" s="9">
        <f>C19*(A19-D19)</f>
        <v>2082.5</v>
      </c>
      <c r="N19" s="1">
        <f>(A19-O19)*C19</f>
        <v>3015.0000000000009</v>
      </c>
      <c r="O19" s="1">
        <f>(O18*C18+A19*B19)/C19</f>
        <v>53.880552220888354</v>
      </c>
      <c r="P19" s="9">
        <f>(N19/C19)/G18</f>
        <v>1.4477791116446583</v>
      </c>
      <c r="Q19" s="6">
        <f>D19*C19</f>
        <v>45815</v>
      </c>
      <c r="R19" s="6">
        <f>H19+Q19</f>
        <v>100933</v>
      </c>
      <c r="S19" s="25">
        <f>M19/R19</f>
        <v>2.0632498786323599E-2</v>
      </c>
      <c r="T19" s="6">
        <f>MIN($H$15,K19)</f>
        <v>100000</v>
      </c>
      <c r="U19" s="9">
        <f>MAX(0,K19-T19)</f>
        <v>3015.5</v>
      </c>
      <c r="V19" s="9">
        <f>T19-M19</f>
        <v>97917.5</v>
      </c>
      <c r="W19" s="6">
        <f t="shared" si="2"/>
        <v>100933</v>
      </c>
    </row>
    <row r="20" spans="1:23">
      <c r="A20" s="1">
        <f t="shared" si="3"/>
        <v>60</v>
      </c>
      <c r="B20">
        <f>ROUNDDOWN(F20/G19,0)</f>
        <v>256</v>
      </c>
      <c r="C20" s="2">
        <f>C19+B20</f>
        <v>1089</v>
      </c>
      <c r="D20" s="1">
        <f>A20-G19</f>
        <v>57.5</v>
      </c>
      <c r="E20">
        <f t="shared" si="0"/>
        <v>505</v>
      </c>
      <c r="F20" s="6">
        <f>$E$12*V19+$G$12*U19</f>
        <v>640.36250000000007</v>
      </c>
      <c r="G20">
        <f>G19</f>
        <v>2.5</v>
      </c>
      <c r="H20" s="2">
        <f t="shared" si="1"/>
        <v>39758</v>
      </c>
      <c r="I20" s="25">
        <f>J20/K20</f>
        <v>0.62170545586024473</v>
      </c>
      <c r="J20" s="2">
        <f t="shared" si="5"/>
        <v>65340</v>
      </c>
      <c r="K20" s="9">
        <f t="shared" si="4"/>
        <v>105098</v>
      </c>
      <c r="L20" s="25">
        <f>(K20-$K$16)/$K$16</f>
        <v>5.0979999999999998E-2</v>
      </c>
      <c r="M20" s="9">
        <f>C20*(A20-D20)</f>
        <v>2722.5</v>
      </c>
      <c r="N20" s="1">
        <f>(A20-O20)*C20</f>
        <v>5097.4999999999982</v>
      </c>
      <c r="O20" s="1">
        <f>(O19*C19+A20*B20)/C20</f>
        <v>55.319100091827366</v>
      </c>
      <c r="P20" s="9">
        <f>(N20/C20)/G19</f>
        <v>1.8723599632690537</v>
      </c>
      <c r="Q20" s="6">
        <f>D20*C20</f>
        <v>62617.5</v>
      </c>
      <c r="R20" s="6">
        <f>H20+Q20</f>
        <v>102375.5</v>
      </c>
      <c r="S20" s="25">
        <f>M20/R20</f>
        <v>2.6593276711713253E-2</v>
      </c>
      <c r="T20" s="6">
        <f>MIN($H$15,K20)</f>
        <v>100000</v>
      </c>
      <c r="U20" s="9">
        <f>MAX(0,K20-T20)</f>
        <v>5098</v>
      </c>
      <c r="V20" s="9">
        <f>T20-M20</f>
        <v>97277.5</v>
      </c>
      <c r="W20" s="6">
        <f t="shared" si="2"/>
        <v>102375.5</v>
      </c>
    </row>
    <row r="21" spans="1:23">
      <c r="A21" s="1">
        <f t="shared" si="3"/>
        <v>62.5</v>
      </c>
      <c r="B21">
        <f>ROUNDDOWN(F21/G20,0)</f>
        <v>296</v>
      </c>
      <c r="C21" s="2">
        <f>C20+B21</f>
        <v>1385</v>
      </c>
      <c r="D21" s="1">
        <f>A21-G20</f>
        <v>60</v>
      </c>
      <c r="E21">
        <f t="shared" si="0"/>
        <v>512</v>
      </c>
      <c r="F21" s="6">
        <f>$E$12*V20+$G$12*U20</f>
        <v>741.28750000000002</v>
      </c>
      <c r="G21">
        <f>G20</f>
        <v>2.5</v>
      </c>
      <c r="H21" s="2">
        <f t="shared" si="1"/>
        <v>21258</v>
      </c>
      <c r="I21" s="25">
        <f>J21/K21</f>
        <v>0.80283897774541946</v>
      </c>
      <c r="J21" s="2">
        <f t="shared" si="5"/>
        <v>86562.5</v>
      </c>
      <c r="K21" s="9">
        <f t="shared" si="4"/>
        <v>107820.5</v>
      </c>
      <c r="L21" s="25">
        <f>(K21-$K$16)/$K$16</f>
        <v>7.8204999999999997E-2</v>
      </c>
      <c r="M21" s="9">
        <f>C21*(A21-D21)</f>
        <v>3462.5</v>
      </c>
      <c r="N21" s="1">
        <f>(A21-O21)*C21</f>
        <v>7820.0000000000027</v>
      </c>
      <c r="O21" s="1">
        <f>(O20*C20+A21*B21)/C21</f>
        <v>56.853790613718409</v>
      </c>
      <c r="P21" s="9">
        <f>(N21/C21)/G20</f>
        <v>2.2584837545126364</v>
      </c>
      <c r="Q21" s="6">
        <f>D21*C21</f>
        <v>83100</v>
      </c>
      <c r="R21" s="6">
        <f>H21+Q21</f>
        <v>104358</v>
      </c>
      <c r="S21" s="25">
        <f>M21/R21</f>
        <v>3.3179056708637578E-2</v>
      </c>
      <c r="T21" s="6">
        <f>MIN($H$15,K21)</f>
        <v>100000</v>
      </c>
      <c r="U21" s="9">
        <f>MAX(0,K21-T21)</f>
        <v>7820.5</v>
      </c>
      <c r="V21" s="9">
        <f>T21-M21</f>
        <v>96537.5</v>
      </c>
      <c r="W21" s="6">
        <f t="shared" si="2"/>
        <v>104358</v>
      </c>
    </row>
    <row r="22" spans="1:23">
      <c r="A22" s="1">
        <f t="shared" si="3"/>
        <v>65</v>
      </c>
      <c r="B22">
        <f>ROUNDDOWN(F22/G21,0)</f>
        <v>349</v>
      </c>
      <c r="C22" s="2">
        <f>C21+B22</f>
        <v>1734</v>
      </c>
      <c r="D22" s="1">
        <f>A22-G21</f>
        <v>62.5</v>
      </c>
      <c r="E22">
        <f t="shared" si="0"/>
        <v>522</v>
      </c>
      <c r="F22" s="6">
        <f>$E$12*V21+$G$12*U21</f>
        <v>873.71250000000009</v>
      </c>
      <c r="G22">
        <f>G21</f>
        <v>2.5</v>
      </c>
      <c r="H22" s="2">
        <f t="shared" si="1"/>
        <v>-1427</v>
      </c>
      <c r="I22" s="25">
        <f>J22/K22</f>
        <v>1.0128231625675082</v>
      </c>
      <c r="J22" s="2">
        <f t="shared" si="5"/>
        <v>112710</v>
      </c>
      <c r="K22" s="9">
        <f t="shared" si="4"/>
        <v>111283</v>
      </c>
      <c r="L22" s="25">
        <f>(K22-$K$16)/$K$16</f>
        <v>0.11283</v>
      </c>
      <c r="M22" s="9">
        <f>C22*(A22-D22)</f>
        <v>4335</v>
      </c>
      <c r="N22" s="1">
        <f>(A22-O22)*C22</f>
        <v>11282.499999999998</v>
      </c>
      <c r="O22" s="1">
        <f>(O21*C21+A22*B22)/C22</f>
        <v>58.493367935409459</v>
      </c>
      <c r="P22" s="9">
        <f>(N22/C22)/G21</f>
        <v>2.6026528258362163</v>
      </c>
      <c r="Q22" s="6">
        <f>D22*C22</f>
        <v>108375</v>
      </c>
      <c r="R22" s="6">
        <f>H22+Q22</f>
        <v>106948</v>
      </c>
      <c r="S22" s="25">
        <f>M22/R22</f>
        <v>4.0533717320567007E-2</v>
      </c>
      <c r="T22" s="6">
        <f>MIN($H$15,K22)</f>
        <v>100000</v>
      </c>
      <c r="U22" s="9">
        <f>MAX(0,K22-T22)</f>
        <v>11283</v>
      </c>
      <c r="V22" s="9">
        <f>T22-M22</f>
        <v>95665</v>
      </c>
      <c r="W22" s="6">
        <f t="shared" si="2"/>
        <v>106948</v>
      </c>
    </row>
    <row r="23" spans="1:23">
      <c r="A23" s="1">
        <f t="shared" si="3"/>
        <v>67.5</v>
      </c>
      <c r="B23">
        <f>ROUNDDOWN(F23/G22,0)</f>
        <v>416</v>
      </c>
      <c r="C23" s="2">
        <f>C22+B23</f>
        <v>2150</v>
      </c>
      <c r="D23" s="1">
        <f>A23-G22</f>
        <v>65</v>
      </c>
      <c r="E23">
        <f t="shared" si="0"/>
        <v>535</v>
      </c>
      <c r="F23" s="6">
        <f>$E$12*V22+$G$12*U22</f>
        <v>1042.4749999999999</v>
      </c>
      <c r="G23">
        <f>G22</f>
        <v>2.5</v>
      </c>
      <c r="H23" s="2">
        <f t="shared" si="1"/>
        <v>-29507</v>
      </c>
      <c r="I23" s="25">
        <f>J23/K23</f>
        <v>1.2552111262952135</v>
      </c>
      <c r="J23" s="2">
        <f t="shared" si="5"/>
        <v>145125</v>
      </c>
      <c r="K23" s="9">
        <f t="shared" si="4"/>
        <v>115618</v>
      </c>
      <c r="L23" s="25">
        <f>(K23-$K$16)/$K$16</f>
        <v>0.15618000000000001</v>
      </c>
      <c r="M23" s="9">
        <f>C23*(A23-D23)</f>
        <v>5375</v>
      </c>
      <c r="N23" s="1">
        <f>(A23-O23)*C23</f>
        <v>15617.500000000005</v>
      </c>
      <c r="O23" s="1">
        <f>(O22*C22+A23*B23)/C23</f>
        <v>60.236046511627904</v>
      </c>
      <c r="P23" s="9">
        <f>(N23/C23)/G22</f>
        <v>2.9055813953488383</v>
      </c>
      <c r="Q23" s="6">
        <f>D23*C23</f>
        <v>139750</v>
      </c>
      <c r="R23" s="6">
        <f>H23+Q23</f>
        <v>110243</v>
      </c>
      <c r="S23" s="25">
        <f>M23/R23</f>
        <v>4.8755930081728543E-2</v>
      </c>
      <c r="T23" s="6">
        <f>MIN($H$15,K23)</f>
        <v>100000</v>
      </c>
      <c r="U23" s="9">
        <f>MAX(0,K23-T23)</f>
        <v>15618</v>
      </c>
      <c r="V23" s="9">
        <f>T23-M23</f>
        <v>94625</v>
      </c>
      <c r="W23" s="6">
        <f t="shared" si="2"/>
        <v>110243</v>
      </c>
    </row>
    <row r="24" spans="1:23">
      <c r="A24" s="1">
        <f t="shared" si="3"/>
        <v>70</v>
      </c>
      <c r="B24">
        <f>ROUNDDOWN(F24/G23,0)</f>
        <v>501</v>
      </c>
      <c r="C24" s="2">
        <f>C23+B24</f>
        <v>2651</v>
      </c>
      <c r="D24" s="1">
        <f>A24-G23</f>
        <v>67.5</v>
      </c>
      <c r="E24">
        <f t="shared" si="0"/>
        <v>551</v>
      </c>
      <c r="F24" s="6">
        <f>$E$12*V23+$G$12*U23</f>
        <v>1254.0250000000001</v>
      </c>
      <c r="G24">
        <f>G23</f>
        <v>2.5</v>
      </c>
      <c r="H24" s="2">
        <f t="shared" si="1"/>
        <v>-64577</v>
      </c>
      <c r="I24" s="25">
        <f>J24/K24</f>
        <v>1.5337250915342211</v>
      </c>
      <c r="J24" s="2">
        <f t="shared" si="5"/>
        <v>185570</v>
      </c>
      <c r="K24" s="9">
        <f t="shared" si="4"/>
        <v>120993</v>
      </c>
      <c r="L24" s="25">
        <f>(K24-$K$16)/$K$16</f>
        <v>0.20993000000000001</v>
      </c>
      <c r="M24" s="9">
        <f>C24*(A24-D24)</f>
        <v>6627.5</v>
      </c>
      <c r="N24" s="1">
        <f>(A24-O24)*C24</f>
        <v>20992.499999999993</v>
      </c>
      <c r="O24" s="1">
        <f>(O23*C23+A24*B24)/C24</f>
        <v>62.081290079215393</v>
      </c>
      <c r="P24" s="9">
        <f>(N24/C24)/G23</f>
        <v>3.1674839683138427</v>
      </c>
      <c r="Q24" s="6">
        <f>D24*C24</f>
        <v>178942.5</v>
      </c>
      <c r="R24" s="6">
        <f>H24+Q24</f>
        <v>114365.5</v>
      </c>
      <c r="S24" s="25">
        <f>M24/R24</f>
        <v>5.7950168538588996E-2</v>
      </c>
      <c r="T24" s="6">
        <f>MIN($H$15,K24)</f>
        <v>100000</v>
      </c>
      <c r="U24" s="9">
        <f>MAX(0,K24-T24)</f>
        <v>20993</v>
      </c>
      <c r="V24" s="9">
        <f>T24-M24</f>
        <v>93372.5</v>
      </c>
      <c r="W24" s="6">
        <f t="shared" si="2"/>
        <v>114365.5</v>
      </c>
    </row>
    <row r="25" spans="1:23">
      <c r="A25" s="1">
        <f t="shared" si="3"/>
        <v>72.5</v>
      </c>
      <c r="B25">
        <f>ROUNDDOWN(F25/G24,0)</f>
        <v>606</v>
      </c>
      <c r="C25" s="2">
        <f>C24+B25</f>
        <v>3257</v>
      </c>
      <c r="D25" s="1">
        <f>A25-G24</f>
        <v>70</v>
      </c>
      <c r="E25">
        <f t="shared" si="0"/>
        <v>572</v>
      </c>
      <c r="F25" s="6">
        <f>$E$12*V24+$G$12*U24</f>
        <v>1516.5125</v>
      </c>
      <c r="G25">
        <f>G24</f>
        <v>2.5</v>
      </c>
      <c r="H25" s="2">
        <f t="shared" si="1"/>
        <v>-108512</v>
      </c>
      <c r="I25" s="25">
        <f>J25/K25</f>
        <v>1.8502709204242265</v>
      </c>
      <c r="J25" s="2">
        <f t="shared" si="5"/>
        <v>236132.5</v>
      </c>
      <c r="K25" s="9">
        <f t="shared" si="4"/>
        <v>127620.5</v>
      </c>
      <c r="L25" s="25">
        <f>(K25-$K$16)/$K$16</f>
        <v>0.27620499999999998</v>
      </c>
      <c r="M25" s="9">
        <f>C25*(A25-D25)</f>
        <v>8142.5</v>
      </c>
      <c r="N25" s="1">
        <f>(A25-O25)*C25</f>
        <v>27620.000000000004</v>
      </c>
      <c r="O25" s="1">
        <f>(O24*C24+A25*B25)/C25</f>
        <v>64.019803500153515</v>
      </c>
      <c r="P25" s="9">
        <f>(N25/C25)/G24</f>
        <v>3.3920785999385941</v>
      </c>
      <c r="Q25" s="6">
        <f>D25*C25</f>
        <v>227990</v>
      </c>
      <c r="R25" s="6">
        <f>H25+Q25</f>
        <v>119478</v>
      </c>
      <c r="S25" s="25">
        <f>M25/R25</f>
        <v>6.8150621871809036E-2</v>
      </c>
      <c r="T25" s="6">
        <f>MIN($H$15,K25)</f>
        <v>100000</v>
      </c>
      <c r="U25" s="9">
        <f>MAX(0,K25-T25)</f>
        <v>27620.5</v>
      </c>
      <c r="V25" s="9">
        <f>T25-M25</f>
        <v>91857.5</v>
      </c>
      <c r="W25" s="6">
        <f t="shared" si="2"/>
        <v>119478</v>
      </c>
    </row>
    <row r="26" spans="1:23">
      <c r="A26" s="1">
        <f t="shared" si="3"/>
        <v>75</v>
      </c>
      <c r="B26">
        <f>ROUNDDOWN(F26/G25,0)</f>
        <v>736</v>
      </c>
      <c r="C26" s="2">
        <f>C25+B26</f>
        <v>3993</v>
      </c>
      <c r="D26" s="1">
        <f>A26-G25</f>
        <v>72.5</v>
      </c>
      <c r="E26">
        <f t="shared" si="0"/>
        <v>597</v>
      </c>
      <c r="F26" s="6">
        <f>$E$12*V25+$G$12*U25</f>
        <v>1840.3125</v>
      </c>
      <c r="G26">
        <f>G25</f>
        <v>2.5</v>
      </c>
      <c r="H26" s="2">
        <f t="shared" si="1"/>
        <v>-163712</v>
      </c>
      <c r="I26" s="25">
        <f>J26/K26</f>
        <v>2.2058661049033979</v>
      </c>
      <c r="J26" s="2">
        <f t="shared" si="5"/>
        <v>299475</v>
      </c>
      <c r="K26" s="9">
        <f t="shared" si="4"/>
        <v>135763</v>
      </c>
      <c r="L26" s="25">
        <f>(K26-$K$16)/$K$16</f>
        <v>0.35763</v>
      </c>
      <c r="M26" s="9">
        <f>C26*(A26-D26)</f>
        <v>9982.5</v>
      </c>
      <c r="N26" s="1">
        <f>(A26-O26)*C26</f>
        <v>35762.500000000022</v>
      </c>
      <c r="O26" s="1">
        <f>(O25*C25+A26*B26)/C26</f>
        <v>66.04370147758577</v>
      </c>
      <c r="P26" s="9">
        <f>(N26/C26)/G25</f>
        <v>3.582519408965692</v>
      </c>
      <c r="Q26" s="6">
        <f>D26*C26</f>
        <v>289492.5</v>
      </c>
      <c r="R26" s="6">
        <f>H26+Q26</f>
        <v>125780.5</v>
      </c>
      <c r="S26" s="25">
        <f>M26/R26</f>
        <v>7.9364448384288508E-2</v>
      </c>
      <c r="T26" s="6">
        <f>MIN($H$15,K26)</f>
        <v>100000</v>
      </c>
      <c r="U26" s="9">
        <f>MAX(0,K26-T26)</f>
        <v>35763</v>
      </c>
      <c r="V26" s="9">
        <f>T26-M26</f>
        <v>90017.5</v>
      </c>
      <c r="W26" s="6">
        <f t="shared" si="2"/>
        <v>125780.5</v>
      </c>
    </row>
    <row r="27" spans="1:23">
      <c r="A27" s="1">
        <f t="shared" si="3"/>
        <v>77.5</v>
      </c>
      <c r="B27">
        <f>ROUNDDOWN(F27/G26,0)</f>
        <v>895</v>
      </c>
      <c r="C27" s="2">
        <f>C26+B27</f>
        <v>4888</v>
      </c>
      <c r="D27" s="1">
        <f>A27-G26</f>
        <v>75</v>
      </c>
      <c r="E27">
        <f t="shared" si="0"/>
        <v>629</v>
      </c>
      <c r="F27" s="6">
        <f>$E$12*V26+$G$12*U26</f>
        <v>2238.2375000000002</v>
      </c>
      <c r="G27">
        <f>G26</f>
        <v>2.5</v>
      </c>
      <c r="H27" s="2">
        <f t="shared" si="1"/>
        <v>-233075</v>
      </c>
      <c r="I27" s="25">
        <f>J27/K27</f>
        <v>2.5991972280352669</v>
      </c>
      <c r="J27" s="2">
        <f t="shared" si="5"/>
        <v>378820</v>
      </c>
      <c r="K27" s="9">
        <f t="shared" si="4"/>
        <v>145745</v>
      </c>
      <c r="L27" s="25">
        <f>(K27-$K$16)/$K$16</f>
        <v>0.45745000000000002</v>
      </c>
      <c r="M27" s="9">
        <f>C27*(A27-D27)</f>
        <v>12220</v>
      </c>
      <c r="N27" s="1">
        <f>(A27-O27)*C27</f>
        <v>45744.999999999971</v>
      </c>
      <c r="O27" s="1">
        <f>(O26*C26+A27*B27)/C27</f>
        <v>68.141366612111298</v>
      </c>
      <c r="P27" s="9">
        <f>(N27/C27)/G26</f>
        <v>3.7434533551554807</v>
      </c>
      <c r="Q27" s="6">
        <f>D27*C27</f>
        <v>366600</v>
      </c>
      <c r="R27" s="6">
        <f>H27+Q27</f>
        <v>133525</v>
      </c>
      <c r="S27" s="25">
        <f>M27/R27</f>
        <v>9.1518442239281031E-2</v>
      </c>
      <c r="T27" s="6">
        <f>MIN($H$15,K27)</f>
        <v>100000</v>
      </c>
      <c r="U27" s="9">
        <f>MAX(0,K27-T27)</f>
        <v>45745</v>
      </c>
      <c r="V27" s="9">
        <f>T27-M27</f>
        <v>87780</v>
      </c>
      <c r="W27" s="6">
        <f t="shared" si="2"/>
        <v>133525</v>
      </c>
    </row>
    <row r="33" spans="2:2">
      <c r="B33" s="9">
        <f>B16*(A27-A16)</f>
        <v>5500</v>
      </c>
    </row>
    <row r="34" spans="2:2">
      <c r="B34" s="9">
        <f>C27*(A27-A16)</f>
        <v>134420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Holdings</vt:lpstr>
      <vt:lpstr>prices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cp:lastPrinted>2015-06-30T20:38:52Z</cp:lastPrinted>
  <dcterms:created xsi:type="dcterms:W3CDTF">2014-11-03T15:10:22Z</dcterms:created>
  <dcterms:modified xsi:type="dcterms:W3CDTF">2015-10-17T01:10:57Z</dcterms:modified>
</cp:coreProperties>
</file>